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10.183.3.12\gabu\06_医薬\10_千年カルテプロジェクト\02_MIS\共通\20_デリバリ\12_案件管理\02_案件\2023_009_サノフィ_MM\12_詳細仕様\"/>
    </mc:Choice>
  </mc:AlternateContent>
  <bookViews>
    <workbookView xWindow="0" yWindow="0" windowWidth="13812" windowHeight="3528" tabRatio="891" firstSheet="3" activeTab="3"/>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疾患データ_組み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検歴情報モジュール_本文" sheetId="365" r:id="rId74"/>
    <sheet name="バックアップ_MML_検歴情報モジュール_報告コメント" sheetId="366" r:id="rId75"/>
    <sheet name="バックアップ_MML_検歴情報モジュール_検体検査結果情報" sheetId="367" r:id="rId76"/>
    <sheet name="バックアップ_MML_検歴情報モジュール_検体コメント" sheetId="368" r:id="rId77"/>
    <sheet name="バックアップ_MML_検歴情報モジュール_検査項目" sheetId="369" r:id="rId78"/>
    <sheet name="バックアップ_MML_検歴情報モジュール_検査項目コメント" sheetId="370" r:id="rId79"/>
    <sheet name="バックアップ_MML_処方箋モジュール_本文" sheetId="282" r:id="rId80"/>
    <sheet name="バックアップ_MML_処方箋モジュール_投薬" sheetId="283" r:id="rId81"/>
    <sheet name="バックアップ_MML_処方箋モジュール_薬剤" sheetId="284" r:id="rId82"/>
    <sheet name="バックアップ_MML_注射記録モジュール_本文" sheetId="285" r:id="rId83"/>
    <sheet name="バックアップ_MML_注射記録モジュール_投薬" sheetId="286" r:id="rId84"/>
    <sheet name="バックアップ_MML_注射記録モジュール_薬剤" sheetId="287" r:id="rId85"/>
    <sheet name="バックアップ_MML_手術モジュール_手術項目" sheetId="288" r:id="rId86"/>
    <sheet name="バックアップ_MML_手術モジュール_診療科情報" sheetId="289" r:id="rId87"/>
    <sheet name="バックアップ_MML_手術モジュール_診断履歴情報" sheetId="290" r:id="rId88"/>
    <sheet name="バックアップ_MML_手術モジュール_病名" sheetId="291" r:id="rId89"/>
    <sheet name="バックアップ_MML_手術モジュール_カテゴリ名" sheetId="292" r:id="rId90"/>
    <sheet name="バックアップ_MML_手術モジュール_手術法" sheetId="293" r:id="rId91"/>
    <sheet name="バックアップ_MML_手術モジュール_手術要素" sheetId="294" r:id="rId92"/>
    <sheet name="バックアップ_MML_手術モジュール_麻酔法" sheetId="295" r:id="rId93"/>
    <sheet name="バックアップ_MML_報告書情報モジュール_本文" sheetId="296" r:id="rId94"/>
    <sheet name="バックアップ_MML_報告書情報モジュール_検査コメント" sheetId="297" r:id="rId95"/>
    <sheet name="バックアップ_MML_生活習慣情報モジュール_本文" sheetId="310" r:id="rId96"/>
    <sheet name="バックアップ_MML_紹介状モジュール_本文" sheetId="298" r:id="rId97"/>
    <sheet name="バックアップ_MML_紹介状モジュール_注射記録" sheetId="299" r:id="rId98"/>
    <sheet name="バックアップ_MML_紹介状モジュール_注射記録投薬" sheetId="300" r:id="rId99"/>
    <sheet name="バックアップ_MML_紹介状モジュール_注射記録薬剤" sheetId="301" r:id="rId100"/>
    <sheet name="バックアップ_MML_紹介状モジュール_患者情報" sheetId="302" r:id="rId101"/>
    <sheet name="バックアップ_MML_紹介状モジュール_患者情報住所" sheetId="303" r:id="rId102"/>
    <sheet name="バックアップ_MML_紹介状モジュール_処方箋" sheetId="304" r:id="rId103"/>
    <sheet name="バックアップ_MML_紹介状モジュール_処方箋投薬" sheetId="305" r:id="rId104"/>
    <sheet name="バックアップ_MML_紹介状モジュール_処方箋薬剤" sheetId="306" r:id="rId105"/>
    <sheet name="BK_MML_紹介状モジュール_臨床サマリー情報経過記録" sheetId="307" r:id="rId106"/>
    <sheet name="バックアップ_MML_紹介状モジュール_診療科情報" sheetId="308" r:id="rId107"/>
    <sheet name="バックアップ_DPC調査データ_Dファイル" sheetId="172" r:id="rId108"/>
    <sheet name="バックアップ_DPC調査データ_入院EF統合ファイル" sheetId="179" r:id="rId109"/>
    <sheet name="バックアップ_DPC調査データ_外来EF統合ファイル" sheetId="181" r:id="rId110"/>
    <sheet name="バックアップ_DPC調査データ_Hファイル" sheetId="182" r:id="rId111"/>
    <sheet name="バックアップ_DPC調査データ_様式1" sheetId="185" r:id="rId112"/>
    <sheet name="バックアップ_DPC調査データ_様式1_診断情報_併存症" sheetId="186" r:id="rId113"/>
    <sheet name="バックアップ_DPC調査データ_様式1_診断情報_続発症" sheetId="187" r:id="rId114"/>
    <sheet name="バックアップ_医科レセプト_医療機関情報レコード" sheetId="197" r:id="rId115"/>
    <sheet name="バックアップ_医科レセプト_レセプト共通レコード" sheetId="198" r:id="rId116"/>
    <sheet name="バックアップ_医科レセプト_傷病名レコード" sheetId="199" r:id="rId117"/>
    <sheet name="バックアップ_医科レセプト_診療行為レコード" sheetId="200" r:id="rId118"/>
    <sheet name="バックアップ_医科レセプト_診療行為レコード_算定日情報" sheetId="201" r:id="rId119"/>
    <sheet name="バックアップ_医科レセプト_医薬品レコード" sheetId="202" r:id="rId120"/>
    <sheet name="バックアップ_医科レセプト_医薬品レコード_算定日情報" sheetId="203" r:id="rId121"/>
    <sheet name="バックアップ_医科レセプト_臓器提供者レセプト情報レコード" sheetId="204" r:id="rId122"/>
    <sheet name="バックアップ_DPCレセプト_医療機関情報レコード" sheetId="205" r:id="rId123"/>
    <sheet name="バックアップ_DPCレセプト_レセプト共通レコード" sheetId="206" r:id="rId124"/>
    <sheet name="バックアップ_DPCレセプト_診断群分類レコード" sheetId="207" r:id="rId125"/>
    <sheet name="バックアップ_DPCレセプト_傷病レコード" sheetId="208" r:id="rId126"/>
    <sheet name="バックアップ_DPCレセプト_傷病名レコード" sheetId="209" r:id="rId127"/>
    <sheet name="バックアップ_DPCレセプト_診療行為レコード" sheetId="210" r:id="rId128"/>
    <sheet name="バックアップ_DPCレセプト_診療行為レコード_算定日情報" sheetId="211" r:id="rId129"/>
    <sheet name="バックアップ_DPCレセプト_医薬品レコード" sheetId="212" r:id="rId130"/>
    <sheet name="バックアップ_DPCレセプト_医薬品レコード_算定日情報" sheetId="213" r:id="rId131"/>
    <sheet name="バックアップ_DPCレセプト_臓器提供者レセプト情報レコード" sheetId="214" r:id="rId132"/>
    <sheet name="バックアップ_患者情報モジュール_患者情報" sheetId="215" r:id="rId133"/>
    <sheet name="バックアップ_診断履歴情報モジュール_診断履歴情報レコード" sheetId="216" r:id="rId134"/>
    <sheet name="バックアップ_診断履歴情報モジュール_診断病名レコード" sheetId="217" r:id="rId135"/>
    <sheet name="バックアップ_診断履歴情報モジュール_診断分類レコード" sheetId="218" r:id="rId136"/>
    <sheet name="バックアップ_経過記録情報モジュール_経過記録情報レコード" sheetId="219" r:id="rId137"/>
    <sheet name="バックアップ_経過記録情報モジュール_プロブレムレコード" sheetId="220" r:id="rId138"/>
    <sheet name="バックアップ_経過記録情報モジュール_身体所見レコード" sheetId="221" r:id="rId139"/>
    <sheet name="バックアップ_経過記録情報モジュール_アセスメントレコード" sheetId="222" r:id="rId140"/>
    <sheet name="バックアップ_経過記録情報モジュール_外部参照レコード" sheetId="223" r:id="rId141"/>
    <sheet name="バックアップ_臨床サマリーモジュール_臨床サマリー情報レコード" sheetId="224" r:id="rId142"/>
    <sheet name="バックアップ_臨床サマリーモジュール_外来受診レコード" sheetId="225" r:id="rId143"/>
    <sheet name="バックアップ_臨床サマリーモジュール_入院レコード" sheetId="226" r:id="rId144"/>
    <sheet name="バックアップ_臨床サマリーモジュール_経過記録レコード" sheetId="227" r:id="rId145"/>
    <sheet name="バックアップ_臨床サマリーモジュール_検査結果レコード" sheetId="228" r:id="rId146"/>
    <sheet name="バックアップ_検歴情報モジュール_検歴情報" sheetId="229" r:id="rId147"/>
    <sheet name="バックアップ_検歴情報モジュール_検歴検体材料" sheetId="230" r:id="rId148"/>
    <sheet name="バックアップ_検歴情報モジュール_検歴項目情報" sheetId="231" r:id="rId149"/>
    <sheet name="バックアップ_バイタルサインモジュール_バイタルサイン" sheetId="232" r:id="rId150"/>
    <sheet name="バックアップ_バイタルサインモジュール_記録項目" sheetId="233" r:id="rId151"/>
    <sheet name="バックアップ_体温表モジュール_バイタルサイン" sheetId="234" r:id="rId152"/>
    <sheet name="バックアップ_体温表モジュール_記録項目" sheetId="235" r:id="rId153"/>
    <sheet name="組入れ_対象施設" sheetId="358" r:id="rId154"/>
    <sheet name="組入れ_対象疾患" sheetId="189" r:id="rId155"/>
    <sheet name="組入れ_対象診療行為" sheetId="361" r:id="rId156"/>
    <sheet name="組入れ_検体検査マスタ" sheetId="362" r:id="rId157"/>
    <sheet name="組入れ_対象検体検査" sheetId="360" r:id="rId158"/>
    <sheet name="組入れ_対象検体検査_対象患者" sheetId="377" r:id="rId159"/>
    <sheet name="組入れ_対象患者" sheetId="188" r:id="rId160"/>
    <sheet name="患者ID一覧マスタ" sheetId="364" r:id="rId161"/>
    <sheet name="施設マスタ" sheetId="363" r:id="rId162"/>
    <sheet name="患者マスタ" sheetId="190" r:id="rId163"/>
    <sheet name="疾患マスタ" sheetId="191" r:id="rId164"/>
    <sheet name="薬剤マスタ" sheetId="380" r:id="rId165"/>
    <sheet name="検体検査マスタ" sheetId="379" r:id="rId166"/>
    <sheet name="診療行為マスタ" sheetId="378" r:id="rId167"/>
    <sheet name="ベース_処方データ" sheetId="348" r:id="rId168"/>
    <sheet name="ベース_診療行為データ" sheetId="349" r:id="rId169"/>
    <sheet name="ベース_入院退院データ" sheetId="350" r:id="rId170"/>
    <sheet name="ベース_患者基本データ" sheetId="351" r:id="rId171"/>
    <sheet name="ベース_MML共通" sheetId="352" r:id="rId172"/>
    <sheet name="ベース_MML_診断履歴情報モジュール_本文" sheetId="353" r:id="rId173"/>
    <sheet name="ベース_MML_診断履歴情報モジュール_病名" sheetId="354" r:id="rId174"/>
    <sheet name="ベース_MML_検歴情報モジュール_本文" sheetId="371" r:id="rId175"/>
    <sheet name="ベース_MML_検歴情報モジュール_報告コメント" sheetId="372" r:id="rId176"/>
    <sheet name="ベース_MML_検歴情報モジュール_検体検査結果情報" sheetId="373" r:id="rId177"/>
    <sheet name="ベース_MML_検歴情報モジュール_検体コメント" sheetId="374" r:id="rId178"/>
    <sheet name="ベース_MML_検歴情報モジュール_検査項目" sheetId="375" r:id="rId179"/>
    <sheet name="ベース_MML_検歴情報モジュール_検査項目コメント" sheetId="376" r:id="rId180"/>
    <sheet name="ベース_MML_処方箋モジュール_本文" sheetId="355" r:id="rId181"/>
    <sheet name="ベース_MML_処方箋モジュール_投薬" sheetId="356" r:id="rId182"/>
    <sheet name="ベース_MML_処方箋モジュール_薬剤" sheetId="357" r:id="rId183"/>
    <sheet name="ベース_DPC調査データ_入院EF統合ファイル" sheetId="192" r:id="rId184"/>
    <sheet name="ベース_DPC調査データ_外来EF統合ファイル" sheetId="193" r:id="rId185"/>
    <sheet name="ベース_DPC調査データ_様式1" sheetId="194" r:id="rId186"/>
    <sheet name="ベース_DPC調査データ_様式1_診断情報_併存症" sheetId="195" r:id="rId187"/>
    <sheet name="ベース_DPC調査データ_様式1_診断情報_続発症" sheetId="196" r:id="rId188"/>
    <sheet name="ベース_診断履歴情報モジュール_診断履歴情報レコード" sheetId="333" r:id="rId189"/>
    <sheet name="ベース_診断履歴情報モジュール_診断病名レコード" sheetId="334" r:id="rId190"/>
    <sheet name="ベース_経過記録情報モジュール_経過記録情報レコード" sheetId="335" r:id="rId191"/>
    <sheet name="ベース_経過記録情報モジュール_プロブレムレコード" sheetId="336" r:id="rId192"/>
    <sheet name="ベース_経過記録情報モジュール_身体所見レコード" sheetId="337" r:id="rId193"/>
    <sheet name="ベース_経過記録情報モジュール_アセスメントレコード" sheetId="338" r:id="rId194"/>
    <sheet name="ベース_経過記録情報モジュール_外部参照レコード" sheetId="339" r:id="rId195"/>
    <sheet name="ベース_臨床サマリーモジュール_臨床サマリー情報レコード" sheetId="340" r:id="rId196"/>
    <sheet name="ベース_臨床サマリーモジュール_外来受診レコード" sheetId="341" r:id="rId197"/>
    <sheet name="ベース_臨床サマリーモジュール_入院レコード" sheetId="342" r:id="rId198"/>
    <sheet name="ベース_臨床サマリーモジュール_経過記録レコード" sheetId="343" r:id="rId199"/>
    <sheet name="ベース_臨床サマリーモジュール_検査結果レコード" sheetId="344" r:id="rId200"/>
    <sheet name="ベース_検歴情報モジュール_検歴情報" sheetId="345" r:id="rId201"/>
    <sheet name="ベース_検歴情報モジュール_検歴検体材料" sheetId="346" r:id="rId202"/>
    <sheet name="ベース_検歴情報モジュール_検歴項目情報" sheetId="347" r:id="rId203"/>
  </sheets>
  <externalReferences>
    <externalReference r:id="rId204"/>
  </externalReferences>
  <definedNames>
    <definedName name="_xlnm._FilterDatabase" localSheetId="5" hidden="1">エンティティ一覧!$A$4:$BT$4</definedName>
    <definedName name="_xlnm.Print_Titles" localSheetId="5">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76" i="177" l="1"/>
  <c r="W74" i="177"/>
  <c r="C73" i="177"/>
  <c r="W73" i="177" s="1"/>
  <c r="W72" i="177"/>
  <c r="T66" i="177"/>
  <c r="W64" i="177"/>
  <c r="C63" i="177"/>
  <c r="W63" i="177" s="1"/>
  <c r="W62" i="177"/>
  <c r="T56" i="177"/>
  <c r="W54" i="177"/>
  <c r="C53" i="177"/>
  <c r="W53" i="177" s="1"/>
  <c r="W52" i="177"/>
  <c r="T46" i="177"/>
  <c r="C32" i="177"/>
  <c r="W32" i="177" s="1"/>
  <c r="E37" i="177"/>
  <c r="C23" i="177"/>
  <c r="T34" i="177"/>
  <c r="E34" i="177"/>
  <c r="C31" i="177"/>
  <c r="W31" i="177" s="1"/>
  <c r="W30" i="177"/>
  <c r="C5" i="177"/>
  <c r="J7" i="177"/>
  <c r="E10" i="177"/>
  <c r="B165" i="25" l="1"/>
  <c r="O165" i="25" s="1"/>
  <c r="BK165" i="25" s="1"/>
  <c r="A165" i="25"/>
  <c r="AM165" i="25"/>
  <c r="AJ21" i="380" l="1"/>
  <c r="T21" i="380"/>
  <c r="S21" i="380"/>
  <c r="R21" i="380"/>
  <c r="G21" i="380"/>
  <c r="Q21" i="380" s="1"/>
  <c r="B21" i="380"/>
  <c r="P21" i="380" s="1"/>
  <c r="AJ20" i="380"/>
  <c r="T20" i="380"/>
  <c r="S20" i="380"/>
  <c r="R20" i="380"/>
  <c r="G20" i="380"/>
  <c r="Q20" i="380" s="1"/>
  <c r="B20" i="380"/>
  <c r="P20"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G15" i="380"/>
  <c r="Q15" i="380" s="1"/>
  <c r="B15" i="380"/>
  <c r="P15" i="380" s="1"/>
  <c r="AJ14" i="380"/>
  <c r="T14" i="380"/>
  <c r="S14" i="380"/>
  <c r="R14" i="380"/>
  <c r="G14" i="380"/>
  <c r="Q14" i="380" s="1"/>
  <c r="B14" i="380"/>
  <c r="P14" i="380" s="1"/>
  <c r="AJ13" i="380"/>
  <c r="T13" i="380"/>
  <c r="S13" i="380"/>
  <c r="R13" i="380"/>
  <c r="P13" i="380"/>
  <c r="G13" i="380"/>
  <c r="Q13" i="380" s="1"/>
  <c r="B13" i="380"/>
  <c r="D9" i="380"/>
  <c r="AJ16" i="191"/>
  <c r="T16" i="191"/>
  <c r="S16" i="191"/>
  <c r="R16" i="191"/>
  <c r="P16" i="191"/>
  <c r="G16" i="191"/>
  <c r="Q16" i="191" s="1"/>
  <c r="B16" i="191"/>
  <c r="AJ19" i="191"/>
  <c r="T19" i="191"/>
  <c r="S19" i="191"/>
  <c r="R19" i="191"/>
  <c r="Q19" i="191"/>
  <c r="G19" i="191"/>
  <c r="B19" i="191"/>
  <c r="P19" i="191" s="1"/>
  <c r="AJ18" i="191"/>
  <c r="T18" i="191"/>
  <c r="S18" i="191"/>
  <c r="R18" i="191"/>
  <c r="G18" i="191"/>
  <c r="Q18" i="191" s="1"/>
  <c r="B18" i="191"/>
  <c r="P18" i="191" s="1"/>
  <c r="AJ15" i="190"/>
  <c r="T15" i="190"/>
  <c r="S15" i="190"/>
  <c r="R15" i="190"/>
  <c r="P15" i="190"/>
  <c r="G15" i="190"/>
  <c r="Q15" i="190" s="1"/>
  <c r="B15" i="190"/>
  <c r="D9" i="364"/>
  <c r="AJ14" i="363"/>
  <c r="T14" i="363"/>
  <c r="S14" i="363"/>
  <c r="R14" i="363"/>
  <c r="P14" i="363"/>
  <c r="G14" i="363"/>
  <c r="Q14" i="363" s="1"/>
  <c r="B14" i="363"/>
  <c r="D9" i="191" l="1"/>
  <c r="D9" i="379"/>
  <c r="D9" i="378"/>
  <c r="AJ21" i="379" l="1"/>
  <c r="T21" i="379"/>
  <c r="S21" i="379"/>
  <c r="R21" i="379"/>
  <c r="P21" i="379"/>
  <c r="G21" i="379"/>
  <c r="Q21" i="379" s="1"/>
  <c r="B21" i="379"/>
  <c r="AJ20" i="379"/>
  <c r="T20" i="379"/>
  <c r="S20" i="379"/>
  <c r="R20" i="379"/>
  <c r="Q20" i="379"/>
  <c r="P20" i="379"/>
  <c r="G20" i="379"/>
  <c r="B20" i="379"/>
  <c r="AJ19" i="379"/>
  <c r="T19" i="379"/>
  <c r="S19" i="379"/>
  <c r="R19" i="379"/>
  <c r="Q19" i="379"/>
  <c r="P19" i="379"/>
  <c r="G19" i="379"/>
  <c r="B19" i="379"/>
  <c r="AJ18" i="379"/>
  <c r="T18" i="379"/>
  <c r="S18" i="379"/>
  <c r="R18" i="379"/>
  <c r="Q18" i="379"/>
  <c r="G18" i="379"/>
  <c r="B18" i="379"/>
  <c r="P18" i="379" s="1"/>
  <c r="AJ17" i="379"/>
  <c r="T17" i="379"/>
  <c r="S17" i="379"/>
  <c r="R17" i="379"/>
  <c r="G17" i="379"/>
  <c r="Q17" i="379" s="1"/>
  <c r="B17" i="379"/>
  <c r="P17" i="379" s="1"/>
  <c r="AJ16" i="379"/>
  <c r="T16" i="379"/>
  <c r="S16" i="379"/>
  <c r="R16" i="379"/>
  <c r="G16" i="379"/>
  <c r="Q16" i="379" s="1"/>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G14" i="378"/>
  <c r="Q14" i="378" s="1"/>
  <c r="B14" i="378"/>
  <c r="P14" i="378" s="1"/>
  <c r="AJ13" i="378"/>
  <c r="T13" i="378"/>
  <c r="S13" i="378"/>
  <c r="R13" i="378"/>
  <c r="G13" i="378"/>
  <c r="Q13" i="378" s="1"/>
  <c r="B13" i="378"/>
  <c r="P13" i="378" s="1"/>
  <c r="C63" i="176" l="1"/>
  <c r="C62" i="176"/>
  <c r="C126" i="176" l="1"/>
  <c r="B158" i="25"/>
  <c r="O158" i="25" s="1"/>
  <c r="BK158" i="25" s="1"/>
  <c r="A158" i="25"/>
  <c r="AJ21" i="377"/>
  <c r="T21" i="377"/>
  <c r="S21" i="377"/>
  <c r="R21" i="377"/>
  <c r="Q21" i="377"/>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P18" i="377"/>
  <c r="G18" i="377"/>
  <c r="Q18" i="377" s="1"/>
  <c r="B18" i="377"/>
  <c r="AJ17" i="377"/>
  <c r="T17" i="377"/>
  <c r="S17" i="377"/>
  <c r="R17" i="377"/>
  <c r="Q17" i="377"/>
  <c r="P17" i="377"/>
  <c r="G17" i="377"/>
  <c r="B17" i="377"/>
  <c r="AJ16" i="377"/>
  <c r="T16" i="377"/>
  <c r="S16" i="377"/>
  <c r="R16" i="377"/>
  <c r="Q16" i="377"/>
  <c r="P16" i="377"/>
  <c r="G16" i="377"/>
  <c r="B16" i="377"/>
  <c r="AJ15" i="377"/>
  <c r="T15" i="377"/>
  <c r="S15" i="377"/>
  <c r="R15" i="377"/>
  <c r="Q15" i="377"/>
  <c r="P15" i="377"/>
  <c r="G15" i="377"/>
  <c r="B15" i="377"/>
  <c r="AJ14" i="377"/>
  <c r="T14" i="377"/>
  <c r="S14" i="377"/>
  <c r="R14" i="377"/>
  <c r="Q14" i="377"/>
  <c r="G14" i="377"/>
  <c r="B14" i="377"/>
  <c r="P14" i="377" s="1"/>
  <c r="AJ13" i="377"/>
  <c r="T13" i="377"/>
  <c r="S13" i="377"/>
  <c r="R13" i="377"/>
  <c r="G13" i="377"/>
  <c r="Q13" i="377" s="1"/>
  <c r="B13" i="377"/>
  <c r="P13" i="377" s="1"/>
  <c r="J137" i="176"/>
  <c r="E134" i="176"/>
  <c r="J131" i="176"/>
  <c r="T128" i="176"/>
  <c r="E128" i="176"/>
  <c r="W126" i="176"/>
  <c r="C125" i="176"/>
  <c r="W125" i="176" s="1"/>
  <c r="W124" i="176"/>
  <c r="AM158" i="25"/>
  <c r="E19" i="176" l="1"/>
  <c r="AJ19" i="358"/>
  <c r="T19" i="358"/>
  <c r="S19" i="358"/>
  <c r="R19" i="358"/>
  <c r="G19" i="358"/>
  <c r="Q19" i="358" s="1"/>
  <c r="B19" i="358"/>
  <c r="P19" i="358" s="1"/>
  <c r="AJ18" i="358"/>
  <c r="T18" i="358"/>
  <c r="S18" i="358"/>
  <c r="R18" i="358"/>
  <c r="G18" i="358"/>
  <c r="Q18" i="358" s="1"/>
  <c r="B18" i="358"/>
  <c r="P18" i="358" s="1"/>
  <c r="C16" i="176"/>
  <c r="W16" i="176" s="1"/>
  <c r="T19" i="176"/>
  <c r="W17" i="176"/>
  <c r="W15" i="176"/>
  <c r="AJ17" i="360" l="1"/>
  <c r="T17" i="360"/>
  <c r="S17" i="360"/>
  <c r="R17" i="360"/>
  <c r="P17" i="360"/>
  <c r="G17" i="360"/>
  <c r="Q17" i="360" s="1"/>
  <c r="B17" i="360"/>
  <c r="J119" i="176" l="1"/>
  <c r="J116" i="176"/>
  <c r="E113" i="176"/>
  <c r="E110" i="176"/>
  <c r="E95" i="176"/>
  <c r="E154" i="178"/>
  <c r="T151" i="178"/>
  <c r="E151" i="178"/>
  <c r="E142" i="178"/>
  <c r="T139" i="178"/>
  <c r="E139" i="178"/>
  <c r="E130" i="178"/>
  <c r="T127" i="178"/>
  <c r="E127" i="178"/>
  <c r="E118" i="178"/>
  <c r="T115" i="178"/>
  <c r="E115" i="178"/>
  <c r="E106" i="178"/>
  <c r="T103" i="178"/>
  <c r="E103" i="178"/>
  <c r="E94" i="178"/>
  <c r="T91" i="178"/>
  <c r="E91" i="178"/>
  <c r="E430" i="178"/>
  <c r="T427" i="178"/>
  <c r="E427" i="178"/>
  <c r="E418" i="178"/>
  <c r="T415" i="178"/>
  <c r="E415" i="178"/>
  <c r="E406" i="178"/>
  <c r="T403" i="178"/>
  <c r="E403" i="178"/>
  <c r="E394" i="178"/>
  <c r="T391" i="178"/>
  <c r="E391" i="178"/>
  <c r="E382" i="178"/>
  <c r="T379" i="178"/>
  <c r="E379" i="178"/>
  <c r="E370" i="178"/>
  <c r="T367" i="178"/>
  <c r="E367" i="178"/>
  <c r="E358" i="178"/>
  <c r="T355" i="178"/>
  <c r="E355" i="178"/>
  <c r="E346" i="178"/>
  <c r="T343" i="178"/>
  <c r="E343" i="178"/>
  <c r="E334" i="178"/>
  <c r="T331" i="178"/>
  <c r="E331" i="178"/>
  <c r="E322" i="178"/>
  <c r="T319" i="178"/>
  <c r="E319" i="178"/>
  <c r="E310" i="178"/>
  <c r="T307" i="178"/>
  <c r="E307" i="178"/>
  <c r="E298" i="178"/>
  <c r="T295" i="178"/>
  <c r="E295" i="178"/>
  <c r="E286" i="178"/>
  <c r="T283" i="178"/>
  <c r="E283" i="178"/>
  <c r="E274" i="178"/>
  <c r="T271" i="178"/>
  <c r="E271" i="178"/>
  <c r="E262" i="178"/>
  <c r="T259" i="178"/>
  <c r="E259" i="178"/>
  <c r="E250" i="178"/>
  <c r="T247" i="178"/>
  <c r="E247" i="178"/>
  <c r="E238" i="178"/>
  <c r="T235" i="178"/>
  <c r="E235" i="178"/>
  <c r="E226" i="178"/>
  <c r="T223" i="178"/>
  <c r="E223" i="178"/>
  <c r="E214" i="178"/>
  <c r="T211" i="178"/>
  <c r="E211" i="178"/>
  <c r="E202" i="178"/>
  <c r="T199" i="178"/>
  <c r="E199" i="178"/>
  <c r="E190" i="178"/>
  <c r="T187" i="178"/>
  <c r="E187" i="178"/>
  <c r="E178" i="178"/>
  <c r="T175" i="178"/>
  <c r="E175" i="178"/>
  <c r="E166" i="178"/>
  <c r="T163" i="178"/>
  <c r="E163" i="178"/>
  <c r="E82" i="178"/>
  <c r="T79" i="178"/>
  <c r="E79" i="178"/>
  <c r="E70" i="178"/>
  <c r="T67" i="178"/>
  <c r="E67" i="178"/>
  <c r="E58" i="178"/>
  <c r="T55" i="178"/>
  <c r="E55" i="178"/>
  <c r="E46" i="178"/>
  <c r="T43" i="178"/>
  <c r="E43" i="178"/>
  <c r="E34" i="178"/>
  <c r="T31" i="178"/>
  <c r="E31" i="178"/>
  <c r="E22" i="178"/>
  <c r="T19" i="178"/>
  <c r="E19" i="178"/>
  <c r="E10" i="178"/>
  <c r="T7" i="178"/>
  <c r="E7" i="178"/>
  <c r="AJ24" i="376"/>
  <c r="T24" i="376"/>
  <c r="S24" i="376"/>
  <c r="R24" i="376"/>
  <c r="P24" i="376"/>
  <c r="G24" i="376"/>
  <c r="Q24" i="376" s="1"/>
  <c r="B24" i="376"/>
  <c r="AJ23" i="376"/>
  <c r="T23" i="376"/>
  <c r="S23" i="376"/>
  <c r="R23" i="376"/>
  <c r="Q23" i="376"/>
  <c r="P23" i="376"/>
  <c r="G23" i="376"/>
  <c r="B23" i="376"/>
  <c r="AJ22" i="376"/>
  <c r="T22" i="376"/>
  <c r="S22" i="376"/>
  <c r="R22" i="376"/>
  <c r="Q22" i="376"/>
  <c r="G22" i="376"/>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Q19" i="376"/>
  <c r="P19" i="376"/>
  <c r="G19" i="376"/>
  <c r="B19" i="376"/>
  <c r="AJ18" i="376"/>
  <c r="T18" i="376"/>
  <c r="S18" i="376"/>
  <c r="R18" i="376"/>
  <c r="Q18" i="376"/>
  <c r="G18" i="376"/>
  <c r="B18" i="376"/>
  <c r="P18" i="376" s="1"/>
  <c r="AJ17" i="376"/>
  <c r="T17" i="376"/>
  <c r="S17" i="376"/>
  <c r="R17" i="376"/>
  <c r="G17" i="376"/>
  <c r="Q17" i="376" s="1"/>
  <c r="B17" i="376"/>
  <c r="P17" i="376" s="1"/>
  <c r="AJ16" i="376"/>
  <c r="T16" i="376"/>
  <c r="S16" i="376"/>
  <c r="R16" i="376"/>
  <c r="P16" i="376"/>
  <c r="G16" i="376"/>
  <c r="Q16" i="376" s="1"/>
  <c r="B16" i="376"/>
  <c r="AJ15" i="376"/>
  <c r="T15" i="376"/>
  <c r="S15" i="376"/>
  <c r="R15" i="376"/>
  <c r="Q15" i="376"/>
  <c r="P15" i="376"/>
  <c r="G15" i="376"/>
  <c r="B15" i="376"/>
  <c r="AJ14" i="376"/>
  <c r="T14" i="376"/>
  <c r="S14" i="376"/>
  <c r="R14" i="376"/>
  <c r="Q14" i="376"/>
  <c r="G14" i="376"/>
  <c r="B14" i="376"/>
  <c r="P14" i="376" s="1"/>
  <c r="AJ13" i="376"/>
  <c r="T13" i="376"/>
  <c r="S13" i="376"/>
  <c r="R13" i="376"/>
  <c r="G13" i="376"/>
  <c r="Q13" i="376" s="1"/>
  <c r="B13" i="376"/>
  <c r="P13" i="376" s="1"/>
  <c r="D9" i="376"/>
  <c r="AJ41" i="375"/>
  <c r="T41" i="375"/>
  <c r="S41" i="375"/>
  <c r="R41" i="375"/>
  <c r="P41" i="375"/>
  <c r="G41" i="375"/>
  <c r="Q41" i="375" s="1"/>
  <c r="B41" i="375"/>
  <c r="AJ40" i="375"/>
  <c r="T40" i="375"/>
  <c r="S40" i="375"/>
  <c r="R40" i="375"/>
  <c r="Q40" i="375"/>
  <c r="P40" i="375"/>
  <c r="G40" i="375"/>
  <c r="B40" i="375"/>
  <c r="AJ39" i="375"/>
  <c r="T39" i="375"/>
  <c r="S39" i="375"/>
  <c r="R39" i="375"/>
  <c r="Q39" i="375"/>
  <c r="G39" i="375"/>
  <c r="B39" i="375"/>
  <c r="P39" i="375" s="1"/>
  <c r="AJ38" i="375"/>
  <c r="T38" i="375"/>
  <c r="S38" i="375"/>
  <c r="R38" i="375"/>
  <c r="P38" i="375"/>
  <c r="G38" i="375"/>
  <c r="Q38" i="375" s="1"/>
  <c r="B38" i="375"/>
  <c r="AJ37" i="375"/>
  <c r="T37" i="375"/>
  <c r="S37" i="375"/>
  <c r="R37" i="375"/>
  <c r="Q37" i="375"/>
  <c r="G37" i="375"/>
  <c r="B37" i="375"/>
  <c r="P37" i="375" s="1"/>
  <c r="AJ36" i="375"/>
  <c r="T36" i="375"/>
  <c r="S36" i="375"/>
  <c r="R36" i="375"/>
  <c r="G36" i="375"/>
  <c r="Q36" i="375" s="1"/>
  <c r="B36" i="375"/>
  <c r="P36" i="375" s="1"/>
  <c r="AJ35" i="375"/>
  <c r="T35" i="375"/>
  <c r="S35" i="375"/>
  <c r="R35" i="375"/>
  <c r="P35" i="375"/>
  <c r="G35" i="375"/>
  <c r="Q35" i="375" s="1"/>
  <c r="B35" i="375"/>
  <c r="AJ34" i="375"/>
  <c r="T34" i="375"/>
  <c r="S34" i="375"/>
  <c r="R34" i="375"/>
  <c r="Q34" i="375"/>
  <c r="G34" i="375"/>
  <c r="B34" i="375"/>
  <c r="P34" i="375" s="1"/>
  <c r="AJ33" i="375"/>
  <c r="T33" i="375"/>
  <c r="S33" i="375"/>
  <c r="R33" i="375"/>
  <c r="P33" i="375"/>
  <c r="G33" i="375"/>
  <c r="Q33" i="375" s="1"/>
  <c r="B33" i="375"/>
  <c r="AJ32" i="375"/>
  <c r="T32" i="375"/>
  <c r="S32" i="375"/>
  <c r="R32" i="375"/>
  <c r="Q32" i="375"/>
  <c r="P32" i="375"/>
  <c r="G32" i="375"/>
  <c r="B32" i="375"/>
  <c r="AJ31" i="375"/>
  <c r="T31" i="375"/>
  <c r="S31" i="375"/>
  <c r="R31" i="375"/>
  <c r="Q31" i="375"/>
  <c r="G31" i="375"/>
  <c r="B31" i="375"/>
  <c r="P31" i="375" s="1"/>
  <c r="AJ30" i="375"/>
  <c r="T30" i="375"/>
  <c r="S30" i="375"/>
  <c r="R30" i="375"/>
  <c r="P30" i="375"/>
  <c r="G30" i="375"/>
  <c r="Q30" i="375" s="1"/>
  <c r="B30" i="375"/>
  <c r="AJ29" i="375"/>
  <c r="T29" i="375"/>
  <c r="S29" i="375"/>
  <c r="R29" i="375"/>
  <c r="Q29" i="375"/>
  <c r="G29" i="375"/>
  <c r="B29" i="375"/>
  <c r="P29" i="375" s="1"/>
  <c r="AJ28" i="375"/>
  <c r="T28" i="375"/>
  <c r="S28" i="375"/>
  <c r="R28" i="375"/>
  <c r="G28" i="375"/>
  <c r="Q28" i="375" s="1"/>
  <c r="B28" i="375"/>
  <c r="P28" i="375" s="1"/>
  <c r="AJ27" i="375"/>
  <c r="T27" i="375"/>
  <c r="S27" i="375"/>
  <c r="R27" i="375"/>
  <c r="P27" i="375"/>
  <c r="G27" i="375"/>
  <c r="Q27" i="375" s="1"/>
  <c r="B27" i="375"/>
  <c r="AJ26" i="375"/>
  <c r="T26" i="375"/>
  <c r="S26" i="375"/>
  <c r="R26" i="375"/>
  <c r="Q26" i="375"/>
  <c r="G26" i="375"/>
  <c r="B26" i="375"/>
  <c r="P26" i="375" s="1"/>
  <c r="AJ25" i="375"/>
  <c r="T25" i="375"/>
  <c r="S25" i="375"/>
  <c r="R25" i="375"/>
  <c r="P25" i="375"/>
  <c r="G25" i="375"/>
  <c r="Q25" i="375" s="1"/>
  <c r="B25" i="375"/>
  <c r="AJ24" i="375"/>
  <c r="T24" i="375"/>
  <c r="S24" i="375"/>
  <c r="R24" i="375"/>
  <c r="Q24" i="375"/>
  <c r="P24" i="375"/>
  <c r="G24" i="375"/>
  <c r="B24" i="375"/>
  <c r="AJ23" i="375"/>
  <c r="T23" i="375"/>
  <c r="S23" i="375"/>
  <c r="R23" i="375"/>
  <c r="Q23" i="375"/>
  <c r="G23" i="375"/>
  <c r="B23" i="375"/>
  <c r="P23" i="375" s="1"/>
  <c r="AJ22" i="375"/>
  <c r="T22" i="375"/>
  <c r="S22" i="375"/>
  <c r="R22" i="375"/>
  <c r="P22" i="375"/>
  <c r="G22" i="375"/>
  <c r="Q22" i="375" s="1"/>
  <c r="B22" i="375"/>
  <c r="AJ21" i="375"/>
  <c r="T21" i="375"/>
  <c r="S21" i="375"/>
  <c r="R21" i="375"/>
  <c r="Q21" i="375"/>
  <c r="G21" i="375"/>
  <c r="B21" i="375"/>
  <c r="P21" i="375" s="1"/>
  <c r="AJ20" i="375"/>
  <c r="T20" i="375"/>
  <c r="S20" i="375"/>
  <c r="R20" i="375"/>
  <c r="G20" i="375"/>
  <c r="Q20" i="375" s="1"/>
  <c r="B20" i="375"/>
  <c r="P20" i="375" s="1"/>
  <c r="AJ19" i="375"/>
  <c r="T19" i="375"/>
  <c r="S19" i="375"/>
  <c r="R19" i="375"/>
  <c r="P19" i="375"/>
  <c r="G19" i="375"/>
  <c r="Q19" i="375" s="1"/>
  <c r="B19" i="375"/>
  <c r="AJ18" i="375"/>
  <c r="T18" i="375"/>
  <c r="S18" i="375"/>
  <c r="R18" i="375"/>
  <c r="Q18" i="375"/>
  <c r="G18" i="375"/>
  <c r="B18" i="375"/>
  <c r="P18" i="375" s="1"/>
  <c r="AJ17" i="375"/>
  <c r="T17" i="375"/>
  <c r="S17" i="375"/>
  <c r="R17" i="375"/>
  <c r="P17" i="375"/>
  <c r="G17" i="375"/>
  <c r="Q17" i="375" s="1"/>
  <c r="B17" i="375"/>
  <c r="AJ16" i="375"/>
  <c r="T16" i="375"/>
  <c r="S16" i="375"/>
  <c r="R16" i="375"/>
  <c r="Q16" i="375"/>
  <c r="P16" i="375"/>
  <c r="G16" i="375"/>
  <c r="B16" i="375"/>
  <c r="AJ15" i="375"/>
  <c r="T15" i="375"/>
  <c r="S15" i="375"/>
  <c r="R15" i="375"/>
  <c r="Q15" i="375"/>
  <c r="G15" i="375"/>
  <c r="B15" i="375"/>
  <c r="P15" i="375" s="1"/>
  <c r="AJ14" i="375"/>
  <c r="T14" i="375"/>
  <c r="S14" i="375"/>
  <c r="R14" i="375"/>
  <c r="P14" i="375"/>
  <c r="G14" i="375"/>
  <c r="Q14" i="375" s="1"/>
  <c r="B14" i="375"/>
  <c r="AJ13" i="375"/>
  <c r="T13" i="375"/>
  <c r="S13" i="375"/>
  <c r="R13" i="375"/>
  <c r="Q13" i="375"/>
  <c r="G13" i="375"/>
  <c r="B13" i="375"/>
  <c r="P13" i="375" s="1"/>
  <c r="D9" i="375"/>
  <c r="AJ23" i="374"/>
  <c r="T23" i="374"/>
  <c r="S23" i="374"/>
  <c r="R23" i="374"/>
  <c r="P23" i="374"/>
  <c r="G23" i="374"/>
  <c r="Q23" i="374" s="1"/>
  <c r="B23" i="374"/>
  <c r="AJ22" i="374"/>
  <c r="T22" i="374"/>
  <c r="S22" i="374"/>
  <c r="R22" i="374"/>
  <c r="Q22" i="374"/>
  <c r="P22" i="374"/>
  <c r="G22" i="374"/>
  <c r="B22" i="374"/>
  <c r="AJ21" i="374"/>
  <c r="T21" i="374"/>
  <c r="S21" i="374"/>
  <c r="R21" i="374"/>
  <c r="Q21" i="374"/>
  <c r="G21" i="374"/>
  <c r="B21" i="374"/>
  <c r="P21" i="374" s="1"/>
  <c r="AJ20" i="374"/>
  <c r="T20" i="374"/>
  <c r="S20" i="374"/>
  <c r="R20" i="374"/>
  <c r="G20" i="374"/>
  <c r="Q20" i="374" s="1"/>
  <c r="B20" i="374"/>
  <c r="P20" i="374" s="1"/>
  <c r="AJ19" i="374"/>
  <c r="T19" i="374"/>
  <c r="S19" i="374"/>
  <c r="R19" i="374"/>
  <c r="G19" i="374"/>
  <c r="Q19" i="374" s="1"/>
  <c r="B19" i="374"/>
  <c r="P19" i="374" s="1"/>
  <c r="AJ18" i="374"/>
  <c r="T18" i="374"/>
  <c r="S18" i="374"/>
  <c r="R18" i="374"/>
  <c r="G18" i="374"/>
  <c r="Q18" i="374" s="1"/>
  <c r="B18" i="374"/>
  <c r="P18" i="374" s="1"/>
  <c r="AJ17" i="374"/>
  <c r="T17" i="374"/>
  <c r="S17" i="374"/>
  <c r="R17" i="374"/>
  <c r="G17" i="374"/>
  <c r="Q17" i="374" s="1"/>
  <c r="B17" i="374"/>
  <c r="P17" i="374" s="1"/>
  <c r="AJ16" i="374"/>
  <c r="T16" i="374"/>
  <c r="S16" i="374"/>
  <c r="R16" i="374"/>
  <c r="G16" i="374"/>
  <c r="Q16" i="374" s="1"/>
  <c r="B16" i="374"/>
  <c r="P16" i="374" s="1"/>
  <c r="AJ15" i="374"/>
  <c r="T15" i="374"/>
  <c r="S15" i="374"/>
  <c r="R15" i="374"/>
  <c r="P15" i="374"/>
  <c r="G15" i="374"/>
  <c r="Q15" i="374" s="1"/>
  <c r="B15" i="374"/>
  <c r="AJ14" i="374"/>
  <c r="T14" i="374"/>
  <c r="S14" i="374"/>
  <c r="R14" i="374"/>
  <c r="Q14" i="374"/>
  <c r="P14" i="374"/>
  <c r="G14" i="374"/>
  <c r="B14" i="374"/>
  <c r="AJ13" i="374"/>
  <c r="T13" i="374"/>
  <c r="S13" i="374"/>
  <c r="R13" i="374"/>
  <c r="Q13" i="374"/>
  <c r="G13" i="374"/>
  <c r="B13" i="374"/>
  <c r="P13" i="374" s="1"/>
  <c r="D9" i="374"/>
  <c r="AJ22" i="373"/>
  <c r="T22" i="373"/>
  <c r="S22" i="373"/>
  <c r="R22" i="373"/>
  <c r="G22" i="373"/>
  <c r="Q22" i="373" s="1"/>
  <c r="B22" i="373"/>
  <c r="P22" i="373" s="1"/>
  <c r="AJ21" i="373"/>
  <c r="T21" i="373"/>
  <c r="S21" i="373"/>
  <c r="R21" i="373"/>
  <c r="P21" i="373"/>
  <c r="G21" i="373"/>
  <c r="Q21" i="373" s="1"/>
  <c r="B21" i="373"/>
  <c r="AJ20" i="373"/>
  <c r="T20" i="373"/>
  <c r="S20" i="373"/>
  <c r="R20" i="373"/>
  <c r="Q20" i="373"/>
  <c r="P20" i="373"/>
  <c r="G20" i="373"/>
  <c r="B20" i="373"/>
  <c r="AJ19" i="373"/>
  <c r="T19" i="373"/>
  <c r="S19" i="373"/>
  <c r="R19" i="373"/>
  <c r="Q19" i="373"/>
  <c r="G19" i="373"/>
  <c r="B19" i="373"/>
  <c r="P19" i="373" s="1"/>
  <c r="AJ18" i="373"/>
  <c r="T18" i="373"/>
  <c r="S18" i="373"/>
  <c r="R18" i="373"/>
  <c r="G18" i="373"/>
  <c r="Q18" i="373" s="1"/>
  <c r="B18" i="373"/>
  <c r="P18" i="373" s="1"/>
  <c r="AJ17" i="373"/>
  <c r="T17" i="373"/>
  <c r="S17" i="373"/>
  <c r="R17" i="373"/>
  <c r="P17" i="373"/>
  <c r="G17" i="373"/>
  <c r="Q17" i="373" s="1"/>
  <c r="B17" i="373"/>
  <c r="AJ16" i="373"/>
  <c r="T16" i="373"/>
  <c r="S16" i="373"/>
  <c r="R16" i="373"/>
  <c r="P16" i="373"/>
  <c r="G16" i="373"/>
  <c r="Q16" i="373" s="1"/>
  <c r="B16" i="373"/>
  <c r="AJ15" i="373"/>
  <c r="T15" i="373"/>
  <c r="S15" i="373"/>
  <c r="R15" i="373"/>
  <c r="Q15" i="373"/>
  <c r="G15" i="373"/>
  <c r="B15" i="373"/>
  <c r="P15" i="373" s="1"/>
  <c r="AJ14" i="373"/>
  <c r="T14" i="373"/>
  <c r="S14" i="373"/>
  <c r="R14" i="373"/>
  <c r="G14" i="373"/>
  <c r="Q14" i="373" s="1"/>
  <c r="B14" i="373"/>
  <c r="P14" i="373" s="1"/>
  <c r="AJ13" i="373"/>
  <c r="T13" i="373"/>
  <c r="S13" i="373"/>
  <c r="R13" i="373"/>
  <c r="P13" i="373"/>
  <c r="G13" i="373"/>
  <c r="Q13" i="373" s="1"/>
  <c r="B13" i="373"/>
  <c r="D9" i="373"/>
  <c r="AJ22" i="372"/>
  <c r="T22" i="372"/>
  <c r="S22" i="372"/>
  <c r="R22" i="372"/>
  <c r="P22" i="372"/>
  <c r="G22" i="372"/>
  <c r="Q22" i="372" s="1"/>
  <c r="B22" i="372"/>
  <c r="AJ21" i="372"/>
  <c r="T21" i="372"/>
  <c r="S21" i="372"/>
  <c r="R21" i="372"/>
  <c r="Q21" i="372"/>
  <c r="P21" i="372"/>
  <c r="G21" i="372"/>
  <c r="B21" i="372"/>
  <c r="AJ20" i="372"/>
  <c r="T20" i="372"/>
  <c r="S20" i="372"/>
  <c r="R20" i="372"/>
  <c r="Q20" i="372"/>
  <c r="G20" i="372"/>
  <c r="B20" i="372"/>
  <c r="P20" i="372" s="1"/>
  <c r="AJ19" i="372"/>
  <c r="T19" i="372"/>
  <c r="S19" i="372"/>
  <c r="R19" i="372"/>
  <c r="G19" i="372"/>
  <c r="Q19" i="372" s="1"/>
  <c r="B19" i="372"/>
  <c r="P19" i="372" s="1"/>
  <c r="AJ18" i="372"/>
  <c r="T18" i="372"/>
  <c r="S18" i="372"/>
  <c r="R18" i="372"/>
  <c r="G18" i="372"/>
  <c r="Q18" i="372" s="1"/>
  <c r="B18" i="372"/>
  <c r="P18" i="372" s="1"/>
  <c r="AJ17" i="372"/>
  <c r="T17" i="372"/>
  <c r="S17" i="372"/>
  <c r="R17" i="372"/>
  <c r="G17" i="372"/>
  <c r="Q17" i="372" s="1"/>
  <c r="B17" i="372"/>
  <c r="P17" i="372" s="1"/>
  <c r="AJ16" i="372"/>
  <c r="T16" i="372"/>
  <c r="S16" i="372"/>
  <c r="R16" i="372"/>
  <c r="G16" i="372"/>
  <c r="Q16" i="372" s="1"/>
  <c r="B16" i="372"/>
  <c r="P16" i="372" s="1"/>
  <c r="AJ15" i="372"/>
  <c r="T15" i="372"/>
  <c r="S15" i="372"/>
  <c r="R15" i="372"/>
  <c r="G15" i="372"/>
  <c r="Q15" i="372" s="1"/>
  <c r="B15" i="372"/>
  <c r="P15" i="372" s="1"/>
  <c r="AJ14" i="372"/>
  <c r="T14" i="372"/>
  <c r="S14" i="372"/>
  <c r="R14" i="372"/>
  <c r="P14" i="372"/>
  <c r="G14" i="372"/>
  <c r="Q14" i="372" s="1"/>
  <c r="B14" i="372"/>
  <c r="AJ13" i="372"/>
  <c r="T13" i="372"/>
  <c r="S13" i="372"/>
  <c r="R13" i="372"/>
  <c r="Q13" i="372"/>
  <c r="P13" i="372"/>
  <c r="G13" i="372"/>
  <c r="B13" i="372"/>
  <c r="D9" i="372"/>
  <c r="AJ46" i="371"/>
  <c r="T46" i="371"/>
  <c r="S46" i="371"/>
  <c r="R46" i="371"/>
  <c r="P46" i="371"/>
  <c r="G46" i="371"/>
  <c r="Q46" i="371" s="1"/>
  <c r="B46" i="371"/>
  <c r="AJ45" i="371"/>
  <c r="T45" i="371"/>
  <c r="S45" i="371"/>
  <c r="R45" i="371"/>
  <c r="Q45" i="371"/>
  <c r="P45" i="371"/>
  <c r="G45" i="371"/>
  <c r="B45" i="371"/>
  <c r="AJ44" i="371"/>
  <c r="T44" i="371"/>
  <c r="S44" i="371"/>
  <c r="R44" i="371"/>
  <c r="Q44" i="371"/>
  <c r="G44" i="371"/>
  <c r="B44" i="371"/>
  <c r="P44" i="371" s="1"/>
  <c r="AJ43" i="371"/>
  <c r="T43" i="371"/>
  <c r="S43" i="371"/>
  <c r="R43" i="371"/>
  <c r="P43" i="371"/>
  <c r="G43" i="371"/>
  <c r="Q43" i="371" s="1"/>
  <c r="B43" i="371"/>
  <c r="AJ42" i="371"/>
  <c r="T42" i="371"/>
  <c r="S42" i="371"/>
  <c r="R42" i="371"/>
  <c r="Q42" i="371"/>
  <c r="G42" i="371"/>
  <c r="B42" i="371"/>
  <c r="P42" i="371" s="1"/>
  <c r="AJ41" i="371"/>
  <c r="T41" i="371"/>
  <c r="S41" i="371"/>
  <c r="R41" i="371"/>
  <c r="P41" i="371"/>
  <c r="G41" i="371"/>
  <c r="Q41" i="371" s="1"/>
  <c r="B41" i="371"/>
  <c r="AJ40" i="371"/>
  <c r="T40" i="371"/>
  <c r="S40" i="371"/>
  <c r="R40" i="371"/>
  <c r="Q40" i="371"/>
  <c r="G40" i="371"/>
  <c r="B40" i="371"/>
  <c r="P40" i="371" s="1"/>
  <c r="AJ39" i="371"/>
  <c r="T39" i="371"/>
  <c r="S39" i="371"/>
  <c r="R39" i="371"/>
  <c r="G39" i="371"/>
  <c r="Q39" i="371" s="1"/>
  <c r="B39" i="371"/>
  <c r="P39" i="371" s="1"/>
  <c r="AJ38" i="371"/>
  <c r="T38" i="371"/>
  <c r="S38" i="371"/>
  <c r="R38" i="371"/>
  <c r="P38" i="371"/>
  <c r="G38" i="371"/>
  <c r="Q38" i="371" s="1"/>
  <c r="B38" i="371"/>
  <c r="AJ37" i="371"/>
  <c r="T37" i="371"/>
  <c r="S37" i="371"/>
  <c r="R37" i="371"/>
  <c r="Q37" i="371"/>
  <c r="P37" i="371"/>
  <c r="G37" i="371"/>
  <c r="B37" i="371"/>
  <c r="AJ36" i="371"/>
  <c r="T36" i="371"/>
  <c r="S36" i="371"/>
  <c r="R36" i="371"/>
  <c r="Q36" i="371"/>
  <c r="G36" i="371"/>
  <c r="B36" i="371"/>
  <c r="P36" i="371" s="1"/>
  <c r="AJ35" i="371"/>
  <c r="T35" i="371"/>
  <c r="S35" i="371"/>
  <c r="R35" i="371"/>
  <c r="P35" i="371"/>
  <c r="G35" i="371"/>
  <c r="Q35" i="371" s="1"/>
  <c r="B35" i="371"/>
  <c r="AJ34" i="371"/>
  <c r="T34" i="371"/>
  <c r="S34" i="371"/>
  <c r="R34" i="371"/>
  <c r="Q34" i="371"/>
  <c r="G34" i="371"/>
  <c r="B34" i="371"/>
  <c r="P34" i="371" s="1"/>
  <c r="AJ33" i="371"/>
  <c r="T33" i="371"/>
  <c r="S33" i="371"/>
  <c r="R33" i="371"/>
  <c r="P33" i="371"/>
  <c r="G33" i="371"/>
  <c r="Q33" i="371" s="1"/>
  <c r="B33" i="371"/>
  <c r="AJ32" i="371"/>
  <c r="T32" i="371"/>
  <c r="S32" i="371"/>
  <c r="R32" i="371"/>
  <c r="Q32" i="371"/>
  <c r="G32" i="371"/>
  <c r="B32" i="371"/>
  <c r="P32" i="371" s="1"/>
  <c r="AJ31" i="371"/>
  <c r="T31" i="371"/>
  <c r="S31" i="371"/>
  <c r="R31" i="371"/>
  <c r="G31" i="371"/>
  <c r="Q31" i="371" s="1"/>
  <c r="B31" i="371"/>
  <c r="P31" i="371" s="1"/>
  <c r="AJ30" i="371"/>
  <c r="T30" i="371"/>
  <c r="S30" i="371"/>
  <c r="R30" i="371"/>
  <c r="P30" i="371"/>
  <c r="G30" i="371"/>
  <c r="Q30" i="371" s="1"/>
  <c r="B30" i="371"/>
  <c r="AJ29" i="371"/>
  <c r="T29" i="371"/>
  <c r="S29" i="371"/>
  <c r="R29" i="371"/>
  <c r="Q29" i="371"/>
  <c r="P29" i="371"/>
  <c r="G29" i="371"/>
  <c r="B29" i="371"/>
  <c r="AJ28" i="371"/>
  <c r="T28" i="371"/>
  <c r="S28" i="371"/>
  <c r="R28" i="371"/>
  <c r="Q28" i="371"/>
  <c r="P28" i="371"/>
  <c r="G28" i="371"/>
  <c r="B28" i="371"/>
  <c r="AJ27" i="371"/>
  <c r="T27" i="371"/>
  <c r="S27" i="371"/>
  <c r="R27" i="371"/>
  <c r="Q27" i="371"/>
  <c r="P27" i="371"/>
  <c r="G27" i="371"/>
  <c r="B27" i="371"/>
  <c r="AJ26" i="371"/>
  <c r="T26" i="371"/>
  <c r="S26" i="371"/>
  <c r="R26" i="371"/>
  <c r="Q26" i="371"/>
  <c r="G26" i="371"/>
  <c r="B26" i="371"/>
  <c r="P26" i="371" s="1"/>
  <c r="AJ25" i="371"/>
  <c r="T25" i="371"/>
  <c r="S25" i="371"/>
  <c r="R25" i="371"/>
  <c r="P25" i="371"/>
  <c r="G25" i="371"/>
  <c r="Q25" i="371" s="1"/>
  <c r="B25" i="371"/>
  <c r="AJ24" i="371"/>
  <c r="T24" i="371"/>
  <c r="S24" i="371"/>
  <c r="R24" i="371"/>
  <c r="Q24" i="371"/>
  <c r="G24" i="371"/>
  <c r="B24" i="371"/>
  <c r="P24" i="371" s="1"/>
  <c r="AJ23" i="371"/>
  <c r="T23" i="371"/>
  <c r="S23" i="371"/>
  <c r="R23" i="371"/>
  <c r="G23" i="371"/>
  <c r="Q23" i="371" s="1"/>
  <c r="B23" i="371"/>
  <c r="P23" i="371" s="1"/>
  <c r="AJ22" i="371"/>
  <c r="T22" i="371"/>
  <c r="S22" i="371"/>
  <c r="R22" i="371"/>
  <c r="P22" i="371"/>
  <c r="G22" i="371"/>
  <c r="Q22" i="371" s="1"/>
  <c r="B22" i="371"/>
  <c r="AJ21" i="371"/>
  <c r="T21" i="371"/>
  <c r="S21" i="371"/>
  <c r="R21" i="371"/>
  <c r="Q21" i="371"/>
  <c r="P21" i="371"/>
  <c r="G21" i="371"/>
  <c r="B21" i="371"/>
  <c r="AJ20" i="371"/>
  <c r="T20" i="371"/>
  <c r="S20" i="371"/>
  <c r="R20" i="371"/>
  <c r="Q20" i="371"/>
  <c r="P20" i="371"/>
  <c r="G20" i="371"/>
  <c r="B20" i="371"/>
  <c r="AJ19" i="371"/>
  <c r="T19" i="371"/>
  <c r="S19" i="371"/>
  <c r="R19" i="371"/>
  <c r="Q19" i="371"/>
  <c r="P19" i="371"/>
  <c r="G19" i="371"/>
  <c r="B19" i="371"/>
  <c r="AJ18" i="371"/>
  <c r="T18" i="371"/>
  <c r="S18" i="371"/>
  <c r="R18" i="371"/>
  <c r="Q18" i="371"/>
  <c r="G18" i="371"/>
  <c r="B18" i="371"/>
  <c r="P18" i="371" s="1"/>
  <c r="AJ17" i="371"/>
  <c r="T17" i="371"/>
  <c r="S17" i="371"/>
  <c r="R17" i="371"/>
  <c r="P17" i="371"/>
  <c r="G17" i="371"/>
  <c r="Q17" i="371" s="1"/>
  <c r="B17" i="371"/>
  <c r="AJ16" i="371"/>
  <c r="T16" i="371"/>
  <c r="S16" i="371"/>
  <c r="R16" i="371"/>
  <c r="Q16" i="371"/>
  <c r="G16" i="371"/>
  <c r="B16" i="371"/>
  <c r="P16" i="371" s="1"/>
  <c r="AJ15" i="371"/>
  <c r="T15" i="371"/>
  <c r="S15" i="371"/>
  <c r="R15" i="371"/>
  <c r="G15" i="371"/>
  <c r="Q15" i="371" s="1"/>
  <c r="B15" i="371"/>
  <c r="P15" i="371" s="1"/>
  <c r="AJ14" i="371"/>
  <c r="T14" i="371"/>
  <c r="S14" i="371"/>
  <c r="R14" i="371"/>
  <c r="P14" i="371"/>
  <c r="G14" i="371"/>
  <c r="Q14" i="371" s="1"/>
  <c r="B14" i="371"/>
  <c r="AJ13" i="371"/>
  <c r="T13" i="371"/>
  <c r="S13" i="371"/>
  <c r="R13" i="371"/>
  <c r="Q13" i="371"/>
  <c r="P13" i="371"/>
  <c r="G13" i="371"/>
  <c r="B13" i="371"/>
  <c r="D9" i="371"/>
  <c r="R151" i="178"/>
  <c r="C149" i="178" s="1"/>
  <c r="W149" i="178" s="1"/>
  <c r="W147" i="178"/>
  <c r="R139" i="178"/>
  <c r="C136" i="178" s="1"/>
  <c r="W136" i="178" s="1"/>
  <c r="W135" i="178"/>
  <c r="R127" i="178"/>
  <c r="C124" i="178" s="1"/>
  <c r="W124" i="178" s="1"/>
  <c r="W123" i="178"/>
  <c r="R115" i="178"/>
  <c r="C113" i="178" s="1"/>
  <c r="W113" i="178" s="1"/>
  <c r="W111" i="178"/>
  <c r="R103" i="178"/>
  <c r="C101" i="178" s="1"/>
  <c r="W101" i="178" s="1"/>
  <c r="W99" i="178"/>
  <c r="R91" i="178"/>
  <c r="C89" i="178" s="1"/>
  <c r="W89" i="178" s="1"/>
  <c r="W87" i="178"/>
  <c r="B178" i="25"/>
  <c r="BK178" i="25" s="1"/>
  <c r="A178" i="25"/>
  <c r="B177" i="25"/>
  <c r="BK177" i="25" s="1"/>
  <c r="A177" i="25"/>
  <c r="B176" i="25"/>
  <c r="BK176" i="25" s="1"/>
  <c r="A176" i="25"/>
  <c r="B175" i="25"/>
  <c r="BK175" i="25" s="1"/>
  <c r="A175" i="25"/>
  <c r="B174" i="25"/>
  <c r="BK174" i="25" s="1"/>
  <c r="A174" i="25"/>
  <c r="B202" i="25"/>
  <c r="BK202" i="25" s="1"/>
  <c r="A202" i="25"/>
  <c r="AM178" i="25"/>
  <c r="AM175" i="25"/>
  <c r="AM202" i="25"/>
  <c r="AM177" i="25"/>
  <c r="C148" i="178" l="1"/>
  <c r="W148" i="178" s="1"/>
  <c r="C125" i="178"/>
  <c r="W125" i="178" s="1"/>
  <c r="C137" i="178"/>
  <c r="W137" i="178" s="1"/>
  <c r="C88" i="178"/>
  <c r="W88" i="178" s="1"/>
  <c r="C100" i="178"/>
  <c r="W100" i="178" s="1"/>
  <c r="C112" i="178"/>
  <c r="W112" i="178" s="1"/>
  <c r="C5" i="176"/>
  <c r="C26" i="176"/>
  <c r="C38" i="176"/>
  <c r="AM174" i="25"/>
  <c r="AM176" i="25"/>
  <c r="E104" i="176" l="1"/>
  <c r="C90" i="176"/>
  <c r="O83" i="176"/>
  <c r="J80" i="176"/>
  <c r="J77" i="176"/>
  <c r="J74" i="176"/>
  <c r="J71" i="176"/>
  <c r="E68" i="176"/>
  <c r="T65" i="176"/>
  <c r="E65" i="176"/>
  <c r="W63" i="176"/>
  <c r="W62" i="176"/>
  <c r="W61" i="176"/>
  <c r="R637" i="174" l="1"/>
  <c r="T727" i="174" l="1"/>
  <c r="R727" i="174"/>
  <c r="C725" i="174" s="1"/>
  <c r="W725" i="174" s="1"/>
  <c r="C724" i="174"/>
  <c r="W724" i="174" s="1"/>
  <c r="W723" i="174"/>
  <c r="T718" i="174"/>
  <c r="R718" i="174"/>
  <c r="C716" i="174"/>
  <c r="W716" i="174" s="1"/>
  <c r="C715" i="174"/>
  <c r="W715" i="174" s="1"/>
  <c r="W714" i="174"/>
  <c r="T709" i="174"/>
  <c r="R709" i="174"/>
  <c r="C707" i="174" s="1"/>
  <c r="W707" i="174" s="1"/>
  <c r="C706" i="174"/>
  <c r="W706" i="174" s="1"/>
  <c r="W705" i="174"/>
  <c r="T700" i="174"/>
  <c r="R700" i="174"/>
  <c r="C698" i="174" s="1"/>
  <c r="W698" i="174" s="1"/>
  <c r="W696" i="174"/>
  <c r="T691" i="174"/>
  <c r="R691" i="174"/>
  <c r="C689" i="174" s="1"/>
  <c r="W689" i="174" s="1"/>
  <c r="C688" i="174"/>
  <c r="W688" i="174" s="1"/>
  <c r="W687" i="174"/>
  <c r="C680" i="174"/>
  <c r="R682" i="174"/>
  <c r="C679" i="174"/>
  <c r="T682" i="174"/>
  <c r="W679" i="174"/>
  <c r="W678" i="174"/>
  <c r="C635" i="174"/>
  <c r="W635" i="174" s="1"/>
  <c r="T637" i="174"/>
  <c r="W634" i="174"/>
  <c r="W633" i="174"/>
  <c r="AJ22" i="370"/>
  <c r="T22" i="370"/>
  <c r="S22" i="370"/>
  <c r="R22" i="370"/>
  <c r="P22" i="370"/>
  <c r="G22" i="370"/>
  <c r="Q22" i="370" s="1"/>
  <c r="B22" i="370"/>
  <c r="AJ24" i="370"/>
  <c r="T24" i="370"/>
  <c r="S24" i="370"/>
  <c r="R24" i="370"/>
  <c r="G24" i="370"/>
  <c r="Q24" i="370" s="1"/>
  <c r="B24" i="370"/>
  <c r="P24" i="370" s="1"/>
  <c r="AJ23" i="370"/>
  <c r="T23" i="370"/>
  <c r="S23" i="370"/>
  <c r="R23" i="370"/>
  <c r="G23" i="370"/>
  <c r="Q23" i="370" s="1"/>
  <c r="B23" i="370"/>
  <c r="P23" i="370" s="1"/>
  <c r="AJ21" i="370"/>
  <c r="T21" i="370"/>
  <c r="S21" i="370"/>
  <c r="R21" i="370"/>
  <c r="G21" i="370"/>
  <c r="Q21" i="370" s="1"/>
  <c r="B21" i="370"/>
  <c r="P21" i="370" s="1"/>
  <c r="AJ20" i="370"/>
  <c r="T20" i="370"/>
  <c r="S20" i="370"/>
  <c r="R20" i="370"/>
  <c r="G20" i="370"/>
  <c r="Q20" i="370" s="1"/>
  <c r="B20" i="370"/>
  <c r="P20" i="370" s="1"/>
  <c r="AJ19" i="370"/>
  <c r="T19" i="370"/>
  <c r="S19" i="370"/>
  <c r="R19" i="370"/>
  <c r="G19" i="370"/>
  <c r="Q19" i="370" s="1"/>
  <c r="B19" i="370"/>
  <c r="P19" i="370" s="1"/>
  <c r="AJ18" i="370"/>
  <c r="T18" i="370"/>
  <c r="S18" i="370"/>
  <c r="R18" i="370"/>
  <c r="G18" i="370"/>
  <c r="Q18" i="370" s="1"/>
  <c r="B18" i="370"/>
  <c r="P18" i="370" s="1"/>
  <c r="AJ17" i="370"/>
  <c r="T17" i="370"/>
  <c r="S17" i="370"/>
  <c r="R17" i="370"/>
  <c r="G17" i="370"/>
  <c r="Q17" i="370" s="1"/>
  <c r="B17" i="370"/>
  <c r="P17" i="370" s="1"/>
  <c r="AJ16" i="370"/>
  <c r="T16" i="370"/>
  <c r="S16" i="370"/>
  <c r="R16" i="370"/>
  <c r="G16" i="370"/>
  <c r="Q16" i="370" s="1"/>
  <c r="B16" i="370"/>
  <c r="P16" i="370" s="1"/>
  <c r="AJ15" i="370"/>
  <c r="T15" i="370"/>
  <c r="S15" i="370"/>
  <c r="R15" i="370"/>
  <c r="G15" i="370"/>
  <c r="Q15" i="370" s="1"/>
  <c r="B15" i="370"/>
  <c r="P15" i="370" s="1"/>
  <c r="AJ14" i="370"/>
  <c r="T14" i="370"/>
  <c r="S14" i="370"/>
  <c r="R14" i="370"/>
  <c r="Q14" i="370"/>
  <c r="G14" i="370"/>
  <c r="B14" i="370"/>
  <c r="P14" i="370" s="1"/>
  <c r="AJ13" i="370"/>
  <c r="T13" i="370"/>
  <c r="S13" i="370"/>
  <c r="R13" i="370"/>
  <c r="G13" i="370"/>
  <c r="Q13" i="370" s="1"/>
  <c r="B13" i="370"/>
  <c r="P13" i="370" s="1"/>
  <c r="D9" i="370"/>
  <c r="AJ41" i="369"/>
  <c r="T41" i="369"/>
  <c r="S41" i="369"/>
  <c r="R41" i="369"/>
  <c r="G41" i="369"/>
  <c r="Q41" i="369" s="1"/>
  <c r="B41" i="369"/>
  <c r="P41" i="369" s="1"/>
  <c r="AJ40" i="369"/>
  <c r="T40" i="369"/>
  <c r="S40" i="369"/>
  <c r="R40" i="369"/>
  <c r="G40" i="369"/>
  <c r="Q40" i="369" s="1"/>
  <c r="B40" i="369"/>
  <c r="P40" i="369" s="1"/>
  <c r="AJ39" i="369"/>
  <c r="T39" i="369"/>
  <c r="S39" i="369"/>
  <c r="R39" i="369"/>
  <c r="G39" i="369"/>
  <c r="Q39" i="369" s="1"/>
  <c r="B39" i="369"/>
  <c r="P39" i="369" s="1"/>
  <c r="AJ38" i="369"/>
  <c r="T38" i="369"/>
  <c r="S38" i="369"/>
  <c r="R38" i="369"/>
  <c r="G38" i="369"/>
  <c r="Q38" i="369" s="1"/>
  <c r="B38" i="369"/>
  <c r="P38" i="369" s="1"/>
  <c r="AJ37" i="369"/>
  <c r="T37" i="369"/>
  <c r="S37" i="369"/>
  <c r="R37" i="369"/>
  <c r="G37" i="369"/>
  <c r="Q37" i="369" s="1"/>
  <c r="B37" i="369"/>
  <c r="P37" i="369" s="1"/>
  <c r="AJ36" i="369"/>
  <c r="T36" i="369"/>
  <c r="S36" i="369"/>
  <c r="R36" i="369"/>
  <c r="G36" i="369"/>
  <c r="Q36" i="369" s="1"/>
  <c r="B36" i="369"/>
  <c r="P36" i="369" s="1"/>
  <c r="AJ35" i="369"/>
  <c r="T35" i="369"/>
  <c r="S35" i="369"/>
  <c r="R35" i="369"/>
  <c r="G35" i="369"/>
  <c r="Q35" i="369" s="1"/>
  <c r="B35" i="369"/>
  <c r="P35" i="369" s="1"/>
  <c r="AJ34" i="369"/>
  <c r="T34" i="369"/>
  <c r="S34" i="369"/>
  <c r="R34" i="369"/>
  <c r="G34" i="369"/>
  <c r="Q34" i="369" s="1"/>
  <c r="B34" i="369"/>
  <c r="P34" i="369" s="1"/>
  <c r="AJ33" i="369"/>
  <c r="T33" i="369"/>
  <c r="S33" i="369"/>
  <c r="R33" i="369"/>
  <c r="P33" i="369"/>
  <c r="G33" i="369"/>
  <c r="Q33" i="369" s="1"/>
  <c r="B33" i="369"/>
  <c r="AJ32" i="369"/>
  <c r="T32" i="369"/>
  <c r="S32" i="369"/>
  <c r="R32" i="369"/>
  <c r="G32" i="369"/>
  <c r="Q32" i="369" s="1"/>
  <c r="B32" i="369"/>
  <c r="P32" i="369" s="1"/>
  <c r="AJ31" i="369"/>
  <c r="T31" i="369"/>
  <c r="S31" i="369"/>
  <c r="R31" i="369"/>
  <c r="G31" i="369"/>
  <c r="Q31" i="369" s="1"/>
  <c r="B31" i="369"/>
  <c r="P31" i="369" s="1"/>
  <c r="AJ30" i="369"/>
  <c r="T30" i="369"/>
  <c r="S30" i="369"/>
  <c r="R30" i="369"/>
  <c r="G30" i="369"/>
  <c r="Q30" i="369" s="1"/>
  <c r="B30" i="369"/>
  <c r="P30" i="369" s="1"/>
  <c r="AJ29" i="369"/>
  <c r="T29" i="369"/>
  <c r="S29" i="369"/>
  <c r="R29" i="369"/>
  <c r="G29" i="369"/>
  <c r="Q29" i="369" s="1"/>
  <c r="B29" i="369"/>
  <c r="P29" i="369" s="1"/>
  <c r="AJ28" i="369"/>
  <c r="T28" i="369"/>
  <c r="S28" i="369"/>
  <c r="R28" i="369"/>
  <c r="G28" i="369"/>
  <c r="Q28" i="369" s="1"/>
  <c r="B28" i="369"/>
  <c r="P28" i="369" s="1"/>
  <c r="AJ27" i="369"/>
  <c r="T27" i="369"/>
  <c r="S27" i="369"/>
  <c r="R27" i="369"/>
  <c r="G27" i="369"/>
  <c r="Q27" i="369" s="1"/>
  <c r="B27" i="369"/>
  <c r="P27" i="369" s="1"/>
  <c r="AJ26" i="369"/>
  <c r="T26" i="369"/>
  <c r="S26" i="369"/>
  <c r="R26" i="369"/>
  <c r="G26" i="369"/>
  <c r="Q26" i="369" s="1"/>
  <c r="B26" i="369"/>
  <c r="P26" i="369" s="1"/>
  <c r="AJ25" i="369"/>
  <c r="T25" i="369"/>
  <c r="S25" i="369"/>
  <c r="R25" i="369"/>
  <c r="G25" i="369"/>
  <c r="Q25" i="369" s="1"/>
  <c r="B25" i="369"/>
  <c r="P25" i="369" s="1"/>
  <c r="AJ24" i="369"/>
  <c r="T24" i="369"/>
  <c r="S24" i="369"/>
  <c r="R24" i="369"/>
  <c r="G24" i="369"/>
  <c r="Q24" i="369" s="1"/>
  <c r="B24" i="369"/>
  <c r="P24" i="369" s="1"/>
  <c r="AJ23" i="369"/>
  <c r="T23" i="369"/>
  <c r="S23" i="369"/>
  <c r="R23" i="369"/>
  <c r="G23" i="369"/>
  <c r="Q23" i="369" s="1"/>
  <c r="B23" i="369"/>
  <c r="P23" i="369" s="1"/>
  <c r="AJ22" i="369"/>
  <c r="T22" i="369"/>
  <c r="S22" i="369"/>
  <c r="R22" i="369"/>
  <c r="P22" i="369"/>
  <c r="G22" i="369"/>
  <c r="Q22" i="369" s="1"/>
  <c r="B22" i="369"/>
  <c r="AJ21" i="369"/>
  <c r="T21" i="369"/>
  <c r="S21" i="369"/>
  <c r="R21" i="369"/>
  <c r="P21" i="369"/>
  <c r="G21" i="369"/>
  <c r="Q21" i="369" s="1"/>
  <c r="B21" i="369"/>
  <c r="AJ20" i="369"/>
  <c r="T20" i="369"/>
  <c r="S20" i="369"/>
  <c r="R20" i="369"/>
  <c r="G20" i="369"/>
  <c r="Q20" i="369" s="1"/>
  <c r="B20" i="369"/>
  <c r="P20" i="369" s="1"/>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G15" i="369"/>
  <c r="Q15" i="369" s="1"/>
  <c r="B15" i="369"/>
  <c r="P15" i="369" s="1"/>
  <c r="AJ14" i="369"/>
  <c r="T14" i="369"/>
  <c r="S14" i="369"/>
  <c r="R14" i="369"/>
  <c r="P14" i="369"/>
  <c r="G14" i="369"/>
  <c r="Q14" i="369" s="1"/>
  <c r="B14" i="369"/>
  <c r="AJ13" i="369"/>
  <c r="T13" i="369"/>
  <c r="S13" i="369"/>
  <c r="R13" i="369"/>
  <c r="P13" i="369"/>
  <c r="G13" i="369"/>
  <c r="Q13" i="369" s="1"/>
  <c r="B13" i="369"/>
  <c r="D9" i="369"/>
  <c r="AJ21" i="368"/>
  <c r="T21" i="368"/>
  <c r="S21" i="368"/>
  <c r="R21" i="368"/>
  <c r="P21" i="368"/>
  <c r="G21" i="368"/>
  <c r="Q21" i="368" s="1"/>
  <c r="B21" i="368"/>
  <c r="AJ23" i="368"/>
  <c r="T23" i="368"/>
  <c r="S23" i="368"/>
  <c r="R23" i="368"/>
  <c r="G23" i="368"/>
  <c r="Q23" i="368" s="1"/>
  <c r="B23" i="368"/>
  <c r="P23" i="368" s="1"/>
  <c r="AJ22" i="368"/>
  <c r="T22" i="368"/>
  <c r="S22" i="368"/>
  <c r="R22" i="368"/>
  <c r="G22" i="368"/>
  <c r="Q22" i="368" s="1"/>
  <c r="B22" i="368"/>
  <c r="P22" i="368" s="1"/>
  <c r="AJ20" i="368"/>
  <c r="T20" i="368"/>
  <c r="S20" i="368"/>
  <c r="R20" i="368"/>
  <c r="G20" i="368"/>
  <c r="Q20" i="368" s="1"/>
  <c r="B20" i="368"/>
  <c r="P20" i="368" s="1"/>
  <c r="AJ19" i="368"/>
  <c r="T19" i="368"/>
  <c r="S19" i="368"/>
  <c r="R19" i="368"/>
  <c r="G19" i="368"/>
  <c r="Q19" i="368" s="1"/>
  <c r="B19" i="368"/>
  <c r="P19" i="368" s="1"/>
  <c r="AJ18" i="368"/>
  <c r="T18" i="368"/>
  <c r="S18" i="368"/>
  <c r="R18" i="368"/>
  <c r="G18" i="368"/>
  <c r="Q18" i="368" s="1"/>
  <c r="B18" i="368"/>
  <c r="P18" i="368" s="1"/>
  <c r="AJ17" i="368"/>
  <c r="T17" i="368"/>
  <c r="S17" i="368"/>
  <c r="R17" i="368"/>
  <c r="Q17" i="368"/>
  <c r="G17" i="368"/>
  <c r="B17" i="368"/>
  <c r="P17" i="368" s="1"/>
  <c r="AJ16" i="368"/>
  <c r="T16" i="368"/>
  <c r="S16" i="368"/>
  <c r="R16" i="368"/>
  <c r="G16" i="368"/>
  <c r="Q16" i="368" s="1"/>
  <c r="B16" i="368"/>
  <c r="P16" i="368" s="1"/>
  <c r="AJ15" i="368"/>
  <c r="T15" i="368"/>
  <c r="S15" i="368"/>
  <c r="R15" i="368"/>
  <c r="G15" i="368"/>
  <c r="Q15" i="368" s="1"/>
  <c r="B15" i="368"/>
  <c r="P15" i="368" s="1"/>
  <c r="AJ14" i="368"/>
  <c r="T14" i="368"/>
  <c r="S14" i="368"/>
  <c r="R14" i="368"/>
  <c r="G14" i="368"/>
  <c r="Q14" i="368" s="1"/>
  <c r="B14" i="368"/>
  <c r="P14" i="368" s="1"/>
  <c r="AJ13" i="368"/>
  <c r="T13" i="368"/>
  <c r="S13" i="368"/>
  <c r="R13" i="368"/>
  <c r="G13" i="368"/>
  <c r="Q13" i="368" s="1"/>
  <c r="B13" i="368"/>
  <c r="P13" i="368" s="1"/>
  <c r="D9" i="368"/>
  <c r="AJ22" i="367"/>
  <c r="T22" i="367"/>
  <c r="S22" i="367"/>
  <c r="R22" i="367"/>
  <c r="P22" i="367"/>
  <c r="G22" i="367"/>
  <c r="Q22" i="367" s="1"/>
  <c r="B22" i="367"/>
  <c r="AJ21" i="367"/>
  <c r="T21" i="367"/>
  <c r="S21" i="367"/>
  <c r="R21" i="367"/>
  <c r="P21" i="367"/>
  <c r="G21" i="367"/>
  <c r="Q21" i="367" s="1"/>
  <c r="B21" i="367"/>
  <c r="AJ20" i="367"/>
  <c r="T20" i="367"/>
  <c r="S20" i="367"/>
  <c r="R20" i="367"/>
  <c r="G20" i="367"/>
  <c r="Q20" i="367" s="1"/>
  <c r="B20" i="367"/>
  <c r="P20" i="367" s="1"/>
  <c r="AJ19" i="367"/>
  <c r="T19" i="367"/>
  <c r="S19" i="367"/>
  <c r="R19" i="367"/>
  <c r="G19" i="367"/>
  <c r="Q19" i="367" s="1"/>
  <c r="B19" i="367"/>
  <c r="P19" i="367" s="1"/>
  <c r="AJ18" i="367"/>
  <c r="T18" i="367"/>
  <c r="S18" i="367"/>
  <c r="R18" i="367"/>
  <c r="G18" i="367"/>
  <c r="Q18" i="367" s="1"/>
  <c r="B18" i="367"/>
  <c r="P18" i="367" s="1"/>
  <c r="AJ17" i="367"/>
  <c r="T17" i="367"/>
  <c r="S17" i="367"/>
  <c r="R17" i="367"/>
  <c r="G17" i="367"/>
  <c r="Q17" i="367" s="1"/>
  <c r="B17" i="367"/>
  <c r="P17" i="367" s="1"/>
  <c r="AJ16" i="367"/>
  <c r="T16" i="367"/>
  <c r="S16" i="367"/>
  <c r="R16" i="367"/>
  <c r="P16" i="367"/>
  <c r="G16" i="367"/>
  <c r="Q16" i="367" s="1"/>
  <c r="B16" i="367"/>
  <c r="AJ15" i="367"/>
  <c r="T15" i="367"/>
  <c r="S15" i="367"/>
  <c r="R15" i="367"/>
  <c r="G15" i="367"/>
  <c r="Q15" i="367" s="1"/>
  <c r="B15" i="367"/>
  <c r="P15" i="367" s="1"/>
  <c r="AJ14" i="367"/>
  <c r="T14" i="367"/>
  <c r="S14" i="367"/>
  <c r="R14" i="367"/>
  <c r="P14" i="367"/>
  <c r="G14" i="367"/>
  <c r="Q14" i="367" s="1"/>
  <c r="B14" i="367"/>
  <c r="AJ13" i="367"/>
  <c r="T13" i="367"/>
  <c r="S13" i="367"/>
  <c r="R13" i="367"/>
  <c r="P13" i="367"/>
  <c r="G13" i="367"/>
  <c r="Q13" i="367" s="1"/>
  <c r="B13" i="367"/>
  <c r="D9" i="367"/>
  <c r="AJ22" i="366"/>
  <c r="T22" i="366"/>
  <c r="S22" i="366"/>
  <c r="R22" i="366"/>
  <c r="G22" i="366"/>
  <c r="Q22" i="366" s="1"/>
  <c r="B22" i="366"/>
  <c r="P22" i="366" s="1"/>
  <c r="AJ21" i="366"/>
  <c r="T21" i="366"/>
  <c r="S21" i="366"/>
  <c r="R21" i="366"/>
  <c r="G21" i="366"/>
  <c r="Q21" i="366" s="1"/>
  <c r="B21" i="366"/>
  <c r="P21" i="366" s="1"/>
  <c r="AJ20" i="366"/>
  <c r="T20" i="366"/>
  <c r="S20" i="366"/>
  <c r="R20" i="366"/>
  <c r="G20" i="366"/>
  <c r="Q20" i="366" s="1"/>
  <c r="B20" i="366"/>
  <c r="P20" i="366" s="1"/>
  <c r="AJ19" i="366"/>
  <c r="T19" i="366"/>
  <c r="S19" i="366"/>
  <c r="R19" i="366"/>
  <c r="G19" i="366"/>
  <c r="Q19" i="366" s="1"/>
  <c r="B19" i="366"/>
  <c r="P19" i="366" s="1"/>
  <c r="AJ18" i="366"/>
  <c r="T18" i="366"/>
  <c r="S18" i="366"/>
  <c r="R18" i="366"/>
  <c r="G18" i="366"/>
  <c r="Q18" i="366" s="1"/>
  <c r="B18" i="366"/>
  <c r="P18" i="366" s="1"/>
  <c r="AJ17" i="366"/>
  <c r="T17" i="366"/>
  <c r="S17" i="366"/>
  <c r="R17" i="366"/>
  <c r="P17" i="366"/>
  <c r="G17" i="366"/>
  <c r="Q17" i="366" s="1"/>
  <c r="B17" i="366"/>
  <c r="AJ16" i="366"/>
  <c r="T16" i="366"/>
  <c r="S16" i="366"/>
  <c r="R16" i="366"/>
  <c r="G16" i="366"/>
  <c r="Q16" i="366" s="1"/>
  <c r="B16" i="366"/>
  <c r="P16" i="366" s="1"/>
  <c r="AJ15" i="366"/>
  <c r="T15" i="366"/>
  <c r="S15" i="366"/>
  <c r="R15" i="366"/>
  <c r="G15" i="366"/>
  <c r="Q15" i="366" s="1"/>
  <c r="B15" i="366"/>
  <c r="P15" i="366" s="1"/>
  <c r="AJ14" i="366"/>
  <c r="T14" i="366"/>
  <c r="S14" i="366"/>
  <c r="R14" i="366"/>
  <c r="G14" i="366"/>
  <c r="Q14" i="366" s="1"/>
  <c r="B14" i="366"/>
  <c r="P14" i="366" s="1"/>
  <c r="AJ13" i="366"/>
  <c r="T13" i="366"/>
  <c r="S13" i="366"/>
  <c r="R13" i="366"/>
  <c r="G13" i="366"/>
  <c r="Q13" i="366" s="1"/>
  <c r="B13" i="366"/>
  <c r="P13" i="366" s="1"/>
  <c r="D9" i="366"/>
  <c r="AJ44" i="365"/>
  <c r="T44" i="365"/>
  <c r="S44" i="365"/>
  <c r="R44" i="365"/>
  <c r="G44" i="365"/>
  <c r="Q44" i="365" s="1"/>
  <c r="B44" i="365"/>
  <c r="P44" i="365" s="1"/>
  <c r="AJ43" i="365"/>
  <c r="T43" i="365"/>
  <c r="S43" i="365"/>
  <c r="R43" i="365"/>
  <c r="G43" i="365"/>
  <c r="Q43" i="365" s="1"/>
  <c r="B43" i="365"/>
  <c r="P43" i="365" s="1"/>
  <c r="AJ42" i="365"/>
  <c r="T42" i="365"/>
  <c r="S42" i="365"/>
  <c r="R42" i="365"/>
  <c r="G42" i="365"/>
  <c r="Q42" i="365" s="1"/>
  <c r="B42" i="365"/>
  <c r="P42" i="365" s="1"/>
  <c r="AJ41" i="365"/>
  <c r="T41" i="365"/>
  <c r="S41" i="365"/>
  <c r="R41" i="365"/>
  <c r="G41" i="365"/>
  <c r="Q41" i="365" s="1"/>
  <c r="B41" i="365"/>
  <c r="P41" i="365" s="1"/>
  <c r="AJ40" i="365"/>
  <c r="T40" i="365"/>
  <c r="S40" i="365"/>
  <c r="R40" i="365"/>
  <c r="G40" i="365"/>
  <c r="Q40" i="365" s="1"/>
  <c r="B40" i="365"/>
  <c r="P40" i="365" s="1"/>
  <c r="AJ39" i="365"/>
  <c r="T39" i="365"/>
  <c r="S39" i="365"/>
  <c r="R39" i="365"/>
  <c r="G39" i="365"/>
  <c r="Q39" i="365" s="1"/>
  <c r="B39" i="365"/>
  <c r="P39" i="365" s="1"/>
  <c r="AJ38" i="365"/>
  <c r="T38" i="365"/>
  <c r="S38" i="365"/>
  <c r="R38" i="365"/>
  <c r="G38" i="365"/>
  <c r="Q38" i="365" s="1"/>
  <c r="B38" i="365"/>
  <c r="P38" i="365" s="1"/>
  <c r="AJ37" i="365"/>
  <c r="T37" i="365"/>
  <c r="S37" i="365"/>
  <c r="R37" i="365"/>
  <c r="G37" i="365"/>
  <c r="Q37" i="365" s="1"/>
  <c r="B37" i="365"/>
  <c r="P37" i="365" s="1"/>
  <c r="AJ36" i="365"/>
  <c r="T36" i="365"/>
  <c r="S36" i="365"/>
  <c r="R36" i="365"/>
  <c r="G36" i="365"/>
  <c r="Q36" i="365" s="1"/>
  <c r="B36" i="365"/>
  <c r="P36" i="365" s="1"/>
  <c r="AJ35" i="365"/>
  <c r="T35" i="365"/>
  <c r="S35" i="365"/>
  <c r="R35" i="365"/>
  <c r="G35" i="365"/>
  <c r="Q35" i="365" s="1"/>
  <c r="B35" i="365"/>
  <c r="P35" i="365" s="1"/>
  <c r="AJ34" i="365"/>
  <c r="T34" i="365"/>
  <c r="S34" i="365"/>
  <c r="R34" i="365"/>
  <c r="G34" i="365"/>
  <c r="Q34" i="365" s="1"/>
  <c r="B34" i="365"/>
  <c r="P34" i="365" s="1"/>
  <c r="AJ33" i="365"/>
  <c r="T33" i="365"/>
  <c r="S33" i="365"/>
  <c r="R33" i="365"/>
  <c r="G33" i="365"/>
  <c r="Q33" i="365" s="1"/>
  <c r="B33" i="365"/>
  <c r="P33" i="365" s="1"/>
  <c r="AJ32" i="365"/>
  <c r="T32" i="365"/>
  <c r="S32" i="365"/>
  <c r="R32" i="365"/>
  <c r="G32" i="365"/>
  <c r="Q32" i="365" s="1"/>
  <c r="B32" i="365"/>
  <c r="P32" i="365" s="1"/>
  <c r="AJ31" i="365"/>
  <c r="T31" i="365"/>
  <c r="S31" i="365"/>
  <c r="R31" i="365"/>
  <c r="G31" i="365"/>
  <c r="Q31" i="365" s="1"/>
  <c r="B31" i="365"/>
  <c r="P31" i="365" s="1"/>
  <c r="AJ30" i="365"/>
  <c r="T30" i="365"/>
  <c r="S30" i="365"/>
  <c r="R30" i="365"/>
  <c r="G30" i="365"/>
  <c r="Q30" i="365" s="1"/>
  <c r="B30" i="365"/>
  <c r="P30" i="365" s="1"/>
  <c r="AJ29" i="365"/>
  <c r="T29" i="365"/>
  <c r="S29" i="365"/>
  <c r="R29" i="365"/>
  <c r="G29" i="365"/>
  <c r="Q29" i="365" s="1"/>
  <c r="B29" i="365"/>
  <c r="P29" i="365" s="1"/>
  <c r="AJ28" i="365"/>
  <c r="T28" i="365"/>
  <c r="S28" i="365"/>
  <c r="R28" i="365"/>
  <c r="G28" i="365"/>
  <c r="Q28" i="365" s="1"/>
  <c r="B28" i="365"/>
  <c r="P28" i="365" s="1"/>
  <c r="AJ27" i="365"/>
  <c r="T27" i="365"/>
  <c r="S27" i="365"/>
  <c r="R27" i="365"/>
  <c r="G27" i="365"/>
  <c r="Q27" i="365" s="1"/>
  <c r="B27" i="365"/>
  <c r="P27" i="365" s="1"/>
  <c r="AJ26" i="365"/>
  <c r="T26" i="365"/>
  <c r="S26" i="365"/>
  <c r="R26" i="365"/>
  <c r="G26" i="365"/>
  <c r="Q26" i="365" s="1"/>
  <c r="B26" i="365"/>
  <c r="P26" i="365" s="1"/>
  <c r="AJ25" i="365"/>
  <c r="T25" i="365"/>
  <c r="S25" i="365"/>
  <c r="R25" i="365"/>
  <c r="G25" i="365"/>
  <c r="Q25" i="365" s="1"/>
  <c r="B25" i="365"/>
  <c r="P25" i="365" s="1"/>
  <c r="AJ24" i="365"/>
  <c r="T24" i="365"/>
  <c r="S24" i="365"/>
  <c r="R24" i="365"/>
  <c r="G24" i="365"/>
  <c r="Q24" i="365" s="1"/>
  <c r="B24" i="365"/>
  <c r="P24" i="365" s="1"/>
  <c r="AJ23" i="365"/>
  <c r="T23" i="365"/>
  <c r="S23" i="365"/>
  <c r="R23" i="365"/>
  <c r="G23" i="365"/>
  <c r="Q23" i="365" s="1"/>
  <c r="B23" i="365"/>
  <c r="P23" i="365" s="1"/>
  <c r="AJ22" i="365"/>
  <c r="T22" i="365"/>
  <c r="S22" i="365"/>
  <c r="R22" i="365"/>
  <c r="G22" i="365"/>
  <c r="Q22" i="365" s="1"/>
  <c r="B22" i="365"/>
  <c r="P22" i="365" s="1"/>
  <c r="AJ21" i="365"/>
  <c r="T21" i="365"/>
  <c r="S21" i="365"/>
  <c r="R21" i="365"/>
  <c r="P21" i="365"/>
  <c r="G21" i="365"/>
  <c r="Q21" i="365" s="1"/>
  <c r="B21" i="365"/>
  <c r="AJ20" i="365"/>
  <c r="T20" i="365"/>
  <c r="S20" i="365"/>
  <c r="R20" i="365"/>
  <c r="P20" i="365"/>
  <c r="G20" i="365"/>
  <c r="Q20" i="365" s="1"/>
  <c r="B20" i="365"/>
  <c r="AJ19" i="365"/>
  <c r="T19" i="365"/>
  <c r="S19" i="365"/>
  <c r="R19" i="365"/>
  <c r="G19" i="365"/>
  <c r="Q19" i="365" s="1"/>
  <c r="B19" i="365"/>
  <c r="P19" i="365" s="1"/>
  <c r="AJ18" i="365"/>
  <c r="T18" i="365"/>
  <c r="S18" i="365"/>
  <c r="R18" i="365"/>
  <c r="G18" i="365"/>
  <c r="Q18" i="365" s="1"/>
  <c r="B18" i="365"/>
  <c r="P18" i="365" s="1"/>
  <c r="AJ17" i="365"/>
  <c r="T17" i="365"/>
  <c r="S17" i="365"/>
  <c r="R17" i="365"/>
  <c r="G17" i="365"/>
  <c r="Q17" i="365" s="1"/>
  <c r="B17" i="365"/>
  <c r="P17" i="365" s="1"/>
  <c r="AJ46" i="365"/>
  <c r="T46" i="365"/>
  <c r="S46" i="365"/>
  <c r="R46" i="365"/>
  <c r="G46" i="365"/>
  <c r="Q46" i="365" s="1"/>
  <c r="B46" i="365"/>
  <c r="P46" i="365" s="1"/>
  <c r="AJ45" i="365"/>
  <c r="T45" i="365"/>
  <c r="S45" i="365"/>
  <c r="R45" i="365"/>
  <c r="G45" i="365"/>
  <c r="Q45" i="365" s="1"/>
  <c r="B45" i="365"/>
  <c r="P45" i="365" s="1"/>
  <c r="AJ16" i="365"/>
  <c r="T16" i="365"/>
  <c r="S16" i="365"/>
  <c r="R16" i="365"/>
  <c r="G16" i="365"/>
  <c r="Q16" i="365" s="1"/>
  <c r="B16" i="365"/>
  <c r="P16" i="365" s="1"/>
  <c r="AJ15" i="365"/>
  <c r="T15" i="365"/>
  <c r="S15" i="365"/>
  <c r="R15" i="365"/>
  <c r="G15" i="365"/>
  <c r="Q15" i="365" s="1"/>
  <c r="B15" i="365"/>
  <c r="P15" i="365" s="1"/>
  <c r="AJ14" i="365"/>
  <c r="T14" i="365"/>
  <c r="S14" i="365"/>
  <c r="R14" i="365"/>
  <c r="G14" i="365"/>
  <c r="Q14" i="365" s="1"/>
  <c r="B14" i="365"/>
  <c r="P14" i="365" s="1"/>
  <c r="AJ13" i="365"/>
  <c r="T13" i="365"/>
  <c r="S13" i="365"/>
  <c r="R13" i="365"/>
  <c r="G13" i="365"/>
  <c r="Q13" i="365" s="1"/>
  <c r="B13" i="365"/>
  <c r="P13" i="365" s="1"/>
  <c r="D9" i="365"/>
  <c r="BK78" i="25"/>
  <c r="B78" i="25"/>
  <c r="A78" i="25"/>
  <c r="BK77" i="25"/>
  <c r="B77" i="25"/>
  <c r="A77" i="25"/>
  <c r="BK76" i="25"/>
  <c r="B76" i="25"/>
  <c r="A76" i="25"/>
  <c r="BK75" i="25"/>
  <c r="B75" i="25"/>
  <c r="A75" i="25"/>
  <c r="BK74" i="25"/>
  <c r="B74" i="25"/>
  <c r="A74" i="25"/>
  <c r="BK73" i="25"/>
  <c r="B73" i="25"/>
  <c r="A73" i="25"/>
  <c r="AM73" i="25"/>
  <c r="AM77" i="25"/>
  <c r="AM74" i="25"/>
  <c r="AM76" i="25"/>
  <c r="AM78" i="25"/>
  <c r="AM75" i="25"/>
  <c r="C697" i="174" l="1"/>
  <c r="W697" i="174" s="1"/>
  <c r="W680" i="174"/>
  <c r="AJ17" i="364" l="1"/>
  <c r="T17" i="364"/>
  <c r="S17" i="364"/>
  <c r="R17" i="364"/>
  <c r="P17" i="364"/>
  <c r="G17" i="364"/>
  <c r="Q17" i="364" s="1"/>
  <c r="B17" i="364"/>
  <c r="AJ16" i="364"/>
  <c r="T16" i="364"/>
  <c r="S16" i="364"/>
  <c r="R16" i="364"/>
  <c r="Q16" i="364"/>
  <c r="P16" i="364"/>
  <c r="G16" i="364"/>
  <c r="B16" i="364"/>
  <c r="AJ15" i="364"/>
  <c r="T15" i="364"/>
  <c r="S15" i="364"/>
  <c r="R15" i="364"/>
  <c r="Q15" i="364"/>
  <c r="G15" i="364"/>
  <c r="B15" i="364"/>
  <c r="P15" i="364" s="1"/>
  <c r="AJ14" i="364"/>
  <c r="T14" i="364"/>
  <c r="S14" i="364"/>
  <c r="R14" i="364"/>
  <c r="G14" i="364"/>
  <c r="Q14" i="364" s="1"/>
  <c r="B14" i="364"/>
  <c r="P14" i="364" s="1"/>
  <c r="AJ13" i="364"/>
  <c r="T13" i="364"/>
  <c r="S13" i="364"/>
  <c r="R13" i="364"/>
  <c r="G13" i="364"/>
  <c r="Q13" i="364" s="1"/>
  <c r="B13" i="364"/>
  <c r="P13" i="364" s="1"/>
  <c r="AJ19" i="363"/>
  <c r="T19" i="363"/>
  <c r="S19" i="363"/>
  <c r="R19" i="363"/>
  <c r="G19" i="363"/>
  <c r="Q19" i="363" s="1"/>
  <c r="B19" i="363"/>
  <c r="P19" i="363" s="1"/>
  <c r="AJ20" i="363"/>
  <c r="T20" i="363"/>
  <c r="S20" i="363"/>
  <c r="R20" i="363"/>
  <c r="G20" i="363"/>
  <c r="Q20" i="363" s="1"/>
  <c r="B20" i="363"/>
  <c r="P20" i="363" s="1"/>
  <c r="AJ21" i="363"/>
  <c r="T21" i="363"/>
  <c r="S21" i="363"/>
  <c r="R21" i="363"/>
  <c r="G21" i="363"/>
  <c r="Q21" i="363" s="1"/>
  <c r="B21" i="363"/>
  <c r="P21" i="363" s="1"/>
  <c r="AJ18" i="363"/>
  <c r="T18" i="363"/>
  <c r="S18" i="363"/>
  <c r="R18" i="363"/>
  <c r="G18" i="363"/>
  <c r="Q18" i="363" s="1"/>
  <c r="B18" i="363"/>
  <c r="P18" i="363" s="1"/>
  <c r="AJ17" i="363"/>
  <c r="T17" i="363"/>
  <c r="S17" i="363"/>
  <c r="R17" i="363"/>
  <c r="G17" i="363"/>
  <c r="Q17" i="363" s="1"/>
  <c r="B17" i="363"/>
  <c r="P17" i="363" s="1"/>
  <c r="AJ16" i="363"/>
  <c r="T16" i="363"/>
  <c r="S16" i="363"/>
  <c r="R16" i="363"/>
  <c r="G16" i="363"/>
  <c r="Q16" i="363" s="1"/>
  <c r="B16" i="363"/>
  <c r="P16" i="363" s="1"/>
  <c r="AJ15" i="363"/>
  <c r="T15" i="363"/>
  <c r="S15" i="363"/>
  <c r="R15" i="363"/>
  <c r="G15" i="363"/>
  <c r="Q15" i="363" s="1"/>
  <c r="B15" i="363"/>
  <c r="P15" i="363" s="1"/>
  <c r="AJ13" i="363"/>
  <c r="T13" i="363"/>
  <c r="S13" i="363"/>
  <c r="R13" i="363"/>
  <c r="G13" i="363"/>
  <c r="Q13" i="363" s="1"/>
  <c r="B13" i="363"/>
  <c r="P13" i="363" s="1"/>
  <c r="AJ20" i="360"/>
  <c r="T20" i="360"/>
  <c r="S20" i="360"/>
  <c r="R20" i="360"/>
  <c r="G20" i="360"/>
  <c r="Q20" i="360" s="1"/>
  <c r="B20" i="360"/>
  <c r="P20" i="360" s="1"/>
  <c r="AJ18" i="360"/>
  <c r="T18" i="360"/>
  <c r="S18" i="360"/>
  <c r="R18" i="360"/>
  <c r="G18" i="360"/>
  <c r="Q18" i="360" s="1"/>
  <c r="B18" i="360"/>
  <c r="P18" i="360" s="1"/>
  <c r="AJ19" i="360" l="1"/>
  <c r="T19" i="360"/>
  <c r="S19" i="360"/>
  <c r="R19" i="360"/>
  <c r="G19" i="360"/>
  <c r="Q19" i="360" s="1"/>
  <c r="B19" i="360"/>
  <c r="P19" i="360" s="1"/>
  <c r="AJ16" i="360"/>
  <c r="T16" i="360"/>
  <c r="S16" i="360"/>
  <c r="R16" i="360"/>
  <c r="G16" i="360"/>
  <c r="Q16" i="360" s="1"/>
  <c r="B16" i="360"/>
  <c r="P16" i="360" s="1"/>
  <c r="AJ21" i="362"/>
  <c r="T21" i="362"/>
  <c r="S21" i="362"/>
  <c r="R21" i="362"/>
  <c r="P21" i="362"/>
  <c r="G21" i="362"/>
  <c r="Q21" i="362" s="1"/>
  <c r="B21" i="362"/>
  <c r="AJ20" i="362"/>
  <c r="T20" i="362"/>
  <c r="S20" i="362"/>
  <c r="R20" i="362"/>
  <c r="Q20" i="362"/>
  <c r="P20" i="362"/>
  <c r="G20" i="362"/>
  <c r="B20" i="362"/>
  <c r="AJ19" i="362"/>
  <c r="T19" i="362"/>
  <c r="S19" i="362"/>
  <c r="R19" i="362"/>
  <c r="Q19" i="362"/>
  <c r="G19" i="362"/>
  <c r="B19" i="362"/>
  <c r="P19" i="362" s="1"/>
  <c r="AJ18" i="362"/>
  <c r="T18" i="362"/>
  <c r="S18" i="362"/>
  <c r="R18" i="362"/>
  <c r="G18" i="362"/>
  <c r="Q18" i="362" s="1"/>
  <c r="B18" i="362"/>
  <c r="P18" i="362" s="1"/>
  <c r="AJ17" i="362"/>
  <c r="T17" i="362"/>
  <c r="S17" i="362"/>
  <c r="R17" i="362"/>
  <c r="G17" i="362"/>
  <c r="Q17" i="362" s="1"/>
  <c r="B17" i="362"/>
  <c r="P17" i="362" s="1"/>
  <c r="AJ16" i="362"/>
  <c r="T16" i="362"/>
  <c r="S16" i="362"/>
  <c r="R16" i="362"/>
  <c r="G16" i="362"/>
  <c r="Q16" i="362" s="1"/>
  <c r="B16" i="362"/>
  <c r="P16" i="362" s="1"/>
  <c r="AJ15" i="362"/>
  <c r="T15" i="362"/>
  <c r="S15" i="362"/>
  <c r="R15" i="362"/>
  <c r="P15" i="362"/>
  <c r="G15" i="362"/>
  <c r="Q15" i="362" s="1"/>
  <c r="B15" i="362"/>
  <c r="AJ14" i="362"/>
  <c r="T14" i="362"/>
  <c r="S14" i="362"/>
  <c r="R14" i="362"/>
  <c r="Q14" i="362"/>
  <c r="G14" i="362"/>
  <c r="B14" i="362"/>
  <c r="P14" i="362" s="1"/>
  <c r="AJ13" i="362"/>
  <c r="T13" i="362"/>
  <c r="S13" i="362"/>
  <c r="R13" i="362"/>
  <c r="P13" i="362"/>
  <c r="G13" i="362"/>
  <c r="Q13" i="362" s="1"/>
  <c r="B13" i="362"/>
  <c r="AJ16" i="361"/>
  <c r="T16" i="361"/>
  <c r="S16" i="361"/>
  <c r="R16" i="361"/>
  <c r="P16" i="361"/>
  <c r="G16" i="361"/>
  <c r="Q16" i="361" s="1"/>
  <c r="B16" i="361"/>
  <c r="AJ15" i="361"/>
  <c r="T15" i="361"/>
  <c r="S15" i="361"/>
  <c r="R15" i="361"/>
  <c r="Q15" i="361"/>
  <c r="P15" i="361"/>
  <c r="G15" i="361"/>
  <c r="B15" i="361"/>
  <c r="AJ14" i="361"/>
  <c r="T14" i="361"/>
  <c r="S14" i="361"/>
  <c r="R14" i="361"/>
  <c r="Q14" i="361"/>
  <c r="G14" i="361"/>
  <c r="B14" i="361"/>
  <c r="P14" i="361" s="1"/>
  <c r="AJ13" i="361"/>
  <c r="T13" i="361"/>
  <c r="S13" i="361"/>
  <c r="R13" i="361"/>
  <c r="G13" i="361"/>
  <c r="Q13" i="361" s="1"/>
  <c r="B13" i="361"/>
  <c r="P13" i="361" s="1"/>
  <c r="AJ21" i="360"/>
  <c r="T21" i="360"/>
  <c r="S21" i="360"/>
  <c r="R21" i="360"/>
  <c r="G21" i="360"/>
  <c r="Q21" i="360" s="1"/>
  <c r="B21" i="360"/>
  <c r="P21" i="360" s="1"/>
  <c r="AJ15" i="360"/>
  <c r="T15" i="360"/>
  <c r="S15" i="360"/>
  <c r="R15" i="360"/>
  <c r="G15" i="360"/>
  <c r="Q15" i="360" s="1"/>
  <c r="B15" i="360"/>
  <c r="P15" i="360" s="1"/>
  <c r="AJ14" i="360"/>
  <c r="T14" i="360"/>
  <c r="S14" i="360"/>
  <c r="R14" i="360"/>
  <c r="G14" i="360"/>
  <c r="Q14" i="360" s="1"/>
  <c r="B14" i="360"/>
  <c r="P14" i="360" s="1"/>
  <c r="AJ13" i="360"/>
  <c r="T13" i="360"/>
  <c r="S13" i="360"/>
  <c r="R13" i="360"/>
  <c r="G13" i="360"/>
  <c r="Q13" i="360" s="1"/>
  <c r="B13" i="360"/>
  <c r="P13" i="360" s="1"/>
  <c r="AJ15" i="189"/>
  <c r="T15" i="189"/>
  <c r="S15" i="189"/>
  <c r="R15" i="189"/>
  <c r="P15" i="189"/>
  <c r="G15" i="189"/>
  <c r="Q15" i="189" s="1"/>
  <c r="B15" i="189"/>
  <c r="B16" i="189"/>
  <c r="P16" i="189" s="1"/>
  <c r="G16" i="189"/>
  <c r="Q16" i="189" s="1"/>
  <c r="R16" i="189"/>
  <c r="S16" i="189"/>
  <c r="T16" i="189"/>
  <c r="AJ16" i="189"/>
  <c r="AJ14" i="189"/>
  <c r="T14" i="189"/>
  <c r="S14" i="189"/>
  <c r="R14" i="189"/>
  <c r="G14" i="189"/>
  <c r="Q14" i="189" s="1"/>
  <c r="B14" i="189"/>
  <c r="P14" i="189" s="1"/>
  <c r="AJ16" i="358"/>
  <c r="T16" i="358"/>
  <c r="S16" i="358"/>
  <c r="R16" i="358"/>
  <c r="G16" i="358"/>
  <c r="Q16" i="358" s="1"/>
  <c r="B16" i="358"/>
  <c r="P16" i="358" s="1"/>
  <c r="AJ15" i="358"/>
  <c r="T15" i="358"/>
  <c r="S15" i="358"/>
  <c r="R15" i="358"/>
  <c r="G15" i="358"/>
  <c r="Q15" i="358" s="1"/>
  <c r="B15" i="358"/>
  <c r="P15" i="358" s="1"/>
  <c r="AJ14" i="358"/>
  <c r="T14" i="358"/>
  <c r="S14" i="358"/>
  <c r="R14" i="358"/>
  <c r="G14" i="358"/>
  <c r="Q14" i="358" s="1"/>
  <c r="B14" i="358"/>
  <c r="P14" i="358" s="1"/>
  <c r="AJ17" i="358"/>
  <c r="T17" i="358"/>
  <c r="S17" i="358"/>
  <c r="R17" i="358"/>
  <c r="G17" i="358"/>
  <c r="Q17" i="358" s="1"/>
  <c r="B17" i="358"/>
  <c r="P17" i="358" s="1"/>
  <c r="AJ13" i="358"/>
  <c r="T13" i="358"/>
  <c r="S13" i="358"/>
  <c r="R13" i="358"/>
  <c r="G13" i="358"/>
  <c r="Q13" i="358" s="1"/>
  <c r="B13" i="358"/>
  <c r="P13" i="358" s="1"/>
  <c r="B157" i="25"/>
  <c r="O157" i="25" s="1"/>
  <c r="BK157" i="25" s="1"/>
  <c r="A157" i="25"/>
  <c r="B156" i="25"/>
  <c r="O156" i="25" s="1"/>
  <c r="BK156" i="25" s="1"/>
  <c r="A156" i="25"/>
  <c r="B155" i="25"/>
  <c r="O155" i="25" s="1"/>
  <c r="BK155" i="25" s="1"/>
  <c r="A155" i="25"/>
  <c r="B154" i="25"/>
  <c r="O154" i="25" s="1"/>
  <c r="BK154" i="25" s="1"/>
  <c r="A154" i="25"/>
  <c r="O43" i="176"/>
  <c r="B164" i="25"/>
  <c r="O164" i="25" s="1"/>
  <c r="BK164" i="25" s="1"/>
  <c r="A164" i="25"/>
  <c r="B163" i="25"/>
  <c r="O163" i="25" s="1"/>
  <c r="BK163" i="25" s="1"/>
  <c r="A163" i="25"/>
  <c r="A166" i="25"/>
  <c r="B166" i="25"/>
  <c r="O166" i="25" s="1"/>
  <c r="AM164" i="25"/>
  <c r="AM163" i="25"/>
  <c r="AM157" i="25"/>
  <c r="AM155" i="25"/>
  <c r="AM154" i="25"/>
  <c r="AM156" i="25"/>
  <c r="AM166" i="25"/>
  <c r="BK166" i="25" l="1"/>
  <c r="AJ20" i="358" l="1"/>
  <c r="T20" i="358"/>
  <c r="S20" i="358"/>
  <c r="R20" i="358"/>
  <c r="G20" i="358"/>
  <c r="Q20" i="358" s="1"/>
  <c r="B20" i="358"/>
  <c r="P20" i="358" s="1"/>
  <c r="E161" i="176"/>
  <c r="E158" i="176"/>
  <c r="E155" i="176"/>
  <c r="E152" i="176"/>
  <c r="C144" i="176"/>
  <c r="W144" i="176" s="1"/>
  <c r="E149" i="176"/>
  <c r="T146" i="176"/>
  <c r="E146" i="176"/>
  <c r="C143" i="176"/>
  <c r="W143" i="176" s="1"/>
  <c r="W142" i="176"/>
  <c r="E101" i="176"/>
  <c r="J98" i="176"/>
  <c r="J31" i="176"/>
  <c r="C50" i="176"/>
  <c r="W50" i="176" s="1"/>
  <c r="T53" i="176"/>
  <c r="W51" i="176"/>
  <c r="W49" i="176"/>
  <c r="C37" i="176"/>
  <c r="C5" i="174" l="1"/>
  <c r="R427" i="178" l="1"/>
  <c r="C425" i="178" s="1"/>
  <c r="W425" i="178" s="1"/>
  <c r="W423" i="178"/>
  <c r="R415" i="178"/>
  <c r="C413" i="178" s="1"/>
  <c r="W413" i="178" s="1"/>
  <c r="C412" i="178"/>
  <c r="W412" i="178" s="1"/>
  <c r="W411" i="178"/>
  <c r="R403" i="178"/>
  <c r="C401" i="178" s="1"/>
  <c r="W401" i="178" s="1"/>
  <c r="W399" i="178"/>
  <c r="R391" i="178"/>
  <c r="C389" i="178" s="1"/>
  <c r="W389" i="178" s="1"/>
  <c r="W387" i="178"/>
  <c r="R379" i="178"/>
  <c r="C377" i="178" s="1"/>
  <c r="W377" i="178" s="1"/>
  <c r="W375" i="178"/>
  <c r="R367" i="178"/>
  <c r="C365" i="178" s="1"/>
  <c r="W365" i="178" s="1"/>
  <c r="W363" i="178"/>
  <c r="R355" i="178"/>
  <c r="C353" i="178" s="1"/>
  <c r="W353" i="178" s="1"/>
  <c r="W351" i="178"/>
  <c r="C388" i="178" l="1"/>
  <c r="W388" i="178" s="1"/>
  <c r="C424" i="178"/>
  <c r="W424" i="178" s="1"/>
  <c r="C400" i="178"/>
  <c r="W400" i="178" s="1"/>
  <c r="C376" i="178"/>
  <c r="W376" i="178" s="1"/>
  <c r="C364" i="178"/>
  <c r="W364" i="178" s="1"/>
  <c r="C352" i="178"/>
  <c r="W352" i="178" s="1"/>
  <c r="R343" i="178"/>
  <c r="C341" i="178" s="1"/>
  <c r="W341" i="178" s="1"/>
  <c r="C340" i="178"/>
  <c r="W340"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C280" i="178"/>
  <c r="W280" i="178" s="1"/>
  <c r="W279" i="178"/>
  <c r="R271" i="178"/>
  <c r="C269" i="178" s="1"/>
  <c r="W269" i="178" s="1"/>
  <c r="W267" i="178"/>
  <c r="R259" i="178"/>
  <c r="C257" i="178" s="1"/>
  <c r="W257" i="178" s="1"/>
  <c r="W255" i="178"/>
  <c r="R187" i="178"/>
  <c r="C185" i="178" s="1"/>
  <c r="W185" i="178" s="1"/>
  <c r="W183" i="178"/>
  <c r="R175" i="178"/>
  <c r="C173" i="178" s="1"/>
  <c r="W173" i="178" s="1"/>
  <c r="C172" i="178"/>
  <c r="W172" i="178" s="1"/>
  <c r="W171" i="178"/>
  <c r="R163" i="178"/>
  <c r="C161" i="178" s="1"/>
  <c r="W161" i="178" s="1"/>
  <c r="W159"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s="1"/>
  <c r="W17" i="178" s="1"/>
  <c r="C16" i="178"/>
  <c r="W16" i="178" s="1"/>
  <c r="W15" i="178"/>
  <c r="R7" i="178"/>
  <c r="C4" i="178" s="1"/>
  <c r="W4" i="178" s="1"/>
  <c r="W3" i="178"/>
  <c r="C304" i="178" l="1"/>
  <c r="W304" i="178" s="1"/>
  <c r="C40" i="178"/>
  <c r="W40" i="178" s="1"/>
  <c r="C256" i="178"/>
  <c r="W256" i="178" s="1"/>
  <c r="C328" i="178"/>
  <c r="W328" i="178" s="1"/>
  <c r="C316" i="178"/>
  <c r="W316" i="178" s="1"/>
  <c r="C292" i="178"/>
  <c r="W292" i="178" s="1"/>
  <c r="C268" i="178"/>
  <c r="W268" i="178" s="1"/>
  <c r="C184" i="178"/>
  <c r="W184" i="178" s="1"/>
  <c r="C160" i="178"/>
  <c r="W160" i="178" s="1"/>
  <c r="C76" i="178"/>
  <c r="W76" i="178" s="1"/>
  <c r="C65" i="178"/>
  <c r="W65" i="178" s="1"/>
  <c r="C52" i="178"/>
  <c r="W52" i="178" s="1"/>
  <c r="C5" i="178"/>
  <c r="W5" i="178" s="1"/>
  <c r="W23" i="177"/>
  <c r="E25" i="177"/>
  <c r="C22" i="177"/>
  <c r="W22" i="177" s="1"/>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201" i="25"/>
  <c r="BK201" i="25" s="1"/>
  <c r="A201" i="25"/>
  <c r="B200" i="25"/>
  <c r="BK200" i="25" s="1"/>
  <c r="A200" i="25"/>
  <c r="B199" i="25"/>
  <c r="BK199" i="25" s="1"/>
  <c r="A199" i="25"/>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3" i="25"/>
  <c r="BK173" i="25" s="1"/>
  <c r="A173" i="25"/>
  <c r="B172" i="25"/>
  <c r="BK172" i="25" s="1"/>
  <c r="A172" i="25"/>
  <c r="B171" i="25"/>
  <c r="BK171" i="25" s="1"/>
  <c r="A171" i="25"/>
  <c r="B170" i="25"/>
  <c r="BK170" i="25" s="1"/>
  <c r="A170" i="25"/>
  <c r="B169" i="25"/>
  <c r="BK169" i="25" s="1"/>
  <c r="A169" i="25"/>
  <c r="B168" i="25"/>
  <c r="BK168" i="25" s="1"/>
  <c r="A168" i="25"/>
  <c r="AM195" i="25"/>
  <c r="AM182" i="25"/>
  <c r="AM186" i="25"/>
  <c r="AM183" i="25"/>
  <c r="AM191" i="25"/>
  <c r="AM170" i="25"/>
  <c r="AM200" i="25"/>
  <c r="AM181" i="25"/>
  <c r="AM169" i="25"/>
  <c r="AM173" i="25"/>
  <c r="AM192" i="25"/>
  <c r="AM198" i="25"/>
  <c r="AM187" i="25"/>
  <c r="AM180" i="25"/>
  <c r="AM197" i="25"/>
  <c r="AM189" i="25"/>
  <c r="AM193" i="25"/>
  <c r="AM190" i="25"/>
  <c r="AM188" i="25"/>
  <c r="AM184" i="25"/>
  <c r="AM196" i="25"/>
  <c r="AM168" i="25"/>
  <c r="AM201" i="25"/>
  <c r="AM171" i="25"/>
  <c r="AM199" i="25"/>
  <c r="AM185" i="25"/>
  <c r="AM194" i="25"/>
  <c r="AM172" i="25"/>
  <c r="Q23" i="352" l="1"/>
  <c r="Q17" i="347"/>
  <c r="Q22" i="346"/>
  <c r="Q17" i="345"/>
  <c r="Q17" i="344"/>
  <c r="Q17" i="343"/>
  <c r="Q17" i="341"/>
  <c r="Q17" i="340"/>
  <c r="Q17" i="338"/>
  <c r="R17" i="337"/>
  <c r="Q17" i="336"/>
  <c r="Q17" i="335"/>
  <c r="R17" i="334"/>
  <c r="Q17" i="333"/>
  <c r="B162" i="25"/>
  <c r="O162" i="25" s="1"/>
  <c r="BK162" i="25" s="1"/>
  <c r="A162" i="25"/>
  <c r="AJ16" i="332"/>
  <c r="T16" i="332"/>
  <c r="S16" i="332"/>
  <c r="R16" i="332"/>
  <c r="Q16" i="332"/>
  <c r="B16" i="332"/>
  <c r="P16" i="332" s="1"/>
  <c r="AJ15" i="332"/>
  <c r="T15" i="332"/>
  <c r="S15" i="332"/>
  <c r="R15" i="332"/>
  <c r="G15" i="332"/>
  <c r="Q15" i="332" s="1"/>
  <c r="B15" i="332"/>
  <c r="P15" i="332" s="1"/>
  <c r="AJ14" i="332"/>
  <c r="T14" i="332"/>
  <c r="S14" i="332"/>
  <c r="R14" i="332"/>
  <c r="G14" i="332"/>
  <c r="Q14" i="332" s="1"/>
  <c r="B14" i="332"/>
  <c r="P14" i="332" s="1"/>
  <c r="AJ13" i="332"/>
  <c r="T13" i="332"/>
  <c r="S13" i="332"/>
  <c r="R13" i="332"/>
  <c r="G13" i="332"/>
  <c r="Q13" i="332" s="1"/>
  <c r="B13" i="332"/>
  <c r="P13" i="332" s="1"/>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162" i="25"/>
  <c r="AM7" i="25"/>
  <c r="AM6" i="25"/>
  <c r="D4" i="331" l="1"/>
  <c r="D6" i="332"/>
  <c r="D5" i="331"/>
  <c r="D8" i="331" s="1"/>
  <c r="D5" i="332"/>
  <c r="D8" i="332" s="1"/>
  <c r="D4" i="332"/>
  <c r="D6" i="331"/>
  <c r="C89" i="176"/>
  <c r="W89" i="176" s="1"/>
  <c r="J107" i="176"/>
  <c r="T92" i="176"/>
  <c r="E92" i="176"/>
  <c r="W90" i="176"/>
  <c r="W88" i="176"/>
  <c r="T40" i="176"/>
  <c r="E40" i="176"/>
  <c r="E28" i="176"/>
  <c r="T28" i="176"/>
  <c r="C25" i="176"/>
  <c r="W5" i="176" l="1"/>
  <c r="E7" i="176"/>
  <c r="T7" i="176"/>
  <c r="C4" i="176"/>
  <c r="W4" i="176" s="1"/>
  <c r="W3" i="176"/>
  <c r="E1063" i="174" l="1"/>
  <c r="T1060" i="174"/>
  <c r="R1060" i="174"/>
  <c r="C1058" i="174" s="1"/>
  <c r="W1058" i="174" s="1"/>
  <c r="W1056" i="174"/>
  <c r="E1051" i="174"/>
  <c r="T1048" i="174"/>
  <c r="R1048" i="174"/>
  <c r="C1046" i="174" s="1"/>
  <c r="W1046" i="174" s="1"/>
  <c r="W1044" i="174"/>
  <c r="E1039" i="174"/>
  <c r="T1036" i="174"/>
  <c r="R1036" i="174"/>
  <c r="C1034" i="174" s="1"/>
  <c r="W1034" i="174" s="1"/>
  <c r="W1032" i="174"/>
  <c r="E1027" i="174"/>
  <c r="T1024" i="174"/>
  <c r="R1024" i="174"/>
  <c r="C1021" i="174" s="1"/>
  <c r="W1021" i="174" s="1"/>
  <c r="W1020" i="174"/>
  <c r="E1015" i="174"/>
  <c r="T1012" i="174"/>
  <c r="R1012" i="174"/>
  <c r="C1010" i="174" s="1"/>
  <c r="W1010" i="174" s="1"/>
  <c r="W1008" i="174"/>
  <c r="E1003" i="174"/>
  <c r="T1000" i="174"/>
  <c r="R1000" i="174"/>
  <c r="C998" i="174" s="1"/>
  <c r="W998" i="174" s="1"/>
  <c r="W996" i="174"/>
  <c r="E991" i="174"/>
  <c r="T988" i="174"/>
  <c r="R988" i="174"/>
  <c r="C986" i="174" s="1"/>
  <c r="W986" i="174" s="1"/>
  <c r="W984" i="174"/>
  <c r="E979" i="174"/>
  <c r="T976" i="174"/>
  <c r="R976" i="174"/>
  <c r="C974" i="174" s="1"/>
  <c r="W974" i="174" s="1"/>
  <c r="W972" i="174"/>
  <c r="E967" i="174"/>
  <c r="T964" i="174"/>
  <c r="R964" i="174"/>
  <c r="C962" i="174" s="1"/>
  <c r="W962" i="174" s="1"/>
  <c r="W960" i="174"/>
  <c r="E955" i="174"/>
  <c r="T952" i="174"/>
  <c r="R952" i="174"/>
  <c r="C950" i="174" s="1"/>
  <c r="W950" i="174" s="1"/>
  <c r="W948" i="174"/>
  <c r="E943" i="174"/>
  <c r="T940" i="174"/>
  <c r="R940" i="174"/>
  <c r="C938" i="174" s="1"/>
  <c r="W938" i="174" s="1"/>
  <c r="W936" i="174"/>
  <c r="E931" i="174"/>
  <c r="T928" i="174"/>
  <c r="R928" i="174"/>
  <c r="C926" i="174" s="1"/>
  <c r="W926" i="174" s="1"/>
  <c r="W924" i="174"/>
  <c r="E919" i="174"/>
  <c r="T916" i="174"/>
  <c r="R916" i="174"/>
  <c r="C914" i="174" s="1"/>
  <c r="W914" i="174" s="1"/>
  <c r="W912" i="174"/>
  <c r="E907" i="174"/>
  <c r="T904" i="174"/>
  <c r="R904" i="174"/>
  <c r="C902" i="174" s="1"/>
  <c r="W902" i="174" s="1"/>
  <c r="W900" i="174"/>
  <c r="E895" i="174"/>
  <c r="T892" i="174"/>
  <c r="R892" i="174"/>
  <c r="C890" i="174" s="1"/>
  <c r="W890" i="174" s="1"/>
  <c r="W888" i="174"/>
  <c r="E883" i="174"/>
  <c r="T880" i="174"/>
  <c r="R880" i="174"/>
  <c r="C878" i="174" s="1"/>
  <c r="W878" i="174" s="1"/>
  <c r="W876" i="174"/>
  <c r="E871" i="174"/>
  <c r="T868" i="174"/>
  <c r="R868" i="174"/>
  <c r="C865" i="174" s="1"/>
  <c r="W865" i="174" s="1"/>
  <c r="W864" i="174"/>
  <c r="E859" i="174"/>
  <c r="T856" i="174"/>
  <c r="R856" i="174"/>
  <c r="C854" i="174" s="1"/>
  <c r="W854" i="174" s="1"/>
  <c r="W852" i="174"/>
  <c r="E847" i="174"/>
  <c r="T844" i="174"/>
  <c r="R844" i="174"/>
  <c r="C841" i="174" s="1"/>
  <c r="W841" i="174" s="1"/>
  <c r="W840" i="174"/>
  <c r="E835" i="174"/>
  <c r="T832" i="174"/>
  <c r="R832" i="174"/>
  <c r="C830" i="174" s="1"/>
  <c r="W830" i="174" s="1"/>
  <c r="W828" i="174"/>
  <c r="E823" i="174"/>
  <c r="T820" i="174"/>
  <c r="R820" i="174"/>
  <c r="C818" i="174" s="1"/>
  <c r="W818" i="174" s="1"/>
  <c r="W816" i="174"/>
  <c r="E811" i="174"/>
  <c r="T808" i="174"/>
  <c r="R808" i="174"/>
  <c r="C806" i="174" s="1"/>
  <c r="W806" i="174" s="1"/>
  <c r="W804" i="174"/>
  <c r="E799" i="174"/>
  <c r="T796" i="174"/>
  <c r="R796" i="174"/>
  <c r="C794" i="174" s="1"/>
  <c r="W794" i="174" s="1"/>
  <c r="W792" i="174"/>
  <c r="E787" i="174"/>
  <c r="T784" i="174"/>
  <c r="R784" i="174"/>
  <c r="C782" i="174" s="1"/>
  <c r="W782" i="174" s="1"/>
  <c r="W780" i="174"/>
  <c r="E775" i="174"/>
  <c r="T772" i="174"/>
  <c r="R772" i="174"/>
  <c r="C770" i="174" s="1"/>
  <c r="W770" i="174" s="1"/>
  <c r="W768" i="174"/>
  <c r="E763" i="174"/>
  <c r="T760" i="174"/>
  <c r="R760" i="174"/>
  <c r="C758" i="174" s="1"/>
  <c r="W758" i="174" s="1"/>
  <c r="W756" i="174"/>
  <c r="E751" i="174"/>
  <c r="T748" i="174"/>
  <c r="R748" i="174"/>
  <c r="C746" i="174" s="1"/>
  <c r="W746" i="174" s="1"/>
  <c r="W744" i="174"/>
  <c r="E739" i="174"/>
  <c r="T736" i="174"/>
  <c r="R736" i="174"/>
  <c r="C734" i="174" s="1"/>
  <c r="W734" i="174" s="1"/>
  <c r="W732" i="174"/>
  <c r="E673" i="174"/>
  <c r="T670" i="174"/>
  <c r="R670" i="174"/>
  <c r="C668" i="174" s="1"/>
  <c r="W668" i="174" s="1"/>
  <c r="W666" i="174"/>
  <c r="E661" i="174"/>
  <c r="T658" i="174"/>
  <c r="R658" i="174"/>
  <c r="C656" i="174" s="1"/>
  <c r="W656" i="174" s="1"/>
  <c r="W654" i="174"/>
  <c r="E649" i="174"/>
  <c r="T646" i="174"/>
  <c r="R646" i="174"/>
  <c r="C644" i="174" s="1"/>
  <c r="W644" i="174" s="1"/>
  <c r="W642" i="174"/>
  <c r="E628" i="174"/>
  <c r="T625" i="174"/>
  <c r="R625" i="174"/>
  <c r="C623" i="174" s="1"/>
  <c r="W623" i="174" s="1"/>
  <c r="W621" i="174"/>
  <c r="T616" i="174"/>
  <c r="R616" i="174"/>
  <c r="C614" i="174" s="1"/>
  <c r="W614" i="174" s="1"/>
  <c r="W612" i="174"/>
  <c r="T607" i="174"/>
  <c r="R607" i="174"/>
  <c r="C605" i="174" s="1"/>
  <c r="W605" i="174" s="1"/>
  <c r="W603" i="174"/>
  <c r="T598" i="174"/>
  <c r="R598" i="174"/>
  <c r="C596" i="174" s="1"/>
  <c r="W596" i="174" s="1"/>
  <c r="W594" i="174"/>
  <c r="T589" i="174"/>
  <c r="R589" i="174"/>
  <c r="C587" i="174" s="1"/>
  <c r="W587" i="174" s="1"/>
  <c r="W585" i="174"/>
  <c r="T580" i="174"/>
  <c r="R580" i="174"/>
  <c r="C578" i="174" s="1"/>
  <c r="W578" i="174" s="1"/>
  <c r="W576" i="174"/>
  <c r="T571" i="174"/>
  <c r="R571" i="174"/>
  <c r="C569" i="174" s="1"/>
  <c r="W569" i="174" s="1"/>
  <c r="W567" i="174"/>
  <c r="T562" i="174"/>
  <c r="R562" i="174"/>
  <c r="C560" i="174" s="1"/>
  <c r="W560" i="174" s="1"/>
  <c r="W558" i="174"/>
  <c r="T553" i="174"/>
  <c r="R553" i="174"/>
  <c r="C551" i="174" s="1"/>
  <c r="W551" i="174" s="1"/>
  <c r="W549" i="174"/>
  <c r="T544" i="174"/>
  <c r="R544" i="174"/>
  <c r="C542" i="174" s="1"/>
  <c r="W542" i="174" s="1"/>
  <c r="W540" i="174"/>
  <c r="T535" i="174"/>
  <c r="R535" i="174"/>
  <c r="C533" i="174" s="1"/>
  <c r="W533" i="174" s="1"/>
  <c r="W531" i="174"/>
  <c r="T526" i="174"/>
  <c r="R526" i="174"/>
  <c r="C524" i="174" s="1"/>
  <c r="W524" i="174" s="1"/>
  <c r="W522" i="174"/>
  <c r="T517" i="174"/>
  <c r="R517" i="174"/>
  <c r="C515" i="174" s="1"/>
  <c r="W515" i="174" s="1"/>
  <c r="W513" i="174"/>
  <c r="T508" i="174"/>
  <c r="R508" i="174"/>
  <c r="C505" i="174" s="1"/>
  <c r="W505" i="174" s="1"/>
  <c r="W504" i="174"/>
  <c r="T499" i="174"/>
  <c r="R499" i="174"/>
  <c r="C497" i="174" s="1"/>
  <c r="W497" i="174" s="1"/>
  <c r="W495" i="174"/>
  <c r="T490" i="174"/>
  <c r="R490" i="174"/>
  <c r="C488" i="174" s="1"/>
  <c r="W488" i="174" s="1"/>
  <c r="W486" i="174"/>
  <c r="T481" i="174"/>
  <c r="R481" i="174"/>
  <c r="C479" i="174" s="1"/>
  <c r="W479" i="174" s="1"/>
  <c r="W477" i="174"/>
  <c r="T472" i="174"/>
  <c r="R472" i="174"/>
  <c r="C470" i="174" s="1"/>
  <c r="W470" i="174" s="1"/>
  <c r="W468" i="174"/>
  <c r="T463" i="174"/>
  <c r="R463" i="174"/>
  <c r="C461" i="174" s="1"/>
  <c r="W461" i="174" s="1"/>
  <c r="W459" i="174"/>
  <c r="T454" i="174"/>
  <c r="R454" i="174"/>
  <c r="C452" i="174" s="1"/>
  <c r="W452" i="174" s="1"/>
  <c r="W450" i="174"/>
  <c r="T445" i="174"/>
  <c r="R445" i="174"/>
  <c r="C443" i="174" s="1"/>
  <c r="W443" i="174" s="1"/>
  <c r="W441" i="174"/>
  <c r="T436" i="174"/>
  <c r="R436" i="174"/>
  <c r="C434" i="174" s="1"/>
  <c r="W434" i="174" s="1"/>
  <c r="W432" i="174"/>
  <c r="T427" i="174"/>
  <c r="R427" i="174"/>
  <c r="C425" i="174" s="1"/>
  <c r="W425" i="174" s="1"/>
  <c r="W423" i="174"/>
  <c r="T418" i="174"/>
  <c r="R418" i="174"/>
  <c r="C416" i="174" s="1"/>
  <c r="W416" i="174" s="1"/>
  <c r="W414" i="174"/>
  <c r="T409" i="174"/>
  <c r="R409" i="174"/>
  <c r="C407" i="174" s="1"/>
  <c r="W407" i="174" s="1"/>
  <c r="W405" i="174"/>
  <c r="T400" i="174"/>
  <c r="R400" i="174"/>
  <c r="C398" i="174" s="1"/>
  <c r="W398" i="174" s="1"/>
  <c r="W396" i="174"/>
  <c r="T391" i="174"/>
  <c r="R391" i="174"/>
  <c r="C389" i="174" s="1"/>
  <c r="W389" i="174" s="1"/>
  <c r="W387" i="174"/>
  <c r="T382" i="174"/>
  <c r="R382" i="174"/>
  <c r="C380" i="174" s="1"/>
  <c r="W380" i="174" s="1"/>
  <c r="W378" i="174"/>
  <c r="T373" i="174"/>
  <c r="R373" i="174"/>
  <c r="C371" i="174" s="1"/>
  <c r="W371" i="174" s="1"/>
  <c r="W369" i="174"/>
  <c r="T364" i="174"/>
  <c r="R364" i="174"/>
  <c r="C362" i="174" s="1"/>
  <c r="W362" i="174" s="1"/>
  <c r="W360" i="174"/>
  <c r="T355" i="174"/>
  <c r="R355" i="174"/>
  <c r="C353" i="174" s="1"/>
  <c r="W353" i="174" s="1"/>
  <c r="W351" i="174"/>
  <c r="T346" i="174"/>
  <c r="R346" i="174"/>
  <c r="C344" i="174" s="1"/>
  <c r="W344" i="174" s="1"/>
  <c r="W342" i="174"/>
  <c r="T337" i="174"/>
  <c r="R337" i="174"/>
  <c r="C335" i="174" s="1"/>
  <c r="W335" i="174" s="1"/>
  <c r="W333" i="174"/>
  <c r="T328" i="174"/>
  <c r="R328" i="174"/>
  <c r="C326" i="174" s="1"/>
  <c r="W326" i="174" s="1"/>
  <c r="W324" i="174"/>
  <c r="T319" i="174"/>
  <c r="R319" i="174"/>
  <c r="C317" i="174" s="1"/>
  <c r="W317" i="174" s="1"/>
  <c r="W315" i="174"/>
  <c r="T310" i="174"/>
  <c r="R310" i="174"/>
  <c r="C308" i="174" s="1"/>
  <c r="W308" i="174" s="1"/>
  <c r="W306" i="174"/>
  <c r="T301" i="174"/>
  <c r="R301" i="174"/>
  <c r="C299" i="174" s="1"/>
  <c r="W299" i="174" s="1"/>
  <c r="W297" i="174"/>
  <c r="T292" i="174"/>
  <c r="R292" i="174"/>
  <c r="C290" i="174" s="1"/>
  <c r="W290" i="174" s="1"/>
  <c r="W288" i="174"/>
  <c r="T283" i="174"/>
  <c r="R283" i="174"/>
  <c r="C281" i="174" s="1"/>
  <c r="W281" i="174" s="1"/>
  <c r="W279" i="174"/>
  <c r="T274" i="174"/>
  <c r="R274" i="174"/>
  <c r="C271" i="174" s="1"/>
  <c r="W271" i="174" s="1"/>
  <c r="W270" i="174"/>
  <c r="T265" i="174"/>
  <c r="R265" i="174"/>
  <c r="C263" i="174" s="1"/>
  <c r="W263" i="174" s="1"/>
  <c r="W261" i="174"/>
  <c r="T256" i="174"/>
  <c r="R256" i="174"/>
  <c r="C254" i="174" s="1"/>
  <c r="W254" i="174" s="1"/>
  <c r="W252" i="174"/>
  <c r="T247" i="174"/>
  <c r="R247" i="174"/>
  <c r="C244" i="174" s="1"/>
  <c r="W244" i="174" s="1"/>
  <c r="W243" i="174"/>
  <c r="T238" i="174"/>
  <c r="R238" i="174"/>
  <c r="C236" i="174" s="1"/>
  <c r="W236" i="174" s="1"/>
  <c r="W234" i="174"/>
  <c r="T229" i="174"/>
  <c r="R229" i="174"/>
  <c r="C227" i="174" s="1"/>
  <c r="W227" i="174" s="1"/>
  <c r="W225" i="174"/>
  <c r="T220" i="174"/>
  <c r="R220" i="174"/>
  <c r="C218" i="174" s="1"/>
  <c r="W218" i="174" s="1"/>
  <c r="W216" i="174"/>
  <c r="T211" i="174"/>
  <c r="R211" i="174"/>
  <c r="C209" i="174" s="1"/>
  <c r="W209" i="174" s="1"/>
  <c r="W207" i="174"/>
  <c r="T202" i="174"/>
  <c r="R202" i="174"/>
  <c r="C200" i="174" s="1"/>
  <c r="W200" i="174" s="1"/>
  <c r="W198" i="174"/>
  <c r="T193" i="174"/>
  <c r="R193" i="174"/>
  <c r="C191" i="174" s="1"/>
  <c r="W191" i="174" s="1"/>
  <c r="W189" i="174"/>
  <c r="R184" i="174"/>
  <c r="C181" i="174" s="1"/>
  <c r="W181" i="174" s="1"/>
  <c r="T184" i="174"/>
  <c r="W180" i="174"/>
  <c r="E175" i="174"/>
  <c r="T172" i="174"/>
  <c r="R172" i="174"/>
  <c r="C170" i="174" s="1"/>
  <c r="W170" i="174" s="1"/>
  <c r="W168" i="174"/>
  <c r="E163" i="174"/>
  <c r="T160" i="174"/>
  <c r="R160" i="174"/>
  <c r="C157" i="174" s="1"/>
  <c r="W157" i="174" s="1"/>
  <c r="W156" i="174"/>
  <c r="E151" i="174"/>
  <c r="T148" i="174"/>
  <c r="R148" i="174"/>
  <c r="C145" i="174" s="1"/>
  <c r="W145" i="174" s="1"/>
  <c r="W144" i="174"/>
  <c r="E139" i="174"/>
  <c r="T136" i="174"/>
  <c r="R136" i="174"/>
  <c r="C134" i="174" s="1"/>
  <c r="W134" i="174" s="1"/>
  <c r="W132" i="174"/>
  <c r="E127" i="174"/>
  <c r="T124" i="174"/>
  <c r="R124" i="174"/>
  <c r="C122" i="174" s="1"/>
  <c r="W122" i="174" s="1"/>
  <c r="W120" i="174"/>
  <c r="E115" i="174"/>
  <c r="T112" i="174"/>
  <c r="R112" i="174"/>
  <c r="C110" i="174" s="1"/>
  <c r="W110" i="174" s="1"/>
  <c r="W108" i="174"/>
  <c r="E103" i="174"/>
  <c r="T100" i="174"/>
  <c r="R100" i="174"/>
  <c r="C98" i="174" s="1"/>
  <c r="W98" i="174" s="1"/>
  <c r="W96" i="174"/>
  <c r="E91" i="174"/>
  <c r="T88" i="174"/>
  <c r="R88" i="174"/>
  <c r="C86" i="174" s="1"/>
  <c r="W86" i="174" s="1"/>
  <c r="W84" i="174"/>
  <c r="T79" i="174"/>
  <c r="R79" i="174"/>
  <c r="C77" i="174" s="1"/>
  <c r="W77" i="174" s="1"/>
  <c r="W75" i="174"/>
  <c r="E70" i="174"/>
  <c r="T67" i="174"/>
  <c r="R67" i="174"/>
  <c r="C65" i="174" s="1"/>
  <c r="W65" i="174" s="1"/>
  <c r="W63" i="174"/>
  <c r="C1045" i="174" l="1"/>
  <c r="W1045" i="174" s="1"/>
  <c r="C97" i="174"/>
  <c r="W97" i="174" s="1"/>
  <c r="C559" i="174"/>
  <c r="W559" i="174" s="1"/>
  <c r="C406" i="174"/>
  <c r="W406" i="174" s="1"/>
  <c r="C550" i="174"/>
  <c r="W550" i="174" s="1"/>
  <c r="C182" i="174"/>
  <c r="W182" i="174" s="1"/>
  <c r="C532" i="174"/>
  <c r="W532" i="174" s="1"/>
  <c r="C643" i="174"/>
  <c r="W643" i="174" s="1"/>
  <c r="C469" i="174"/>
  <c r="W469" i="174" s="1"/>
  <c r="C1033" i="174"/>
  <c r="W1033" i="174" s="1"/>
  <c r="C577" i="174"/>
  <c r="W577" i="174" s="1"/>
  <c r="C272" i="174"/>
  <c r="W272" i="174" s="1"/>
  <c r="C433" i="174"/>
  <c r="W433" i="174" s="1"/>
  <c r="C604" i="174"/>
  <c r="W604" i="174" s="1"/>
  <c r="C829" i="174"/>
  <c r="W829" i="174" s="1"/>
  <c r="C506" i="174"/>
  <c r="W506" i="174" s="1"/>
  <c r="C1057" i="174"/>
  <c r="W1057" i="174" s="1"/>
  <c r="C1022" i="174"/>
  <c r="W1022" i="174" s="1"/>
  <c r="C1009" i="174"/>
  <c r="W1009" i="174" s="1"/>
  <c r="C997" i="174"/>
  <c r="W997" i="174" s="1"/>
  <c r="C985" i="174"/>
  <c r="W985" i="174" s="1"/>
  <c r="C973" i="174"/>
  <c r="W973" i="174" s="1"/>
  <c r="C961" i="174"/>
  <c r="W961" i="174" s="1"/>
  <c r="C949" i="174"/>
  <c r="W949" i="174" s="1"/>
  <c r="C937" i="174"/>
  <c r="W937" i="174" s="1"/>
  <c r="C925" i="174"/>
  <c r="W925" i="174" s="1"/>
  <c r="C913" i="174"/>
  <c r="W913" i="174" s="1"/>
  <c r="C901" i="174"/>
  <c r="W901" i="174" s="1"/>
  <c r="C889" i="174"/>
  <c r="W889" i="174" s="1"/>
  <c r="C877" i="174"/>
  <c r="W877" i="174" s="1"/>
  <c r="C866" i="174"/>
  <c r="W866" i="174" s="1"/>
  <c r="C853" i="174"/>
  <c r="W853" i="174" s="1"/>
  <c r="C842" i="174"/>
  <c r="W842" i="174" s="1"/>
  <c r="C817" i="174"/>
  <c r="W817" i="174" s="1"/>
  <c r="C805" i="174"/>
  <c r="W805" i="174" s="1"/>
  <c r="C793" i="174"/>
  <c r="W793" i="174" s="1"/>
  <c r="C781" i="174"/>
  <c r="W781" i="174" s="1"/>
  <c r="C769" i="174"/>
  <c r="W769" i="174" s="1"/>
  <c r="C757" i="174"/>
  <c r="W757" i="174" s="1"/>
  <c r="C745" i="174"/>
  <c r="W745" i="174" s="1"/>
  <c r="C733" i="174"/>
  <c r="W733" i="174" s="1"/>
  <c r="C667" i="174"/>
  <c r="W667" i="174" s="1"/>
  <c r="C655" i="174"/>
  <c r="W655" i="174" s="1"/>
  <c r="C622" i="174"/>
  <c r="W622" i="174" s="1"/>
  <c r="C613" i="174"/>
  <c r="W613" i="174" s="1"/>
  <c r="C595" i="174"/>
  <c r="W595" i="174" s="1"/>
  <c r="C586" i="174"/>
  <c r="W586" i="174" s="1"/>
  <c r="C568" i="174"/>
  <c r="W568" i="174" s="1"/>
  <c r="C541" i="174"/>
  <c r="W541" i="174" s="1"/>
  <c r="C523" i="174"/>
  <c r="W523" i="174" s="1"/>
  <c r="C514" i="174"/>
  <c r="W514" i="174" s="1"/>
  <c r="C496" i="174"/>
  <c r="W496" i="174" s="1"/>
  <c r="C487" i="174"/>
  <c r="W487" i="174" s="1"/>
  <c r="C478" i="174"/>
  <c r="W478" i="174" s="1"/>
  <c r="C460" i="174"/>
  <c r="W460" i="174" s="1"/>
  <c r="C451" i="174"/>
  <c r="W451" i="174" s="1"/>
  <c r="C442" i="174"/>
  <c r="W442" i="174" s="1"/>
  <c r="C424" i="174"/>
  <c r="W424" i="174" s="1"/>
  <c r="C415" i="174"/>
  <c r="W415" i="174" s="1"/>
  <c r="C397" i="174"/>
  <c r="W397" i="174" s="1"/>
  <c r="C388" i="174"/>
  <c r="W388" i="174" s="1"/>
  <c r="C379" i="174"/>
  <c r="W379" i="174" s="1"/>
  <c r="C370" i="174"/>
  <c r="W370" i="174" s="1"/>
  <c r="C361" i="174"/>
  <c r="W361" i="174" s="1"/>
  <c r="C352" i="174"/>
  <c r="W352" i="174" s="1"/>
  <c r="C343" i="174"/>
  <c r="W343" i="174" s="1"/>
  <c r="C334" i="174"/>
  <c r="W334" i="174" s="1"/>
  <c r="C325" i="174"/>
  <c r="W325" i="174" s="1"/>
  <c r="C316" i="174"/>
  <c r="W316" i="174" s="1"/>
  <c r="C307" i="174"/>
  <c r="W307" i="174" s="1"/>
  <c r="C298" i="174"/>
  <c r="W298" i="174" s="1"/>
  <c r="C289" i="174"/>
  <c r="W289" i="174" s="1"/>
  <c r="C280" i="174"/>
  <c r="W280" i="174" s="1"/>
  <c r="C262" i="174"/>
  <c r="W262" i="174" s="1"/>
  <c r="C253" i="174"/>
  <c r="W253" i="174" s="1"/>
  <c r="C245" i="174"/>
  <c r="W245" i="174" s="1"/>
  <c r="C235" i="174"/>
  <c r="W235" i="174" s="1"/>
  <c r="C226" i="174"/>
  <c r="W226" i="174" s="1"/>
  <c r="C217" i="174"/>
  <c r="W217" i="174" s="1"/>
  <c r="C208" i="174"/>
  <c r="W208" i="174" s="1"/>
  <c r="C199" i="174"/>
  <c r="W199" i="174" s="1"/>
  <c r="C190" i="174"/>
  <c r="W190" i="174" s="1"/>
  <c r="C169" i="174"/>
  <c r="W169" i="174" s="1"/>
  <c r="C158" i="174"/>
  <c r="W158" i="174" s="1"/>
  <c r="C146" i="174"/>
  <c r="W146" i="174" s="1"/>
  <c r="C133" i="174"/>
  <c r="W133" i="174" s="1"/>
  <c r="C121" i="174"/>
  <c r="W121" i="174" s="1"/>
  <c r="C109" i="174"/>
  <c r="W109" i="174" s="1"/>
  <c r="C85" i="174"/>
  <c r="W85" i="174" s="1"/>
  <c r="C76" i="174"/>
  <c r="W76" i="174" s="1"/>
  <c r="C64" i="174"/>
  <c r="W64" i="174" s="1"/>
  <c r="E58" i="174" l="1"/>
  <c r="T55" i="174"/>
  <c r="R55" i="174"/>
  <c r="C53" i="174" s="1"/>
  <c r="W53" i="174" s="1"/>
  <c r="W51" i="174"/>
  <c r="E46" i="174"/>
  <c r="T43" i="174"/>
  <c r="R43" i="174"/>
  <c r="C41" i="174" s="1"/>
  <c r="W41" i="174" s="1"/>
  <c r="W39" i="174"/>
  <c r="E1615" i="174"/>
  <c r="T1612" i="174"/>
  <c r="R1612" i="174"/>
  <c r="C1610" i="174" s="1"/>
  <c r="W1610" i="174" s="1"/>
  <c r="W1608" i="174"/>
  <c r="E1603" i="174"/>
  <c r="T1600" i="174"/>
  <c r="R1600" i="174"/>
  <c r="C1598" i="174" s="1"/>
  <c r="W1598" i="174" s="1"/>
  <c r="W1596" i="174"/>
  <c r="E1591" i="174"/>
  <c r="T1588" i="174"/>
  <c r="R1588" i="174"/>
  <c r="C1586" i="174" s="1"/>
  <c r="W1586" i="174" s="1"/>
  <c r="W1584" i="174"/>
  <c r="E1579" i="174"/>
  <c r="T1576" i="174"/>
  <c r="R1576" i="174"/>
  <c r="C1574" i="174" s="1"/>
  <c r="W1574" i="174" s="1"/>
  <c r="W1572" i="174"/>
  <c r="E1567" i="174"/>
  <c r="T1564" i="174"/>
  <c r="R1564" i="174"/>
  <c r="C1562" i="174" s="1"/>
  <c r="W1562" i="174" s="1"/>
  <c r="W1560" i="174"/>
  <c r="E1555" i="174"/>
  <c r="T1552" i="174"/>
  <c r="R1552" i="174"/>
  <c r="C1550" i="174" s="1"/>
  <c r="W1550" i="174" s="1"/>
  <c r="W1548" i="174"/>
  <c r="E1543" i="174"/>
  <c r="T1540" i="174"/>
  <c r="R1540" i="174"/>
  <c r="C1537" i="174" s="1"/>
  <c r="W1537" i="174" s="1"/>
  <c r="W1536" i="174"/>
  <c r="E1531" i="174"/>
  <c r="T1528" i="174"/>
  <c r="R1528" i="174"/>
  <c r="C1525" i="174" s="1"/>
  <c r="W1525" i="174" s="1"/>
  <c r="W1524" i="174"/>
  <c r="E1519" i="174"/>
  <c r="T1516" i="174"/>
  <c r="R1516" i="174"/>
  <c r="C1513" i="174" s="1"/>
  <c r="W1513" i="174" s="1"/>
  <c r="W1512" i="174"/>
  <c r="E1507" i="174"/>
  <c r="T1504" i="174"/>
  <c r="R1504" i="174"/>
  <c r="C1502" i="174" s="1"/>
  <c r="W1502" i="174" s="1"/>
  <c r="W1500" i="174"/>
  <c r="E1495" i="174"/>
  <c r="T1492" i="174"/>
  <c r="R1492" i="174"/>
  <c r="C1489" i="174" s="1"/>
  <c r="W1489" i="174" s="1"/>
  <c r="W1488" i="174"/>
  <c r="E1483" i="174"/>
  <c r="T1480" i="174"/>
  <c r="R1480" i="174"/>
  <c r="C1478" i="174" s="1"/>
  <c r="W1478" i="174" s="1"/>
  <c r="W1476" i="174"/>
  <c r="E1471" i="174"/>
  <c r="T1468" i="174"/>
  <c r="R1468" i="174"/>
  <c r="C1466" i="174" s="1"/>
  <c r="W1466" i="174" s="1"/>
  <c r="W1464" i="174"/>
  <c r="E1459" i="174"/>
  <c r="T1456" i="174"/>
  <c r="R1456" i="174"/>
  <c r="C1454" i="174" s="1"/>
  <c r="W1454" i="174" s="1"/>
  <c r="W1452" i="174"/>
  <c r="E1447" i="174"/>
  <c r="T1444" i="174"/>
  <c r="R1444" i="174"/>
  <c r="C1442" i="174" s="1"/>
  <c r="W1442" i="174" s="1"/>
  <c r="W1440" i="174"/>
  <c r="E1435" i="174"/>
  <c r="T1432" i="174"/>
  <c r="R1432" i="174"/>
  <c r="C1429" i="174" s="1"/>
  <c r="W1429" i="174" s="1"/>
  <c r="W1428" i="174"/>
  <c r="E1423" i="174"/>
  <c r="T1420" i="174"/>
  <c r="R1420" i="174"/>
  <c r="C1418" i="174" s="1"/>
  <c r="W1418" i="174" s="1"/>
  <c r="W1416" i="174"/>
  <c r="E1411" i="174"/>
  <c r="T1408" i="174"/>
  <c r="R1408" i="174"/>
  <c r="C1405" i="174" s="1"/>
  <c r="W1405" i="174" s="1"/>
  <c r="W1404" i="174"/>
  <c r="E1399" i="174"/>
  <c r="T1396" i="174"/>
  <c r="R1396" i="174"/>
  <c r="C1394" i="174" s="1"/>
  <c r="W1394" i="174" s="1"/>
  <c r="W1392" i="174"/>
  <c r="E1387" i="174"/>
  <c r="T1384" i="174"/>
  <c r="R1384" i="174"/>
  <c r="C1382" i="174" s="1"/>
  <c r="W1382" i="174" s="1"/>
  <c r="W1380" i="174"/>
  <c r="E1375" i="174"/>
  <c r="T1372" i="174"/>
  <c r="R1372" i="174"/>
  <c r="C1370" i="174" s="1"/>
  <c r="W1370" i="174" s="1"/>
  <c r="W1368" i="174"/>
  <c r="E1363" i="174"/>
  <c r="T1360" i="174"/>
  <c r="R1360" i="174"/>
  <c r="C1358" i="174" s="1"/>
  <c r="W1358" i="174" s="1"/>
  <c r="W1356" i="174"/>
  <c r="E1351" i="174"/>
  <c r="T1348" i="174"/>
  <c r="R1348" i="174"/>
  <c r="C1346" i="174" s="1"/>
  <c r="W1346" i="174" s="1"/>
  <c r="W1344" i="174"/>
  <c r="E1339" i="174"/>
  <c r="T1336" i="174"/>
  <c r="R1336" i="174"/>
  <c r="C1333" i="174" s="1"/>
  <c r="W1333" i="174" s="1"/>
  <c r="W1332" i="174"/>
  <c r="E1327" i="174"/>
  <c r="T1324" i="174"/>
  <c r="R1324" i="174"/>
  <c r="C1321" i="174" s="1"/>
  <c r="W1321" i="174" s="1"/>
  <c r="W1320" i="174"/>
  <c r="E1315" i="174"/>
  <c r="T1312" i="174"/>
  <c r="R1312" i="174"/>
  <c r="C1310" i="174" s="1"/>
  <c r="W1310" i="174" s="1"/>
  <c r="W1308" i="174"/>
  <c r="E1303" i="174"/>
  <c r="T1300" i="174"/>
  <c r="R1300" i="174"/>
  <c r="C1298" i="174" s="1"/>
  <c r="W1298" i="174" s="1"/>
  <c r="W1296" i="174"/>
  <c r="E1291" i="174"/>
  <c r="T1288" i="174"/>
  <c r="R1288" i="174"/>
  <c r="C1286" i="174" s="1"/>
  <c r="W1286" i="174" s="1"/>
  <c r="W1284" i="174"/>
  <c r="E1279" i="174"/>
  <c r="T1276" i="174"/>
  <c r="R1276" i="174"/>
  <c r="C1273" i="174" s="1"/>
  <c r="W1273" i="174" s="1"/>
  <c r="W1272" i="174"/>
  <c r="E1267" i="174"/>
  <c r="T1264" i="174"/>
  <c r="R1264" i="174"/>
  <c r="C1262" i="174" s="1"/>
  <c r="W1262" i="174" s="1"/>
  <c r="W1260" i="174"/>
  <c r="E1255" i="174"/>
  <c r="T1252" i="174"/>
  <c r="R1252" i="174"/>
  <c r="C1250" i="174" s="1"/>
  <c r="W1250" i="174" s="1"/>
  <c r="W1248" i="174"/>
  <c r="E1243" i="174"/>
  <c r="T1240" i="174"/>
  <c r="R1240" i="174"/>
  <c r="C1238" i="174" s="1"/>
  <c r="W1238" i="174" s="1"/>
  <c r="W1236" i="174"/>
  <c r="E1231" i="174"/>
  <c r="T1228" i="174"/>
  <c r="R1228" i="174"/>
  <c r="C1225" i="174" s="1"/>
  <c r="W1225" i="174" s="1"/>
  <c r="W1224" i="174"/>
  <c r="E1219" i="174"/>
  <c r="T1216" i="174"/>
  <c r="R1216" i="174"/>
  <c r="C1214" i="174" s="1"/>
  <c r="W1214" i="174" s="1"/>
  <c r="W1212" i="174"/>
  <c r="E1207" i="174"/>
  <c r="T1204" i="174"/>
  <c r="R1204" i="174"/>
  <c r="C1202" i="174" s="1"/>
  <c r="W1202" i="174" s="1"/>
  <c r="W1200" i="174"/>
  <c r="E1195" i="174"/>
  <c r="T1192" i="174"/>
  <c r="R1192" i="174"/>
  <c r="C1190" i="174" s="1"/>
  <c r="W1190" i="174" s="1"/>
  <c r="W1188" i="174"/>
  <c r="E1183" i="174"/>
  <c r="T1180" i="174"/>
  <c r="R1180" i="174"/>
  <c r="C1178" i="174" s="1"/>
  <c r="W1178" i="174" s="1"/>
  <c r="W1176" i="174"/>
  <c r="E1171" i="174"/>
  <c r="T1168" i="174"/>
  <c r="R1168" i="174"/>
  <c r="C1166" i="174" s="1"/>
  <c r="W1166" i="174" s="1"/>
  <c r="W1164" i="174"/>
  <c r="C1381" i="174" l="1"/>
  <c r="W1381" i="174" s="1"/>
  <c r="C1334" i="174"/>
  <c r="W1334" i="174" s="1"/>
  <c r="C52" i="174"/>
  <c r="W52" i="174" s="1"/>
  <c r="C40" i="174"/>
  <c r="W40" i="174" s="1"/>
  <c r="C1609" i="174"/>
  <c r="W1609" i="174" s="1"/>
  <c r="C1597" i="174"/>
  <c r="W1597" i="174" s="1"/>
  <c r="C1585" i="174"/>
  <c r="W1585" i="174" s="1"/>
  <c r="C1573" i="174"/>
  <c r="W1573" i="174" s="1"/>
  <c r="C1561" i="174"/>
  <c r="W1561" i="174" s="1"/>
  <c r="C1549" i="174"/>
  <c r="W1549" i="174" s="1"/>
  <c r="C1538" i="174"/>
  <c r="W1538" i="174" s="1"/>
  <c r="C1526" i="174"/>
  <c r="W1526" i="174" s="1"/>
  <c r="C1514" i="174"/>
  <c r="W1514" i="174" s="1"/>
  <c r="C1501" i="174"/>
  <c r="W1501" i="174" s="1"/>
  <c r="C1490" i="174"/>
  <c r="W1490" i="174" s="1"/>
  <c r="C1477" i="174"/>
  <c r="W1477" i="174" s="1"/>
  <c r="C1465" i="174"/>
  <c r="W1465" i="174" s="1"/>
  <c r="C1453" i="174"/>
  <c r="W1453" i="174" s="1"/>
  <c r="C1441" i="174"/>
  <c r="W1441" i="174" s="1"/>
  <c r="C1430" i="174"/>
  <c r="W1430" i="174" s="1"/>
  <c r="C1417" i="174"/>
  <c r="W1417" i="174" s="1"/>
  <c r="C1406" i="174"/>
  <c r="W1406" i="174" s="1"/>
  <c r="C1393" i="174"/>
  <c r="W1393" i="174" s="1"/>
  <c r="C1369" i="174"/>
  <c r="W1369" i="174" s="1"/>
  <c r="C1357" i="174"/>
  <c r="W1357" i="174" s="1"/>
  <c r="C1345" i="174"/>
  <c r="W1345" i="174" s="1"/>
  <c r="C1322" i="174"/>
  <c r="W1322" i="174" s="1"/>
  <c r="C1309" i="174"/>
  <c r="W1309" i="174" s="1"/>
  <c r="C1297" i="174"/>
  <c r="W1297" i="174" s="1"/>
  <c r="C1285" i="174"/>
  <c r="W1285" i="174" s="1"/>
  <c r="C1274" i="174"/>
  <c r="W1274" i="174" s="1"/>
  <c r="C1261" i="174"/>
  <c r="W1261" i="174" s="1"/>
  <c r="C1249" i="174"/>
  <c r="W1249" i="174" s="1"/>
  <c r="C1237" i="174"/>
  <c r="W1237" i="174" s="1"/>
  <c r="C1226" i="174"/>
  <c r="W1226" i="174" s="1"/>
  <c r="C1213" i="174"/>
  <c r="W1213" i="174" s="1"/>
  <c r="C1201" i="174"/>
  <c r="W1201" i="174" s="1"/>
  <c r="C1189" i="174"/>
  <c r="W1189" i="174" s="1"/>
  <c r="C1177" i="174"/>
  <c r="W1177" i="174" s="1"/>
  <c r="C1165" i="174"/>
  <c r="W1165" i="174" s="1"/>
  <c r="E1159" i="174" l="1"/>
  <c r="T1156" i="174"/>
  <c r="R1156" i="174"/>
  <c r="C1154" i="174" s="1"/>
  <c r="W1154" i="174" s="1"/>
  <c r="W1152"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3" i="174" l="1"/>
  <c r="W1153"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7" i="174" l="1"/>
  <c r="E1135" i="174"/>
  <c r="E1123" i="174"/>
  <c r="E1111" i="174"/>
  <c r="E1099" i="174"/>
  <c r="E1087" i="174"/>
  <c r="T1144" i="174"/>
  <c r="T1132" i="174"/>
  <c r="T1120" i="174"/>
  <c r="T1108" i="174"/>
  <c r="T1096" i="174"/>
  <c r="T1084" i="174"/>
  <c r="E1075" i="174"/>
  <c r="T1072" i="174"/>
  <c r="E30" i="174"/>
  <c r="T24"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53" i="25"/>
  <c r="AM41" i="25"/>
  <c r="AM44" i="25"/>
  <c r="AM42" i="25"/>
  <c r="AM55" i="25"/>
  <c r="AM51" i="25"/>
  <c r="AM52" i="25"/>
  <c r="AM37" i="25"/>
  <c r="AM48" i="25"/>
  <c r="AM47" i="25"/>
  <c r="AM49" i="25"/>
  <c r="AM40" i="25"/>
  <c r="AM50" i="25"/>
  <c r="AM45" i="25"/>
  <c r="AM43" i="25"/>
  <c r="AM38" i="25"/>
  <c r="AM39" i="25"/>
  <c r="AM36" i="25"/>
  <c r="AM54" i="25"/>
  <c r="AM46" i="25"/>
  <c r="Q23" i="309" l="1"/>
  <c r="Q22" i="309"/>
  <c r="BK96" i="25"/>
  <c r="A96" i="25"/>
  <c r="O206" i="25"/>
  <c r="BK70" i="25"/>
  <c r="A70" i="25"/>
  <c r="C22" i="174"/>
  <c r="W22" i="174" s="1"/>
  <c r="C21" i="174"/>
  <c r="W21" i="174" s="1"/>
  <c r="W20" i="174"/>
  <c r="AM70" i="25"/>
  <c r="AM96" i="25"/>
  <c r="W5" i="174" l="1"/>
  <c r="W3" i="174"/>
  <c r="W1068" i="174"/>
  <c r="R1072" i="174"/>
  <c r="C1069" i="174" s="1"/>
  <c r="W1069" i="174" s="1"/>
  <c r="C4" i="174" l="1"/>
  <c r="W4" i="174" s="1"/>
  <c r="C1070" i="174"/>
  <c r="W1070"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31" i="25"/>
  <c r="AM89" i="25"/>
  <c r="AM72" i="25"/>
  <c r="AM56" i="25"/>
  <c r="AM35" i="25"/>
  <c r="AM61" i="25"/>
  <c r="AM83" i="25"/>
  <c r="AM26" i="25"/>
  <c r="AM91" i="25"/>
  <c r="AM28" i="25"/>
  <c r="AM27" i="25"/>
  <c r="AM79" i="25"/>
  <c r="AM34" i="25"/>
  <c r="AM102" i="25"/>
  <c r="AM20" i="25"/>
  <c r="AM92" i="25"/>
  <c r="AM69" i="25"/>
  <c r="AM103" i="25"/>
  <c r="AM93" i="25"/>
  <c r="AM32" i="25"/>
  <c r="AM59" i="25"/>
  <c r="AM97" i="25"/>
  <c r="AM87" i="25"/>
  <c r="AM80" i="25"/>
  <c r="AM22" i="25"/>
  <c r="AM104" i="25"/>
  <c r="AM95" i="25"/>
  <c r="AM101" i="25"/>
  <c r="AM64" i="25"/>
  <c r="AM98" i="25"/>
  <c r="AM90" i="25"/>
  <c r="AM63" i="25"/>
  <c r="AM65" i="25"/>
  <c r="AM67" i="25"/>
  <c r="AM21" i="25"/>
  <c r="AM94" i="25"/>
  <c r="AM24" i="25"/>
  <c r="AM99" i="25"/>
  <c r="AM82" i="25"/>
  <c r="AM62" i="25"/>
  <c r="AM100" i="25"/>
  <c r="AM84" i="25"/>
  <c r="AM88" i="25"/>
  <c r="AM23" i="25"/>
  <c r="AM25" i="25"/>
  <c r="AM68" i="25"/>
  <c r="AM71" i="25"/>
  <c r="AM66" i="25"/>
  <c r="AM33" i="25"/>
  <c r="AM29" i="25"/>
  <c r="AM81" i="25"/>
  <c r="AM58" i="25"/>
  <c r="AM85" i="25"/>
  <c r="AM57" i="25"/>
  <c r="AM86" i="25"/>
  <c r="AM60"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12" i="25"/>
  <c r="AM10" i="25"/>
  <c r="AM11" i="25"/>
  <c r="AM8" i="25"/>
  <c r="D5" i="368" l="1"/>
  <c r="D8" i="368" s="1"/>
  <c r="D5" i="370"/>
  <c r="D8" i="370" s="1"/>
  <c r="D6" i="369"/>
  <c r="D4" i="367"/>
  <c r="D4" i="369"/>
  <c r="D6" i="368"/>
  <c r="D6" i="366"/>
  <c r="D5" i="365"/>
  <c r="D8" i="365" s="1"/>
  <c r="D6" i="370"/>
  <c r="D4" i="365"/>
  <c r="D5" i="369"/>
  <c r="D8" i="369" s="1"/>
  <c r="D4" i="368"/>
  <c r="D5" i="366"/>
  <c r="D8" i="366" s="1"/>
  <c r="D4" i="370"/>
  <c r="D5" i="367"/>
  <c r="D8" i="367" s="1"/>
  <c r="D6" i="367"/>
  <c r="D6" i="365"/>
  <c r="D4" i="366"/>
  <c r="Q17" i="236"/>
  <c r="AS29" i="365" l="1"/>
  <c r="AS26" i="365"/>
  <c r="AS42" i="365"/>
  <c r="AS28" i="365"/>
  <c r="AS13" i="365"/>
  <c r="AS33" i="365"/>
  <c r="AS31" i="365"/>
  <c r="AS23" i="365"/>
  <c r="AS41" i="365"/>
  <c r="AS10" i="365"/>
  <c r="AS39" i="365"/>
  <c r="AS36" i="365"/>
  <c r="AS22" i="365"/>
  <c r="AS20" i="365"/>
  <c r="AS30" i="365"/>
  <c r="AS34" i="365"/>
  <c r="AJ11" i="365"/>
  <c r="AS19" i="365"/>
  <c r="AS38" i="365"/>
  <c r="AS27" i="365"/>
  <c r="AS44" i="365"/>
  <c r="N11" i="365"/>
  <c r="AJ10" i="365"/>
  <c r="AS43" i="365"/>
  <c r="AS32" i="365"/>
  <c r="AS18" i="365"/>
  <c r="AS12" i="365"/>
  <c r="AS45" i="365"/>
  <c r="AS35" i="365"/>
  <c r="AS25" i="365"/>
  <c r="AS46" i="365"/>
  <c r="AS37" i="365"/>
  <c r="AS16" i="365"/>
  <c r="AS21" i="365"/>
  <c r="AS15" i="365"/>
  <c r="AS17" i="365"/>
  <c r="N10" i="365"/>
  <c r="AS14" i="365"/>
  <c r="AS40" i="365"/>
  <c r="AS24" i="365"/>
  <c r="AS19" i="369"/>
  <c r="AS41" i="369"/>
  <c r="AS13" i="369"/>
  <c r="N10" i="369"/>
  <c r="AS26" i="369"/>
  <c r="AS27" i="369"/>
  <c r="AS16" i="369"/>
  <c r="AS17" i="369"/>
  <c r="AS22" i="369"/>
  <c r="AJ11" i="369"/>
  <c r="AS25" i="369"/>
  <c r="AS36" i="369"/>
  <c r="AS37" i="369"/>
  <c r="AS15" i="369"/>
  <c r="AS18" i="369"/>
  <c r="AS29" i="369"/>
  <c r="AS28" i="369"/>
  <c r="AS31" i="369"/>
  <c r="AS38" i="369"/>
  <c r="AS30" i="369"/>
  <c r="AS35" i="369"/>
  <c r="AJ10" i="369"/>
  <c r="AS10" i="369"/>
  <c r="AS34" i="369"/>
  <c r="AS33" i="369"/>
  <c r="AS40" i="369"/>
  <c r="AS12" i="369"/>
  <c r="AS21" i="369"/>
  <c r="AS24" i="369"/>
  <c r="AS14" i="369"/>
  <c r="AS23" i="369"/>
  <c r="AS39" i="369"/>
  <c r="N11" i="369"/>
  <c r="AS32" i="369"/>
  <c r="AS20" i="369"/>
  <c r="AS14" i="366"/>
  <c r="AS10" i="366"/>
  <c r="N11" i="366"/>
  <c r="AS19" i="366"/>
  <c r="AS13" i="366"/>
  <c r="AJ10" i="366"/>
  <c r="AS20" i="366"/>
  <c r="AS16" i="366"/>
  <c r="AS15" i="366"/>
  <c r="N10" i="366"/>
  <c r="AJ11" i="366"/>
  <c r="AS17" i="366"/>
  <c r="AS12" i="366"/>
  <c r="AS18" i="366"/>
  <c r="AS21" i="366"/>
  <c r="AS22" i="366"/>
  <c r="AS12" i="370"/>
  <c r="AS14" i="370"/>
  <c r="AS16" i="370"/>
  <c r="N11" i="370"/>
  <c r="AS22" i="370"/>
  <c r="AS15" i="370"/>
  <c r="AS13" i="370"/>
  <c r="AS21" i="370"/>
  <c r="AJ10" i="370"/>
  <c r="AS20" i="370"/>
  <c r="AS10" i="370"/>
  <c r="AS24" i="370"/>
  <c r="AS17" i="370"/>
  <c r="AS19" i="370"/>
  <c r="N10" i="370"/>
  <c r="AJ11" i="370"/>
  <c r="AS23" i="370"/>
  <c r="AS18" i="370"/>
  <c r="AS14" i="367"/>
  <c r="AS17" i="367"/>
  <c r="AS19" i="367"/>
  <c r="AS13" i="367"/>
  <c r="AJ11" i="367"/>
  <c r="AJ10" i="367"/>
  <c r="AS12" i="367"/>
  <c r="AS15" i="367"/>
  <c r="N11" i="367"/>
  <c r="AS18" i="367"/>
  <c r="N10" i="367"/>
  <c r="AS20" i="367"/>
  <c r="AS10" i="367"/>
  <c r="AS16" i="367"/>
  <c r="AS21" i="367"/>
  <c r="AS22" i="367"/>
  <c r="AS21" i="368"/>
  <c r="AJ11" i="368"/>
  <c r="N11" i="368"/>
  <c r="AS14" i="368"/>
  <c r="AS16" i="368"/>
  <c r="AS13" i="368"/>
  <c r="AS10" i="368"/>
  <c r="AS17" i="368"/>
  <c r="N10" i="368"/>
  <c r="AS18" i="368"/>
  <c r="AS12" i="368"/>
  <c r="AS23" i="368"/>
  <c r="AJ10" i="368"/>
  <c r="AS22" i="368"/>
  <c r="AS20" i="368"/>
  <c r="AS15" i="368"/>
  <c r="AS19" i="368"/>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51" i="25"/>
  <c r="AM150" i="25"/>
  <c r="AM149"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61"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3" i="189"/>
  <c r="T13" i="189"/>
  <c r="S13" i="189"/>
  <c r="R13" i="189"/>
  <c r="AJ16" i="190"/>
  <c r="T16" i="190"/>
  <c r="S16" i="190"/>
  <c r="R16" i="190"/>
  <c r="AJ14" i="190"/>
  <c r="T14" i="190"/>
  <c r="S14" i="190"/>
  <c r="R14" i="190"/>
  <c r="AJ13" i="190"/>
  <c r="T13" i="190"/>
  <c r="S13" i="190"/>
  <c r="R13" i="190"/>
  <c r="AJ20" i="191"/>
  <c r="T20" i="191"/>
  <c r="S20" i="191"/>
  <c r="R20" i="191"/>
  <c r="AJ14" i="191"/>
  <c r="T14" i="191"/>
  <c r="S14" i="191"/>
  <c r="R14" i="191"/>
  <c r="AJ13" i="191"/>
  <c r="T13" i="191"/>
  <c r="S13" i="191"/>
  <c r="R13" i="191"/>
  <c r="AJ17" i="191"/>
  <c r="T17" i="191"/>
  <c r="S17" i="191"/>
  <c r="R17" i="191"/>
  <c r="AJ15" i="191"/>
  <c r="T15" i="191"/>
  <c r="S15" i="191"/>
  <c r="R15" i="191"/>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4" i="25"/>
  <c r="AM123" i="25"/>
  <c r="AM137" i="25"/>
  <c r="AM135" i="25"/>
  <c r="AM148" i="25"/>
  <c r="AM121" i="25"/>
  <c r="AM146" i="25"/>
  <c r="AM125" i="25"/>
  <c r="AM132" i="25"/>
  <c r="AM143" i="25"/>
  <c r="AM118" i="25"/>
  <c r="AM128" i="25"/>
  <c r="AM124" i="25"/>
  <c r="AM117" i="25"/>
  <c r="AM139" i="25"/>
  <c r="AM152" i="25"/>
  <c r="AM119" i="25"/>
  <c r="AM130" i="25"/>
  <c r="AM127" i="25"/>
  <c r="AM144" i="25"/>
  <c r="AM122" i="25"/>
  <c r="AM138" i="25"/>
  <c r="AM126" i="25"/>
  <c r="AM113" i="25"/>
  <c r="AM131" i="25"/>
  <c r="AM142" i="25"/>
  <c r="AM136" i="25"/>
  <c r="AM129" i="25"/>
  <c r="AM114" i="25"/>
  <c r="AM147" i="25"/>
  <c r="AM145" i="25"/>
  <c r="AM115" i="25"/>
  <c r="AM116" i="25"/>
  <c r="AM140" i="25"/>
  <c r="AM120" i="25"/>
  <c r="AM133" i="25"/>
  <c r="AM141"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243" i="178" l="1"/>
  <c r="W231" i="178"/>
  <c r="W219" i="178"/>
  <c r="W207" i="178"/>
  <c r="W195" i="178"/>
  <c r="W44" i="177"/>
  <c r="W42" i="177"/>
  <c r="W5" i="177"/>
  <c r="W4" i="177"/>
  <c r="W3" i="177"/>
  <c r="C43" i="177"/>
  <c r="W43" i="177" s="1"/>
  <c r="W168" i="176"/>
  <c r="W167" i="176"/>
  <c r="W166" i="176"/>
  <c r="W38" i="176"/>
  <c r="W37" i="176"/>
  <c r="W36" i="176"/>
  <c r="W26" i="176"/>
  <c r="W25" i="176"/>
  <c r="W24" i="176"/>
  <c r="W1140" i="174"/>
  <c r="W1128" i="174"/>
  <c r="W1116" i="174"/>
  <c r="W1104" i="174"/>
  <c r="W1092" i="174"/>
  <c r="W1080"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59" i="25" l="1"/>
  <c r="A159" i="25"/>
  <c r="A106" i="25"/>
  <c r="B161" i="25"/>
  <c r="B205" i="25"/>
  <c r="A205" i="25"/>
  <c r="B206" i="25"/>
  <c r="B204" i="25"/>
  <c r="O204" i="25" s="1"/>
  <c r="B203" i="25"/>
  <c r="O203" i="25" s="1"/>
  <c r="B179" i="25"/>
  <c r="B167" i="25"/>
  <c r="B160" i="25"/>
  <c r="O160" i="25" s="1"/>
  <c r="B153" i="25"/>
  <c r="O153" i="25" s="1"/>
  <c r="B112" i="25"/>
  <c r="B111" i="25"/>
  <c r="B110" i="25"/>
  <c r="B109" i="25"/>
  <c r="B108" i="25"/>
  <c r="AM106" i="25"/>
  <c r="AM161" i="25"/>
  <c r="AE205" i="25"/>
  <c r="AM205" i="25"/>
  <c r="AM159" i="25"/>
  <c r="O205" i="25" l="1"/>
  <c r="BK205" i="25" s="1"/>
  <c r="O161" i="25"/>
  <c r="BK161" i="25" s="1"/>
  <c r="O159" i="25"/>
  <c r="BK159" i="25" s="1"/>
  <c r="BK106" i="25"/>
  <c r="G14" i="188"/>
  <c r="Q14" i="188" s="1"/>
  <c r="B14" i="188"/>
  <c r="P14" i="188" s="1"/>
  <c r="G16" i="190"/>
  <c r="Q16" i="190" s="1"/>
  <c r="B16" i="190"/>
  <c r="P16"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20" i="191" l="1"/>
  <c r="Q20" i="191" s="1"/>
  <c r="B20" i="191"/>
  <c r="P20" i="191" s="1"/>
  <c r="G14" i="191"/>
  <c r="Q14" i="191" s="1"/>
  <c r="B14" i="191"/>
  <c r="P14" i="191" s="1"/>
  <c r="G13" i="191"/>
  <c r="Q13" i="191" s="1"/>
  <c r="B13" i="191"/>
  <c r="P13" i="191" s="1"/>
  <c r="G17" i="191"/>
  <c r="Q17" i="191" s="1"/>
  <c r="B17" i="191"/>
  <c r="P17" i="191" s="1"/>
  <c r="G15" i="191"/>
  <c r="Q15" i="191" s="1"/>
  <c r="B15" i="191"/>
  <c r="P15" i="191" s="1"/>
  <c r="G14" i="190" l="1"/>
  <c r="Q14" i="190" s="1"/>
  <c r="B14" i="190"/>
  <c r="P14" i="190" s="1"/>
  <c r="G13" i="190"/>
  <c r="Q13" i="190" s="1"/>
  <c r="B13" i="190"/>
  <c r="P13" i="190" s="1"/>
  <c r="G13" i="189"/>
  <c r="Q13" i="189" s="1"/>
  <c r="B13" i="189"/>
  <c r="P13"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6" i="25"/>
  <c r="A204" i="25"/>
  <c r="A203" i="25"/>
  <c r="A179" i="25"/>
  <c r="A167" i="25"/>
  <c r="A160" i="25"/>
  <c r="A153" i="25"/>
  <c r="A112" i="25"/>
  <c r="A111" i="25"/>
  <c r="A110" i="25"/>
  <c r="A109" i="25"/>
  <c r="A108" i="25"/>
  <c r="AE203" i="25"/>
  <c r="AM204" i="25"/>
  <c r="AE206" i="25"/>
  <c r="AM203" i="25"/>
  <c r="AM206" i="25"/>
  <c r="AE204" i="25"/>
  <c r="BK203" i="25" l="1"/>
  <c r="BK204" i="25"/>
  <c r="BK206" i="25"/>
  <c r="G152" i="182" l="1"/>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7" i="25" l="1"/>
  <c r="BK179" i="25"/>
  <c r="BK160"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67" i="25"/>
  <c r="AM107" i="25"/>
  <c r="AM111" i="25"/>
  <c r="AM160" i="25"/>
  <c r="AM179" i="25"/>
  <c r="AM153" i="25"/>
  <c r="AM112" i="25"/>
  <c r="BK111" i="25" l="1"/>
  <c r="BK108" i="25"/>
  <c r="BK112" i="25"/>
  <c r="R247" i="178"/>
  <c r="R235" i="178"/>
  <c r="R223" i="178"/>
  <c r="R211" i="178"/>
  <c r="R199" i="178"/>
  <c r="AM108" i="25"/>
  <c r="AM110" i="25"/>
  <c r="AM109" i="25"/>
  <c r="C233" i="178" l="1"/>
  <c r="W233" i="178" s="1"/>
  <c r="C232" i="178"/>
  <c r="W232" i="178" s="1"/>
  <c r="C197" i="178"/>
  <c r="W197" i="178" s="1"/>
  <c r="C196" i="178"/>
  <c r="W196" i="178" s="1"/>
  <c r="C209" i="178"/>
  <c r="W209" i="178" s="1"/>
  <c r="C208" i="178"/>
  <c r="W208" i="178" s="1"/>
  <c r="C221" i="178"/>
  <c r="W221" i="178" s="1"/>
  <c r="C220" i="178"/>
  <c r="W220" i="178" s="1"/>
  <c r="C245" i="178"/>
  <c r="W245" i="178" s="1"/>
  <c r="C244" i="178"/>
  <c r="W244" i="178" s="1"/>
  <c r="R1144" i="174"/>
  <c r="R1132" i="174"/>
  <c r="C1129" i="174" s="1"/>
  <c r="W1129" i="174" s="1"/>
  <c r="R1120" i="174"/>
  <c r="R1108" i="174"/>
  <c r="R1096" i="174"/>
  <c r="R1084" i="174"/>
  <c r="C1082" i="174" l="1"/>
  <c r="W1082" i="174" s="1"/>
  <c r="C1081" i="174"/>
  <c r="W1081" i="174" s="1"/>
  <c r="C1142" i="174"/>
  <c r="W1142" i="174" s="1"/>
  <c r="C1141" i="174"/>
  <c r="W1141" i="174" s="1"/>
  <c r="C1106" i="174"/>
  <c r="W1106" i="174" s="1"/>
  <c r="C1105" i="174"/>
  <c r="W1105" i="174" s="1"/>
  <c r="C1118" i="174"/>
  <c r="W1118" i="174" s="1"/>
  <c r="C1117" i="174"/>
  <c r="W1117" i="174" s="1"/>
  <c r="C1094" i="174"/>
  <c r="W1094" i="174" s="1"/>
  <c r="C1093" i="174"/>
  <c r="W1093" i="174" s="1"/>
  <c r="C1130" i="174"/>
  <c r="W1130" i="174" s="1"/>
  <c r="S13" i="172" l="1"/>
  <c r="B46" i="172" l="1"/>
  <c r="B23" i="172"/>
  <c r="B22" i="172"/>
  <c r="B21" i="172"/>
  <c r="B20" i="172"/>
  <c r="B19" i="172"/>
  <c r="B18" i="172"/>
  <c r="B17" i="172"/>
  <c r="B16" i="172"/>
  <c r="B15" i="172"/>
  <c r="B14" i="172"/>
  <c r="B13" i="172"/>
  <c r="P13" i="172" s="1"/>
  <c r="BK107" i="25"/>
  <c r="A107" i="25" l="1"/>
  <c r="D6" i="380" l="1"/>
  <c r="D5" i="378"/>
  <c r="D8" i="378" s="1"/>
  <c r="D5" i="380"/>
  <c r="D8" i="380" s="1"/>
  <c r="D4" i="380"/>
  <c r="D6" i="379"/>
  <c r="D6" i="378"/>
  <c r="D4" i="379"/>
  <c r="D5" i="379"/>
  <c r="D8" i="379" s="1"/>
  <c r="D4" i="378"/>
  <c r="D5" i="377"/>
  <c r="D8" i="377" s="1"/>
  <c r="D6" i="377"/>
  <c r="D4" i="377"/>
  <c r="D4" i="376"/>
  <c r="D4" i="372"/>
  <c r="D6" i="372"/>
  <c r="D5" i="375"/>
  <c r="D8" i="375" s="1"/>
  <c r="D4" i="374"/>
  <c r="D6" i="376"/>
  <c r="D5" i="374"/>
  <c r="D8" i="374" s="1"/>
  <c r="D5" i="371"/>
  <c r="D8" i="371" s="1"/>
  <c r="D5" i="373"/>
  <c r="D8" i="373" s="1"/>
  <c r="D6" i="371"/>
  <c r="D5" i="376"/>
  <c r="D8" i="376" s="1"/>
  <c r="D5" i="372"/>
  <c r="D8" i="372" s="1"/>
  <c r="D6" i="373"/>
  <c r="D6" i="375"/>
  <c r="D6" i="374"/>
  <c r="D4" i="373"/>
  <c r="D4" i="375"/>
  <c r="D4" i="371"/>
  <c r="D6" i="364"/>
  <c r="D5" i="361"/>
  <c r="D8" i="361" s="1"/>
  <c r="D4" i="361"/>
  <c r="D6" i="361"/>
  <c r="D4" i="360"/>
  <c r="D5" i="360"/>
  <c r="D8" i="360" s="1"/>
  <c r="D5" i="364"/>
  <c r="D8" i="364" s="1"/>
  <c r="D5" i="362"/>
  <c r="D8" i="362" s="1"/>
  <c r="D4" i="362"/>
  <c r="D6" i="362"/>
  <c r="D4" i="364"/>
  <c r="D6" i="360"/>
  <c r="D4" i="363"/>
  <c r="D6" i="363"/>
  <c r="D5" i="363"/>
  <c r="D8" i="363" s="1"/>
  <c r="AS14" i="363" s="1"/>
  <c r="D6" i="358"/>
  <c r="D5" i="358"/>
  <c r="D8" i="358" s="1"/>
  <c r="D4" i="358"/>
  <c r="D4" i="345"/>
  <c r="D5" i="195"/>
  <c r="D8" i="195" s="1"/>
  <c r="D5" i="342"/>
  <c r="D8" i="342" s="1"/>
  <c r="D4" i="336"/>
  <c r="D6" i="346"/>
  <c r="D4" i="342"/>
  <c r="D6" i="343"/>
  <c r="D6" i="340"/>
  <c r="D6" i="345"/>
  <c r="D4" i="334"/>
  <c r="D4" i="346"/>
  <c r="D5" i="196"/>
  <c r="D8" i="196" s="1"/>
  <c r="D4" i="193"/>
  <c r="D4" i="192"/>
  <c r="D5" i="346"/>
  <c r="D8" i="346" s="1"/>
  <c r="D5" i="340"/>
  <c r="D8" i="340" s="1"/>
  <c r="D4" i="337"/>
  <c r="D6" i="192"/>
  <c r="D6" i="344"/>
  <c r="D6" i="337"/>
  <c r="D4" i="335"/>
  <c r="D6" i="334"/>
  <c r="D6" i="335"/>
  <c r="D5" i="343"/>
  <c r="D8" i="343" s="1"/>
  <c r="D4" i="344"/>
  <c r="D6" i="336"/>
  <c r="D5" i="193"/>
  <c r="D8" i="193" s="1"/>
  <c r="D5" i="347"/>
  <c r="D8" i="347" s="1"/>
  <c r="D5" i="338"/>
  <c r="D8" i="338" s="1"/>
  <c r="D5" i="192"/>
  <c r="D8" i="192" s="1"/>
  <c r="D5" i="339"/>
  <c r="D8" i="339" s="1"/>
  <c r="D4" i="338"/>
  <c r="D6" i="193"/>
  <c r="D6" i="342"/>
  <c r="D5" i="335"/>
  <c r="D8" i="335" s="1"/>
  <c r="D5" i="334"/>
  <c r="D8" i="334" s="1"/>
  <c r="D4" i="341"/>
  <c r="D4" i="339"/>
  <c r="D6" i="194"/>
  <c r="D4" i="195"/>
  <c r="D5" i="344"/>
  <c r="D8" i="344" s="1"/>
  <c r="D6" i="338"/>
  <c r="D5" i="341"/>
  <c r="D8" i="341" s="1"/>
  <c r="D4" i="196"/>
  <c r="D6" i="347"/>
  <c r="D6" i="196"/>
  <c r="D4" i="347"/>
  <c r="D5" i="337"/>
  <c r="D8" i="337" s="1"/>
  <c r="D4" i="340"/>
  <c r="D6" i="333"/>
  <c r="D4" i="343"/>
  <c r="D4" i="333"/>
  <c r="D4" i="194"/>
  <c r="D6" i="341"/>
  <c r="D5" i="336"/>
  <c r="D8" i="336" s="1"/>
  <c r="D6" i="339"/>
  <c r="D6" i="195"/>
  <c r="D5" i="345"/>
  <c r="D8" i="345" s="1"/>
  <c r="D5" i="333"/>
  <c r="D8" i="333" s="1"/>
  <c r="D5" i="194"/>
  <c r="D8" i="194"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5"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AS16"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5" i="264"/>
  <c r="D8" i="264" s="1"/>
  <c r="D6" i="254"/>
  <c r="AE166" i="25"/>
  <c r="AE164" i="25"/>
  <c r="AE165" i="25"/>
  <c r="AE151" i="25"/>
  <c r="AE200" i="25"/>
  <c r="AE77" i="25"/>
  <c r="AE97" i="25"/>
  <c r="AE195" i="25"/>
  <c r="AE18" i="25"/>
  <c r="AE31" i="25"/>
  <c r="AE194" i="25"/>
  <c r="AE137" i="25"/>
  <c r="AE65" i="25"/>
  <c r="AE19" i="25"/>
  <c r="AE54" i="25"/>
  <c r="AE103" i="25"/>
  <c r="AE78" i="25"/>
  <c r="AE37" i="25"/>
  <c r="AE93" i="25"/>
  <c r="AE129" i="25"/>
  <c r="AE11" i="25"/>
  <c r="AE44" i="25"/>
  <c r="AE136" i="25"/>
  <c r="AE132" i="25"/>
  <c r="AE191" i="25"/>
  <c r="AE42" i="25"/>
  <c r="AE87" i="25"/>
  <c r="AE180" i="25"/>
  <c r="AE16" i="25"/>
  <c r="AE104" i="25"/>
  <c r="AE13" i="25"/>
  <c r="AE173" i="25"/>
  <c r="AE150" i="25"/>
  <c r="AE185" i="25"/>
  <c r="AE124" i="25"/>
  <c r="AE40" i="25"/>
  <c r="AE96" i="25"/>
  <c r="AE182" i="25"/>
  <c r="AE119" i="25"/>
  <c r="AE85" i="25"/>
  <c r="AE35" i="25"/>
  <c r="AE45" i="25"/>
  <c r="AE163" i="25"/>
  <c r="AE143" i="25"/>
  <c r="AE24" i="25"/>
  <c r="AE131" i="25"/>
  <c r="AE126" i="25"/>
  <c r="AE184" i="25"/>
  <c r="AE153" i="25"/>
  <c r="AE196" i="25"/>
  <c r="AE48" i="25"/>
  <c r="AE69" i="25"/>
  <c r="AE130" i="25"/>
  <c r="AE79" i="25"/>
  <c r="AE127" i="25"/>
  <c r="AE84" i="25"/>
  <c r="AE101" i="25"/>
  <c r="AE33" i="25"/>
  <c r="AE201" i="25"/>
  <c r="AE198" i="25"/>
  <c r="AE32" i="25"/>
  <c r="AE41" i="25"/>
  <c r="AE91" i="25"/>
  <c r="AE146" i="25"/>
  <c r="AE155" i="25"/>
  <c r="AE188" i="25"/>
  <c r="AE46" i="25"/>
  <c r="AE64" i="25"/>
  <c r="AE138" i="25"/>
  <c r="AE202" i="25"/>
  <c r="AE95" i="25"/>
  <c r="AE50" i="25"/>
  <c r="AE118" i="25"/>
  <c r="AE142" i="25"/>
  <c r="AE192" i="25"/>
  <c r="AE25" i="25"/>
  <c r="AE167" i="25"/>
  <c r="AE49" i="25"/>
  <c r="AE60" i="25"/>
  <c r="AE74" i="25"/>
  <c r="AE82" i="25"/>
  <c r="AE100" i="25"/>
  <c r="AE58" i="25"/>
  <c r="AE34" i="25"/>
  <c r="AE186" i="25"/>
  <c r="AE88" i="25"/>
  <c r="AE134" i="25"/>
  <c r="AE23" i="25"/>
  <c r="AE73" i="25"/>
  <c r="AE36" i="25"/>
  <c r="AE171" i="25"/>
  <c r="AE14" i="25"/>
  <c r="AE102" i="25"/>
  <c r="AE6" i="25"/>
  <c r="AE26" i="25"/>
  <c r="AE51" i="25"/>
  <c r="AE10" i="25"/>
  <c r="AE90" i="25"/>
  <c r="AE63" i="25"/>
  <c r="AE183" i="25"/>
  <c r="AE68" i="25"/>
  <c r="AE169" i="25"/>
  <c r="AE20" i="25"/>
  <c r="AE106" i="25"/>
  <c r="AE179" i="25"/>
  <c r="AE52" i="25"/>
  <c r="AE152" i="25"/>
  <c r="AE148" i="25"/>
  <c r="AE128" i="25"/>
  <c r="AE177" i="25"/>
  <c r="AE117" i="25"/>
  <c r="AE149" i="25"/>
  <c r="AE59" i="25"/>
  <c r="AE72" i="25"/>
  <c r="AE75" i="25"/>
  <c r="AE133" i="25"/>
  <c r="AE86" i="25"/>
  <c r="AE7" i="25"/>
  <c r="AE57" i="25"/>
  <c r="AE112" i="25"/>
  <c r="AE62" i="25"/>
  <c r="AE53" i="25"/>
  <c r="AE83" i="25"/>
  <c r="AE47" i="25"/>
  <c r="AE15" i="25"/>
  <c r="AE81" i="25"/>
  <c r="AE181" i="25"/>
  <c r="AE159" i="25"/>
  <c r="AE122" i="25"/>
  <c r="AE162" i="25"/>
  <c r="AE120" i="25"/>
  <c r="AE61" i="25"/>
  <c r="AE115" i="25"/>
  <c r="AE190" i="25"/>
  <c r="AE39" i="25"/>
  <c r="AE141" i="25"/>
  <c r="AE67" i="25"/>
  <c r="AE28" i="25"/>
  <c r="AE161" i="25"/>
  <c r="AE92" i="25"/>
  <c r="AE107" i="25"/>
  <c r="AE89" i="25"/>
  <c r="AE135" i="25"/>
  <c r="AE114" i="25"/>
  <c r="AE168" i="25"/>
  <c r="AE197" i="25"/>
  <c r="AE27" i="25"/>
  <c r="AE21" i="25"/>
  <c r="AE144" i="25"/>
  <c r="AE123" i="25"/>
  <c r="AE94" i="25"/>
  <c r="AE178" i="25"/>
  <c r="AE29" i="25"/>
  <c r="AE38" i="25"/>
  <c r="AE139" i="25"/>
  <c r="AE147" i="25"/>
  <c r="AE76" i="25"/>
  <c r="AE113" i="25"/>
  <c r="AE187" i="25"/>
  <c r="AE43" i="25"/>
  <c r="AE116" i="25"/>
  <c r="AE99" i="25"/>
  <c r="AE121" i="25"/>
  <c r="AE71" i="25"/>
  <c r="AE189" i="25"/>
  <c r="AE80" i="25"/>
  <c r="AE160" i="25"/>
  <c r="AE8" i="25"/>
  <c r="AE174" i="25"/>
  <c r="AE66" i="25"/>
  <c r="AE98" i="25"/>
  <c r="AE12" i="25"/>
  <c r="AE22" i="25"/>
  <c r="AE176" i="25"/>
  <c r="AE55" i="25"/>
  <c r="AE172" i="25"/>
  <c r="AE175" i="25"/>
  <c r="AE145" i="25"/>
  <c r="AE70" i="25"/>
  <c r="AE170" i="25"/>
  <c r="AE111" i="25"/>
  <c r="AE125" i="25"/>
  <c r="AE17" i="25"/>
  <c r="AE140" i="25"/>
  <c r="AE9" i="25"/>
  <c r="AE157" i="25"/>
  <c r="AE56" i="25"/>
  <c r="AE199" i="25"/>
  <c r="AE193" i="25"/>
  <c r="AE158" i="25"/>
  <c r="AS21" i="379" l="1"/>
  <c r="AS15" i="379"/>
  <c r="AS17" i="379"/>
  <c r="N10" i="379"/>
  <c r="AS20" i="379"/>
  <c r="AS10" i="379"/>
  <c r="AS16" i="379"/>
  <c r="AS12" i="379"/>
  <c r="AS13" i="379"/>
  <c r="AS14" i="379"/>
  <c r="AS19" i="379"/>
  <c r="N11" i="379"/>
  <c r="AJ10" i="379"/>
  <c r="AS18" i="379"/>
  <c r="AJ11" i="379"/>
  <c r="AS15" i="380"/>
  <c r="N11" i="380"/>
  <c r="AS10" i="380"/>
  <c r="AS16" i="380"/>
  <c r="N10" i="380"/>
  <c r="AJ10" i="380"/>
  <c r="AJ11" i="380"/>
  <c r="AS17" i="380"/>
  <c r="AS20" i="380"/>
  <c r="AS18" i="380"/>
  <c r="AS13" i="380"/>
  <c r="AS12" i="380"/>
  <c r="AS21" i="380"/>
  <c r="AS19" i="380"/>
  <c r="AS14" i="380"/>
  <c r="AS12" i="378"/>
  <c r="AS16" i="378"/>
  <c r="AS10" i="378"/>
  <c r="AS14" i="378"/>
  <c r="AJ11" i="378"/>
  <c r="N11" i="378"/>
  <c r="AJ10" i="378"/>
  <c r="AS13" i="378"/>
  <c r="AS17" i="378"/>
  <c r="N10" i="378"/>
  <c r="AS15" i="378"/>
  <c r="AS19" i="191"/>
  <c r="AS18" i="191"/>
  <c r="AS20" i="377"/>
  <c r="N11" i="377"/>
  <c r="AS10" i="377"/>
  <c r="AJ11" i="377"/>
  <c r="AS12" i="377"/>
  <c r="AJ10" i="377"/>
  <c r="AS21" i="377"/>
  <c r="AS13" i="377"/>
  <c r="AS17" i="377"/>
  <c r="AS18" i="377"/>
  <c r="AS19" i="377"/>
  <c r="N10" i="377"/>
  <c r="AS16" i="377"/>
  <c r="AS15" i="377"/>
  <c r="AS14" i="377"/>
  <c r="AS17" i="360"/>
  <c r="AS19" i="358"/>
  <c r="AS18" i="358"/>
  <c r="AS30" i="371"/>
  <c r="AS39" i="371"/>
  <c r="AS43" i="371"/>
  <c r="AS26" i="371"/>
  <c r="AS10" i="371"/>
  <c r="AS31" i="371"/>
  <c r="AS35" i="371"/>
  <c r="AS18" i="371"/>
  <c r="AS40" i="371"/>
  <c r="AS14" i="371"/>
  <c r="AS27" i="371"/>
  <c r="AS32" i="371"/>
  <c r="AS44" i="371"/>
  <c r="AS24" i="371"/>
  <c r="AS23" i="371"/>
  <c r="AS20" i="371"/>
  <c r="AS38" i="371"/>
  <c r="AS22" i="371"/>
  <c r="AS15" i="371"/>
  <c r="N11" i="371"/>
  <c r="AS45" i="371"/>
  <c r="N10" i="371"/>
  <c r="AS36" i="371"/>
  <c r="AS41" i="371"/>
  <c r="AS28" i="371"/>
  <c r="AJ10" i="371"/>
  <c r="AS42" i="371"/>
  <c r="AS12" i="371"/>
  <c r="AS33" i="371"/>
  <c r="AS21" i="371"/>
  <c r="AS25" i="371"/>
  <c r="AS34" i="371"/>
  <c r="AS19" i="371"/>
  <c r="AS37" i="371"/>
  <c r="AJ11" i="371"/>
  <c r="AS16" i="371"/>
  <c r="AS29" i="371"/>
  <c r="AS46" i="371"/>
  <c r="AS13" i="371"/>
  <c r="AS17" i="371"/>
  <c r="AS16" i="374"/>
  <c r="AS20" i="374"/>
  <c r="AS22" i="374"/>
  <c r="AS12" i="374"/>
  <c r="AS14" i="374"/>
  <c r="AS23" i="374"/>
  <c r="AS18" i="374"/>
  <c r="AS17" i="374"/>
  <c r="AS19" i="374"/>
  <c r="AJ11" i="374"/>
  <c r="AS21" i="374"/>
  <c r="AS15" i="374"/>
  <c r="N10" i="374"/>
  <c r="AS10" i="374"/>
  <c r="AJ10" i="374"/>
  <c r="AS13" i="374"/>
  <c r="N11" i="374"/>
  <c r="AS21" i="372"/>
  <c r="N10" i="372"/>
  <c r="AS13" i="372"/>
  <c r="AS18" i="372"/>
  <c r="AS16" i="372"/>
  <c r="N11" i="372"/>
  <c r="AS17" i="372"/>
  <c r="AS10" i="372"/>
  <c r="AS12" i="372"/>
  <c r="AS15" i="372"/>
  <c r="AJ11" i="372"/>
  <c r="AS22" i="372"/>
  <c r="AS14" i="372"/>
  <c r="AS20" i="372"/>
  <c r="AS19" i="372"/>
  <c r="AJ10" i="372"/>
  <c r="AS34" i="375"/>
  <c r="AS31" i="375"/>
  <c r="AS37" i="375"/>
  <c r="AS35" i="375"/>
  <c r="N11" i="375"/>
  <c r="AS23" i="375"/>
  <c r="AS29" i="375"/>
  <c r="AS27" i="375"/>
  <c r="AS41" i="375"/>
  <c r="AS40" i="375"/>
  <c r="AS19" i="375"/>
  <c r="N10" i="375"/>
  <c r="AJ11" i="375"/>
  <c r="AS25" i="375"/>
  <c r="AS38" i="375"/>
  <c r="AS18" i="375"/>
  <c r="AS17" i="375"/>
  <c r="AS30" i="375"/>
  <c r="AS20" i="375"/>
  <c r="AS39" i="375"/>
  <c r="AS15" i="375"/>
  <c r="AS33" i="375"/>
  <c r="AS32" i="375"/>
  <c r="AS13" i="375"/>
  <c r="AS16" i="375"/>
  <c r="AS36" i="375"/>
  <c r="AS28" i="375"/>
  <c r="AS26" i="375"/>
  <c r="AS21" i="375"/>
  <c r="AS22" i="375"/>
  <c r="AS12" i="375"/>
  <c r="AJ10" i="375"/>
  <c r="AS10" i="375"/>
  <c r="AS24" i="375"/>
  <c r="AS14" i="375"/>
  <c r="AS24" i="376"/>
  <c r="AS22" i="376"/>
  <c r="AS18" i="376"/>
  <c r="AS16" i="376"/>
  <c r="AS10" i="376"/>
  <c r="AJ10" i="376"/>
  <c r="AS21" i="376"/>
  <c r="AS13" i="376"/>
  <c r="AS20" i="376"/>
  <c r="AS19" i="376"/>
  <c r="AS14" i="376"/>
  <c r="AS15" i="376"/>
  <c r="AS12" i="376"/>
  <c r="AJ11" i="376"/>
  <c r="N10" i="376"/>
  <c r="AS23" i="376"/>
  <c r="N11" i="376"/>
  <c r="AS17" i="376"/>
  <c r="AS19" i="373"/>
  <c r="AS10" i="373"/>
  <c r="AJ11" i="373"/>
  <c r="AS16" i="373"/>
  <c r="AS20" i="373"/>
  <c r="AJ10" i="373"/>
  <c r="AS12" i="373"/>
  <c r="AS14" i="373"/>
  <c r="AS21" i="373"/>
  <c r="AS17" i="373"/>
  <c r="AS15" i="373"/>
  <c r="N10" i="373"/>
  <c r="AS22" i="373"/>
  <c r="AS18" i="373"/>
  <c r="N11" i="373"/>
  <c r="AS13" i="373"/>
  <c r="AS10" i="363"/>
  <c r="AJ11" i="363"/>
  <c r="AS15" i="363"/>
  <c r="AS19" i="363"/>
  <c r="AS21" i="363"/>
  <c r="AS13" i="363"/>
  <c r="AS17" i="363"/>
  <c r="AS12" i="363"/>
  <c r="AS20" i="363"/>
  <c r="AS16" i="363"/>
  <c r="N10" i="363"/>
  <c r="AJ10" i="363"/>
  <c r="N11" i="363"/>
  <c r="AS18" i="363"/>
  <c r="AS17" i="364"/>
  <c r="AS14" i="364"/>
  <c r="N11" i="364"/>
  <c r="AS13" i="364"/>
  <c r="AJ11" i="364"/>
  <c r="AS16" i="364"/>
  <c r="AS12" i="364"/>
  <c r="N10" i="364"/>
  <c r="AS10" i="364"/>
  <c r="AS15" i="364"/>
  <c r="AJ10" i="364"/>
  <c r="AS20" i="360"/>
  <c r="AS21" i="360"/>
  <c r="AJ10" i="360"/>
  <c r="AS10" i="360"/>
  <c r="AS18" i="360"/>
  <c r="N10" i="360"/>
  <c r="AS16" i="360"/>
  <c r="AS12" i="360"/>
  <c r="AS19" i="360"/>
  <c r="AS15" i="360"/>
  <c r="AS14" i="360"/>
  <c r="AS13" i="360"/>
  <c r="AJ11" i="360"/>
  <c r="N11" i="360"/>
  <c r="AS15" i="361"/>
  <c r="N10" i="361"/>
  <c r="AS14" i="361"/>
  <c r="AS13" i="361"/>
  <c r="AS12" i="361"/>
  <c r="AJ11" i="361"/>
  <c r="AS16" i="361"/>
  <c r="N11" i="361"/>
  <c r="AJ10" i="361"/>
  <c r="AS10" i="361"/>
  <c r="D8" i="189"/>
  <c r="AS14" i="189" s="1"/>
  <c r="AS16" i="358"/>
  <c r="AS15" i="358"/>
  <c r="AS14" i="358"/>
  <c r="AS17" i="358"/>
  <c r="AS13" i="358"/>
  <c r="AS20" i="358"/>
  <c r="N10" i="358"/>
  <c r="AJ11" i="358"/>
  <c r="AS12" i="358"/>
  <c r="N11" i="358"/>
  <c r="AS10" i="358"/>
  <c r="AJ10" i="35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16" i="332"/>
  <c r="AS10" i="332"/>
  <c r="AS12" i="332"/>
  <c r="N11" i="332"/>
  <c r="AJ10" i="332"/>
  <c r="N10" i="332"/>
  <c r="AS13" i="332"/>
  <c r="AS15" i="332"/>
  <c r="AJ11" i="332"/>
  <c r="AS14"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3" i="190"/>
  <c r="AS10" i="190"/>
  <c r="AS16" i="190"/>
  <c r="AJ10" i="190"/>
  <c r="N10" i="190"/>
  <c r="AJ11" i="190"/>
  <c r="AS14" i="190"/>
  <c r="AS12" i="190"/>
  <c r="N11" i="190"/>
  <c r="AS13" i="191"/>
  <c r="AJ11" i="191"/>
  <c r="AS12" i="191"/>
  <c r="N11" i="191"/>
  <c r="AS15" i="191"/>
  <c r="AS10" i="191"/>
  <c r="AS20" i="191"/>
  <c r="AS14" i="191"/>
  <c r="AJ10" i="191"/>
  <c r="N10" i="191"/>
  <c r="AS17"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AE156" i="25"/>
  <c r="AE154" i="25"/>
  <c r="AS13" i="362" l="1"/>
  <c r="AS21" i="362"/>
  <c r="AS19" i="362"/>
  <c r="AS18" i="362"/>
  <c r="AS17" i="362"/>
  <c r="AS16" i="362"/>
  <c r="AS15" i="362"/>
  <c r="AS14" i="362"/>
  <c r="AS20" i="362"/>
  <c r="AS12" i="362"/>
  <c r="AJ11" i="362"/>
  <c r="N11" i="362"/>
  <c r="AS10" i="362"/>
  <c r="AJ10" i="362"/>
  <c r="N10" i="362"/>
  <c r="AS16" i="189"/>
  <c r="AS15" i="189"/>
  <c r="T46" i="172"/>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9" i="25"/>
  <c r="AE110" i="25"/>
  <c r="AE108"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<sst xmlns="http://schemas.openxmlformats.org/spreadsheetml/2006/main" count="22324" uniqueCount="4105">
  <si>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</si>
  <si>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</si>
  <si>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</si>
  <si>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</si>
  <si>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</si>
  <si>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</si>
  <si>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</si>
  <si>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</si>
  <si>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</si>
  <si>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</si>
  <si>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</si>
  <si>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</si>
  <si>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</si>
  <si>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</si>
  <si>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</si>
  <si>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</si>
  <si>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</si>
  <si>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</si>
  <si>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</si>
  <si>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</si>
  <si>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</si>
  <si>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</si>
  <si>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</si>
  <si>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</si>
  <si>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</si>
  <si>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</si>
  <si>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</si>
  <si>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</si>
  <si>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</si>
  <si>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</si>
  <si>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</si>
  <si>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</si>
  <si>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</si>
  <si>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</si>
  <si>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</si>
  <si>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</si>
  <si>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</si>
  <si>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</si>
  <si>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</si>
  <si>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</si>
  <si>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</si>
  <si>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</si>
  <si>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</si>
  <si>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</si>
  <si>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</si>
  <si>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</si>
  <si>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</si>
  <si>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</si>
  <si>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</si>
  <si>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</si>
  <si>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</si>
  <si>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</si>
  <si>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</si>
  <si>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</si>
  <si>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</si>
  <si>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</si>
  <si>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</si>
  <si>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</si>
  <si>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</si>
  <si>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</si>
  <si>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</si>
  <si>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</si>
  <si>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</si>
  <si>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</si>
  <si>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</si>
  <si>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</si>
  <si>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</si>
  <si>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</si>
  <si>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</si>
  <si>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</si>
  <si>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</si>
  <si>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</si>
  <si>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</si>
  <si>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</si>
  <si>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</si>
  <si>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</si>
  <si>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</si>
  <si>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</si>
  <si>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</si>
  <si>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</si>
  <si>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</si>
  <si>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</si>
  <si>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</si>
  <si>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</si>
  <si>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</si>
  <si>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</si>
  <si>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</si>
  <si>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</si>
  <si>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</si>
  <si>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</si>
  <si>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</si>
  <si>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</si>
  <si>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</si>
  <si>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</si>
  <si>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</si>
  <si>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</si>
  <si>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</si>
  <si>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</si>
  <si>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</si>
  <si>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</si>
  <si>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</si>
  <si>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</si>
  <si>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</si>
  <si>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</si>
  <si>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</si>
  <si>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</si>
  <si>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</si>
  <si>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</si>
  <si>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</si>
  <si>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</si>
  <si>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</si>
  <si>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</si>
  <si>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</si>
  <si>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</si>
  <si>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</si>
  <si>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</si>
  <si>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</si>
  <si>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</si>
  <si>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</si>
  <si>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</si>
  <si>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</si>
  <si>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</si>
  <si>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</si>
  <si>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</si>
  <si>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</si>
  <si>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</si>
  <si>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</si>
  <si>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</si>
  <si>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</si>
  <si>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</si>
  <si>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</si>
  <si>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</si>
  <si>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</si>
  <si>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</si>
  <si>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</si>
  <si>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</si>
  <si>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</si>
  <si>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</si>
  <si>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</si>
  <si>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</si>
  <si>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</si>
  <si>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</si>
  <si>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</si>
  <si>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</si>
  <si>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</si>
  <si>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</si>
  <si>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</si>
  <si>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</si>
  <si>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</si>
  <si>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</si>
  <si>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</si>
  <si>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</si>
  <si>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</si>
  <si>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</si>
  <si>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</si>
  <si>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</si>
  <si>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</si>
  <si>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</si>
  <si>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</si>
  <si>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</si>
  <si>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</si>
  <si>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</si>
  <si>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</si>
  <si>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</si>
  <si>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</si>
  <si>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</si>
  <si>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</si>
  <si>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</si>
  <si>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</si>
  <si>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</si>
  <si>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</si>
  <si>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</si>
  <si>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</si>
  <si>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</si>
  <si>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</si>
  <si>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</si>
  <si>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</si>
  <si>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</si>
  <si>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</si>
  <si>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</si>
  <si>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</si>
  <si>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</si>
  <si>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</si>
  <si>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</si>
  <si>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</si>
  <si>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</si>
  <si>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</si>
  <si>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</si>
  <si>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</si>
  <si>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</si>
  <si>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</si>
  <si>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</si>
  <si>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</si>
  <si>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</si>
  <si>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</si>
  <si>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</si>
  <si>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</si>
  <si>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</si>
  <si>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</si>
  <si>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</si>
  <si>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</si>
  <si>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</si>
  <si>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</si>
  <si>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</si>
  <si>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</si>
  <si>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</si>
  <si>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</si>
  <si>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</si>
  <si>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</si>
  <si>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</si>
  <si>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</si>
  <si>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</si>
  <si>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</si>
  <si>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</si>
  <si>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</si>
  <si>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</si>
  <si>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</si>
  <si>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</si>
  <si>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</si>
  <si>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</si>
  <si>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</si>
  <si>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</si>
  <si>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</si>
  <si>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</si>
  <si>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</si>
  <si>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</si>
  <si>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</si>
  <si>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</si>
  <si>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</si>
  <si>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</si>
  <si>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</si>
  <si>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</si>
  <si>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</si>
  <si>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</si>
  <si>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</si>
  <si>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</si>
  <si>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</si>
  <si>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</si>
  <si>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</si>
  <si>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</si>
  <si>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</si>
  <si>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</si>
  <si>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</si>
  <si>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</si>
  <si>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</si>
  <si>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</si>
  <si>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</si>
  <si>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</si>
  <si>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</si>
  <si>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</si>
  <si>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</si>
  <si>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</si>
  <si>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</si>
  <si>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</si>
  <si>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</si>
  <si>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</si>
  <si>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</si>
  <si>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</si>
  <si>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</si>
  <si>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</si>
  <si>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</si>
  <si>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</si>
  <si>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</si>
  <si>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</si>
  <si>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</si>
  <si>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</si>
  <si>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</si>
  <si>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</si>
  <si>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</si>
  <si>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</si>
  <si>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</si>
  <si>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</si>
  <si>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</si>
  <si>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</si>
  <si>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</si>
  <si>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</si>
  <si>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</si>
  <si>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</si>
  <si>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</si>
  <si>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</si>
  <si>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</si>
  <si>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</si>
  <si>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</si>
  <si>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</si>
  <si>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</si>
  <si>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</si>
  <si>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</si>
  <si>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</si>
  <si>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</si>
  <si>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</si>
  <si>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</si>
  <si>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</si>
  <si>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</si>
  <si>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</si>
  <si>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</si>
  <si>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</si>
  <si>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</si>
  <si>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</si>
  <si>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</si>
  <si>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</si>
  <si>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</si>
  <si>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</si>
  <si>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</si>
  <si>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</si>
  <si>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</si>
  <si>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</si>
  <si>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</si>
  <si>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</si>
  <si>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</si>
  <si>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</si>
  <si>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</si>
  <si>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</si>
  <si>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</si>
  <si>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</si>
  <si>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</si>
  <si>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</si>
  <si>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</si>
  <si>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</si>
  <si>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</si>
  <si>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</si>
  <si>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</si>
  <si>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</si>
  <si>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</si>
  <si>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</si>
  <si>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</si>
  <si>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</si>
  <si>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</si>
  <si>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</si>
  <si>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</si>
  <si>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</si>
  <si>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</si>
  <si>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</si>
  <si>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</si>
  <si>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</si>
  <si>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</si>
  <si>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</si>
  <si>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</si>
  <si>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</si>
  <si>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</si>
  <si>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</si>
  <si>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</si>
  <si>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</si>
  <si>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</si>
  <si>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</si>
  <si>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</si>
  <si>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</si>
  <si>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</si>
  <si>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</si>
  <si>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</si>
  <si>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</si>
  <si>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</si>
  <si>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</si>
  <si>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</si>
  <si>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</si>
  <si>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</si>
  <si>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</si>
  <si>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</si>
  <si>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</si>
  <si>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</si>
  <si>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</si>
  <si>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</si>
  <si>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</si>
  <si>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</si>
  <si>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</si>
  <si>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</si>
  <si>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</si>
  <si>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</si>
  <si>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</si>
  <si>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</si>
  <si>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</si>
  <si>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</si>
  <si>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</si>
  <si>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</si>
  <si>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</si>
  <si>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</si>
  <si>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</si>
  <si>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</si>
  <si>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</si>
  <si>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</si>
  <si>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</si>
  <si>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</si>
  <si>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</si>
  <si>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</si>
  <si>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</si>
  <si>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</si>
  <si>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</si>
  <si>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</si>
  <si>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</si>
  <si>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</si>
  <si>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</si>
  <si>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</si>
  <si>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</si>
  <si>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</si>
  <si>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</si>
  <si>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</si>
  <si>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</si>
  <si>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</si>
  <si>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</si>
  <si>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</si>
  <si>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</si>
  <si>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</si>
  <si>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</si>
  <si>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</si>
  <si>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</si>
  <si>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</si>
  <si>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</si>
  <si>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</si>
  <si>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</si>
  <si>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</si>
  <si>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</si>
  <si>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</si>
  <si>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</si>
  <si>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</si>
  <si>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</si>
  <si>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</si>
  <si>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</si>
  <si>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</si>
  <si>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</si>
  <si>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</si>
  <si>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</si>
  <si>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</si>
  <si>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</si>
  <si>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</si>
  <si>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</si>
  <si>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</si>
  <si>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</si>
  <si>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</si>
  <si>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</si>
  <si>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</si>
  <si>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</si>
  <si>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</si>
  <si>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</si>
  <si>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</si>
  <si>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</si>
  <si>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</si>
  <si>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</si>
  <si>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</si>
  <si>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</si>
  <si>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</si>
  <si>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</si>
  <si>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</si>
  <si>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</si>
  <si>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</si>
  <si>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</si>
  <si>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</si>
  <si>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</si>
  <si>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</si>
  <si>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</si>
  <si>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</si>
  <si>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</si>
  <si>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</si>
  <si>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</si>
  <si>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</si>
  <si>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</si>
  <si>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</si>
  <si>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</si>
  <si>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</si>
  <si>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</si>
  <si>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</si>
  <si>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</si>
  <si>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</si>
  <si>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</si>
  <si>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</si>
  <si>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</si>
  <si>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</si>
  <si>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</si>
  <si>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</si>
  <si>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</si>
  <si>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</si>
  <si>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</si>
  <si>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</si>
  <si>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</si>
  <si>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</si>
  <si>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</si>
  <si>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</si>
  <si>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</si>
  <si>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</si>
  <si>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</si>
  <si>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</si>
  <si>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</si>
  <si>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</si>
  <si>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</si>
  <si>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</si>
  <si>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</si>
  <si>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</si>
  <si>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</si>
  <si>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</si>
  <si>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</si>
  <si>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</si>
  <si>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</si>
  <si>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</si>
  <si>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</si>
  <si>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</si>
  <si>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</si>
  <si>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</si>
  <si>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</si>
  <si>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</si>
  <si>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</si>
  <si>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</si>
  <si>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</si>
  <si>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</si>
  <si>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</si>
  <si>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</si>
  <si>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</si>
  <si>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</si>
  <si>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</si>
  <si>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</si>
  <si>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</si>
  <si>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</si>
  <si>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</si>
  <si>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</si>
  <si>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</si>
  <si>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</si>
  <si>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</si>
  <si>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</si>
  <si>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</si>
  <si>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</si>
  <si>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</si>
  <si>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</si>
  <si>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</si>
  <si>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</si>
  <si>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</si>
  <si>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</si>
  <si>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</si>
  <si>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</si>
  <si>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</si>
  <si>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</si>
  <si>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</si>
  <si>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</si>
  <si>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</si>
  <si>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</si>
  <si>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</si>
  <si>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</si>
  <si>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</si>
  <si>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</si>
  <si>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</si>
  <si>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</si>
  <si>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</si>
  <si>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</si>
  <si>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</si>
  <si>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</si>
  <si>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</si>
  <si>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</si>
  <si>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</si>
  <si>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</si>
  <si>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</si>
  <si>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</si>
  <si>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</si>
  <si>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</si>
  <si>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</si>
  <si>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</si>
  <si>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</si>
  <si>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</si>
  <si>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</si>
  <si>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</si>
  <si>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</si>
  <si>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</si>
  <si>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</si>
  <si>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</si>
  <si>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</si>
  <si>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</si>
  <si>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</si>
  <si>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</si>
  <si>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</si>
  <si>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</si>
  <si>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</si>
  <si>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</si>
  <si>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</si>
  <si>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</si>
  <si>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</si>
  <si>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</si>
  <si>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</si>
  <si>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</si>
  <si>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</si>
  <si>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</si>
  <si>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</si>
  <si>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</si>
  <si>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</si>
  <si>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</si>
  <si>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</si>
  <si>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</si>
  <si>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</si>
  <si>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</si>
  <si>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</si>
  <si>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</si>
  <si>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</si>
  <si>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</si>
  <si>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</si>
  <si>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</si>
  <si>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</si>
  <si>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</si>
  <si>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</si>
  <si>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</si>
  <si>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</si>
  <si>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</si>
  <si>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</si>
  <si>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</si>
  <si>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</si>
  <si>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</si>
  <si>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</si>
  <si>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</si>
  <si>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</si>
  <si>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</si>
  <si>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</si>
  <si>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</si>
  <si>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</si>
  <si>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</si>
  <si>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</si>
  <si>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</si>
  <si>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</si>
  <si>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</si>
  <si>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</si>
  <si>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</si>
  <si>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</si>
  <si>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</si>
  <si>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</si>
  <si>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</si>
  <si>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</si>
  <si>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</si>
  <si>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</si>
  <si>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</si>
  <si>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</si>
  <si>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</si>
  <si>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</si>
  <si>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</si>
  <si>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</si>
  <si>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</si>
  <si>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</si>
  <si>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</si>
  <si>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</si>
  <si>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</si>
  <si>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</si>
  <si>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</si>
  <si>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</si>
  <si>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</si>
  <si>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</si>
  <si>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</si>
  <si>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</si>
  <si>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</si>
  <si>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</si>
  <si>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</si>
  <si>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</si>
  <si>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</si>
  <si>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</si>
  <si>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</si>
  <si>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</si>
  <si>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</si>
  <si>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</si>
  <si>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</si>
  <si>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</si>
  <si>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</si>
  <si>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</si>
  <si>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</si>
  <si>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</si>
  <si>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</si>
  <si>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</si>
  <si>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</si>
  <si>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</si>
  <si>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</si>
  <si>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</si>
  <si>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</si>
  <si>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</si>
  <si>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</si>
  <si>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</si>
  <si>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</si>
  <si>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</si>
  <si>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</si>
  <si>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</si>
  <si>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</si>
  <si>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</si>
  <si>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</si>
  <si>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</si>
  <si>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</si>
  <si>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</si>
  <si>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</si>
  <si>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</si>
  <si>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</si>
  <si>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</si>
  <si>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</si>
  <si>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</si>
  <si>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</si>
  <si>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</si>
  <si>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</si>
  <si>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</si>
  <si>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</si>
  <si>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</si>
  <si>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</si>
  <si>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</si>
  <si>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</si>
  <si>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</si>
  <si>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</si>
  <si>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</si>
  <si>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</si>
  <si>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</si>
  <si>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</si>
  <si>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</si>
  <si>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</si>
  <si>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</si>
  <si>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</si>
  <si>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</si>
  <si>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</si>
  <si>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</si>
  <si>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</si>
  <si>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</si>
  <si>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</si>
  <si>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</si>
  <si>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</si>
  <si>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</si>
  <si>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</si>
  <si>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</si>
  <si>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</si>
  <si>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</si>
  <si>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</si>
  <si>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</si>
  <si>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</si>
  <si>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</si>
  <si>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</si>
  <si>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</si>
  <si>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</si>
  <si>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</si>
  <si>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</si>
  <si>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</si>
  <si>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</si>
  <si>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</si>
  <si>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</si>
  <si>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</si>
  <si>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</si>
  <si>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</si>
  <si>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</si>
  <si>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</si>
  <si>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</si>
  <si>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</si>
  <si>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</si>
  <si>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</si>
  <si>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</si>
  <si>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</si>
  <si>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</si>
  <si>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</si>
  <si>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</si>
  <si>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</si>
  <si>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</si>
  <si>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</si>
  <si>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</si>
  <si>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</si>
  <si>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</si>
  <si>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</si>
  <si>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</si>
  <si>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</si>
  <si>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</si>
  <si>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</si>
  <si>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</si>
  <si>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</si>
  <si>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</si>
  <si>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</si>
  <si>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</si>
  <si>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</si>
  <si>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</si>
  <si>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</si>
  <si>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</si>
  <si>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</si>
  <si>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</si>
  <si>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</si>
  <si>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</si>
  <si>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</si>
  <si>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</si>
  <si>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</si>
  <si>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</si>
  <si>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</si>
  <si>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</si>
  <si>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</si>
  <si>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</si>
  <si>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</si>
  <si>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</si>
  <si>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</si>
  <si>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</si>
  <si>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</si>
  <si>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</si>
  <si>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</si>
  <si>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</si>
  <si>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</si>
  <si>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</si>
  <si>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</si>
  <si>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</si>
  <si>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</si>
  <si>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</si>
  <si>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</si>
  <si>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</si>
  <si>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</si>
  <si>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</si>
  <si>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</si>
  <si>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</si>
  <si>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</si>
  <si>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</si>
  <si>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</si>
  <si>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</si>
  <si>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</si>
  <si>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</si>
  <si>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</si>
  <si>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</si>
  <si>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</si>
  <si>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</si>
  <si>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</si>
  <si>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</si>
  <si>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</si>
  <si>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</si>
  <si>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</si>
  <si>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</si>
  <si>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</si>
  <si>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</si>
  <si>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</si>
  <si>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</si>
  <si>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</si>
  <si>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</si>
  <si>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</si>
  <si>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</si>
  <si>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</si>
  <si>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</si>
  <si>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</si>
  <si>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</si>
  <si>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</si>
  <si>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</si>
  <si>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</si>
  <si>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</si>
  <si>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</si>
  <si>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</si>
  <si>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</si>
  <si>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</si>
  <si>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</si>
  <si>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</si>
  <si>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</si>
  <si>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</si>
  <si>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</si>
  <si>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</si>
  <si>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</si>
  <si>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</si>
  <si>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</si>
  <si>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</si>
  <si>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</si>
  <si>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</si>
  <si>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</si>
  <si>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</si>
  <si>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</si>
  <si>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</si>
  <si>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</si>
  <si>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</si>
  <si>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</si>
  <si>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</si>
  <si>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</si>
  <si>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</si>
  <si>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</si>
  <si>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</si>
  <si>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</si>
  <si>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</si>
  <si>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</si>
  <si>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</si>
  <si>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</si>
  <si>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</si>
  <si>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</si>
  <si>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</si>
  <si>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</si>
  <si>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</si>
  <si>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</si>
  <si>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</si>
  <si>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</si>
  <si>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</si>
  <si>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</si>
  <si>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</si>
  <si>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</si>
  <si>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</si>
  <si>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</si>
  <si>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</si>
  <si>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</si>
  <si>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</si>
  <si>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</si>
  <si>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</si>
  <si>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</si>
  <si>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</si>
  <si>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</si>
  <si>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</si>
  <si>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</si>
  <si>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</si>
  <si>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</si>
  <si>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</si>
  <si>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</si>
  <si>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</si>
  <si>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</si>
  <si>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</si>
  <si>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</si>
  <si>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</si>
  <si>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</si>
  <si>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</si>
  <si>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</si>
  <si>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</si>
  <si>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</si>
  <si>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icd10_s_cd</t>
  </si>
  <si>
    <t>icd10_s_name</t>
  </si>
  <si>
    <t>傷病名コード</t>
    <rPh sb="0" eb="3">
      <t>ショウビョウメイ</t>
    </rPh>
    <phoneticPr fontId="0"/>
  </si>
  <si>
    <t>傷病名</t>
    <rPh sb="0" eb="2">
      <t>ショウビョウ</t>
    </rPh>
    <phoneticPr fontId="0"/>
  </si>
  <si>
    <t>ICD10小区分名称</t>
    <rPh sb="6" eb="8">
      <t>クブン</t>
    </rPh>
    <rPh sb="8" eb="10">
      <t>メイショウ</t>
    </rPh>
    <phoneticPr fontId="8"/>
  </si>
  <si>
    <t>ICD10小区分</t>
    <rPh sb="6" eb="8">
      <t>クブン</t>
    </rPh>
    <phoneticPr fontId="8"/>
  </si>
  <si>
    <t>セレクト_疾患データ_大区分</t>
    <rPh sb="12" eb="14">
      <t>クブン</t>
    </rPh>
    <phoneticPr fontId="8"/>
  </si>
  <si>
    <t>セレクト_疾患データ_小区分</t>
    <rPh sb="11" eb="14">
      <t>ショウクブン</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</si>
  <si>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</si>
  <si>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院外処方区分、一般名処方区分、性別、転帰区分及び主傷病を上5桁に設定し、残りの7桁に0を設定する</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</si>
  <si>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</si>
  <si>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</si>
  <si>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</si>
  <si>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</si>
  <si>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</si>
  <si>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</si>
  <si>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</si>
  <si>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</si>
  <si>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</si>
  <si>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</si>
  <si>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</si>
  <si>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</si>
  <si>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</si>
  <si>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</si>
  <si>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</si>
  <si>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</si>
  <si>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</si>
  <si>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</si>
  <si>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</si>
  <si>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</si>
  <si>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</si>
  <si>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</si>
  <si>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</si>
  <si>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</si>
  <si>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</si>
  <si>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</si>
  <si>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</si>
  <si>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</si>
  <si>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</si>
  <si>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</si>
  <si>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</si>
  <si>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</si>
  <si>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</si>
  <si>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</si>
  <si>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</si>
  <si>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</si>
  <si>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</si>
  <si>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</si>
  <si>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</si>
  <si>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</si>
  <si>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</si>
  <si>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</si>
  <si>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</si>
  <si>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</si>
  <si>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</si>
  <si>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</si>
  <si>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</si>
  <si>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</si>
  <si>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</si>
  <si>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</si>
  <si>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</si>
  <si>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</si>
  <si>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</si>
  <si>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</si>
  <si>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</si>
  <si>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</si>
  <si>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</si>
  <si>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</si>
  <si>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</si>
  <si>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</si>
  <si>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</si>
  <si>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</si>
  <si>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</si>
  <si>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</si>
  <si>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</si>
  <si>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</si>
  <si>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</si>
  <si>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</si>
  <si>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</si>
  <si>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</si>
  <si>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</si>
  <si>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</si>
  <si>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</si>
  <si>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</si>
  <si>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</si>
  <si>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</si>
  <si>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</si>
  <si>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</si>
  <si>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</si>
  <si>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</si>
  <si>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</si>
  <si>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</si>
  <si>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</si>
  <si>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</si>
  <si>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</si>
  <si>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</si>
  <si>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</si>
  <si>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</si>
  <si>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</si>
  <si>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</si>
  <si>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</si>
  <si>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</si>
  <si>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</si>
  <si>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</si>
  <si>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</si>
  <si>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</si>
  <si>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</si>
  <si>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</si>
  <si>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</si>
  <si>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</si>
  <si>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</si>
  <si>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</si>
  <si>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</si>
  <si>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</si>
  <si>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</si>
  <si>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</si>
  <si>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</si>
  <si>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</si>
  <si>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</si>
  <si>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</si>
  <si>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</si>
  <si>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</si>
  <si>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</si>
  <si>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</si>
  <si>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</si>
  <si>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</si>
  <si>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</si>
  <si>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</si>
  <si>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</si>
  <si>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</si>
  <si>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</si>
  <si>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</si>
  <si>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</si>
  <si>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</si>
  <si>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</si>
  <si>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</si>
  <si>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</si>
  <si>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</si>
  <si>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</si>
  <si>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</si>
  <si>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</si>
  <si>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</si>
  <si>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</si>
  <si>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</si>
  <si>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</si>
  <si>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</si>
  <si>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</si>
  <si>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</si>
  <si>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</si>
  <si>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</si>
  <si>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</si>
  <si>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</si>
  <si>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</si>
  <si>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</si>
  <si>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</si>
  <si>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</si>
  <si>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</si>
  <si>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</si>
  <si>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</si>
  <si>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</si>
  <si>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</si>
  <si>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</si>
  <si>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</si>
  <si>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</si>
  <si>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</si>
  <si>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</si>
  <si>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</si>
  <si>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</si>
  <si>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</si>
  <si>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</si>
  <si>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</si>
  <si>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</si>
  <si>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</si>
  <si>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</si>
  <si>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</si>
  <si>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</si>
  <si>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</si>
  <si>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</si>
  <si>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</si>
  <si>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</si>
  <si>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</si>
  <si>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</si>
  <si>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</si>
  <si>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</si>
  <si>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</si>
  <si>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</si>
  <si>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</si>
  <si>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</si>
  <si>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</si>
  <si>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</si>
  <si>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</si>
  <si>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</si>
  <si>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</si>
  <si>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</si>
  <si>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</si>
  <si>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</si>
  <si>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</si>
  <si>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</si>
  <si>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</si>
  <si>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</si>
  <si>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</si>
  <si>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</si>
  <si>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</si>
  <si>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</si>
  <si>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</si>
  <si>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</si>
  <si>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</si>
  <si>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</si>
  <si>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</si>
  <si>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</si>
  <si>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</si>
  <si>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</si>
  <si>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</si>
  <si>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</si>
  <si>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</si>
  <si>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</si>
  <si>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</si>
  <si>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</si>
  <si>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</si>
  <si>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</si>
  <si>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</si>
  <si>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</si>
  <si>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</si>
  <si>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</si>
  <si>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</si>
  <si>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</si>
  <si>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</si>
  <si>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</si>
  <si>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</si>
  <si>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</si>
  <si>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</si>
  <si>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</si>
  <si>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</si>
  <si>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</si>
  <si>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</si>
  <si>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</si>
  <si>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</si>
  <si>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</si>
  <si>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</si>
  <si>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</si>
  <si>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</si>
  <si>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</si>
  <si>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</si>
  <si>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</si>
  <si>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</si>
  <si>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</si>
  <si>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</si>
  <si>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</si>
  <si>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</si>
  <si>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</si>
  <si>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</si>
  <si>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</si>
  <si>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</si>
  <si>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</si>
  <si>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</si>
  <si>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</si>
  <si>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</si>
  <si>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</si>
  <si>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</si>
  <si>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</si>
  <si>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</si>
  <si>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</si>
  <si>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</si>
  <si>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</si>
  <si>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</si>
  <si>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</si>
  <si>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</si>
  <si>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</si>
  <si>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</si>
  <si>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</si>
  <si>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</si>
  <si>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</si>
  <si>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</si>
  <si>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</si>
  <si>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</si>
  <si>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</si>
  <si>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</si>
  <si>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</si>
  <si>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</si>
  <si>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</si>
  <si>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</si>
  <si>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</si>
  <si>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</si>
  <si>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</si>
  <si>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</si>
  <si>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</si>
  <si>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</si>
  <si>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</si>
  <si>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</si>
  <si>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</si>
  <si>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</si>
  <si>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</si>
  <si>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</si>
  <si>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</si>
  <si>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</si>
  <si>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</si>
  <si>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</si>
  <si>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</si>
  <si>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</si>
  <si>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</si>
  <si>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</si>
  <si>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</si>
  <si>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</si>
  <si>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</si>
  <si>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</si>
  <si>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</si>
  <si>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</si>
  <si>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</si>
  <si>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</si>
  <si>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</si>
  <si>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</si>
  <si>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</si>
  <si>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</si>
  <si>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</si>
  <si>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</si>
  <si>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</si>
  <si>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</si>
  <si>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</si>
  <si>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</si>
  <si>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</si>
  <si>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</si>
  <si>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</si>
  <si>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</si>
  <si>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</si>
  <si>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</si>
  <si>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</si>
  <si>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</si>
  <si>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</si>
  <si>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</si>
  <si>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</si>
  <si>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</si>
  <si>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</si>
  <si>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</si>
  <si>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</si>
  <si>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</si>
  <si>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</si>
  <si>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</si>
  <si>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</si>
  <si>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</si>
  <si>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</si>
  <si>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</si>
  <si>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</si>
  <si>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</si>
  <si>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</si>
  <si>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</si>
  <si>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</si>
  <si>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</si>
  <si>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</si>
  <si>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</si>
  <si>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</si>
  <si>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</si>
  <si>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</si>
  <si>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</si>
  <si>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</si>
  <si>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</si>
  <si>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</si>
  <si>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</si>
  <si>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</si>
  <si>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</si>
  <si>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</si>
  <si>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</si>
  <si>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</si>
  <si>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</si>
  <si>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</si>
  <si>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</si>
  <si>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</si>
  <si>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</si>
  <si>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</si>
  <si>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</si>
  <si>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</si>
  <si>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</si>
  <si>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</si>
  <si>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</si>
  <si>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</si>
  <si>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</si>
  <si>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</si>
  <si>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</si>
  <si>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</si>
  <si>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</si>
  <si>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</si>
  <si>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</si>
  <si>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</si>
  <si>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</si>
  <si>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</si>
  <si>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</si>
  <si>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</si>
  <si>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</si>
  <si>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</si>
  <si>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</si>
  <si>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</si>
  <si>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</si>
  <si>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</si>
  <si>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</si>
  <si>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</si>
  <si>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</si>
  <si>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</si>
  <si>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</si>
  <si>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</si>
  <si>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</si>
  <si>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</si>
  <si>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</si>
  <si>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</si>
  <si>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</si>
  <si>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</si>
  <si>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</si>
  <si>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</si>
  <si>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</si>
  <si>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</si>
  <si>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</si>
  <si>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</si>
  <si>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</si>
  <si>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</si>
  <si>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</si>
  <si>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</si>
  <si>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</si>
  <si>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</si>
  <si>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</si>
  <si>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</si>
  <si>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</si>
  <si>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</si>
  <si>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</si>
  <si>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</si>
  <si>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</si>
  <si>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</si>
  <si>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</si>
  <si>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</si>
  <si>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</si>
  <si>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</si>
  <si>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</si>
  <si>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</si>
  <si>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</si>
  <si>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</si>
  <si>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</si>
  <si>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</si>
  <si>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</si>
  <si>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</si>
  <si>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</si>
  <si>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</si>
  <si>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</si>
  <si>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</si>
  <si>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</si>
  <si>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</si>
  <si>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</si>
  <si>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</si>
  <si>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</si>
  <si>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</si>
  <si>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</si>
  <si>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</si>
  <si>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</si>
  <si>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</si>
  <si>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</si>
  <si>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</si>
  <si>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</si>
  <si>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</si>
  <si>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</si>
  <si>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</si>
  <si>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</si>
  <si>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</si>
  <si>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</si>
  <si>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</si>
  <si>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</si>
  <si>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</si>
  <si>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</si>
  <si>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</si>
  <si>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</si>
  <si>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</si>
  <si>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</si>
  <si>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</si>
  <si>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</si>
  <si>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</si>
  <si>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</si>
  <si>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</si>
  <si>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</si>
  <si>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</si>
  <si>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</si>
  <si>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</si>
  <si>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</si>
  <si>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</si>
  <si>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</si>
  <si>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</si>
  <si>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</si>
  <si>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</si>
  <si>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</si>
  <si>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</si>
  <si>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</si>
  <si>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</si>
  <si>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</si>
  <si>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</si>
  <si>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</si>
  <si>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</si>
  <si>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</si>
  <si>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</si>
  <si>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</si>
  <si>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</si>
  <si>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</si>
  <si>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</si>
  <si>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</si>
  <si>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</si>
  <si>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</si>
  <si>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</si>
  <si>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</si>
  <si>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</si>
  <si>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</si>
  <si>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</si>
  <si>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</si>
  <si>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</si>
  <si>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</si>
  <si>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</si>
  <si>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</si>
  <si>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</si>
  <si>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</si>
  <si>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</si>
  <si>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</si>
  <si>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</si>
  <si>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</si>
  <si>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</si>
  <si>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</si>
  <si>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</si>
  <si>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</si>
  <si>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</si>
  <si>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</si>
  <si>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</si>
  <si>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</si>
  <si>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</si>
  <si>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</si>
  <si>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</si>
  <si>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</si>
  <si>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</si>
  <si>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</si>
  <si>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</si>
  <si>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</si>
  <si>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</si>
  <si>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</si>
  <si>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</si>
  <si>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</si>
  <si>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</si>
  <si>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</si>
  <si>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</si>
  <si>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</si>
  <si>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</si>
  <si>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</si>
  <si>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</si>
  <si>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</si>
  <si>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</si>
  <si>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</si>
  <si>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</si>
  <si>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</si>
  <si>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</si>
  <si>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</si>
  <si>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</si>
  <si>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</si>
  <si>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</si>
  <si>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</si>
  <si>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</si>
  <si>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</si>
  <si>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</si>
  <si>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</si>
  <si>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</si>
  <si>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</si>
  <si>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</si>
  <si>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</si>
  <si>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</si>
  <si>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</si>
  <si>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</si>
  <si>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</si>
  <si>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</si>
  <si>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</si>
  <si>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</si>
  <si>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</si>
  <si>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</si>
  <si>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</si>
  <si>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</si>
  <si>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</si>
  <si>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</si>
  <si>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</si>
  <si>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</si>
  <si>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</si>
  <si>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</si>
  <si>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</si>
  <si>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</si>
  <si>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</si>
  <si>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</si>
  <si>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</si>
  <si>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</si>
  <si>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</si>
  <si>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</si>
  <si>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</si>
  <si>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</si>
  <si>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</si>
  <si>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</si>
  <si>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</si>
  <si>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</si>
  <si>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</si>
  <si>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</si>
  <si>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</si>
  <si>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</si>
  <si>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</si>
  <si>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</si>
  <si>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</si>
  <si>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</si>
  <si>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</si>
  <si>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</si>
  <si>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</si>
  <si>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</si>
  <si>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</si>
  <si>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</si>
  <si>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</si>
  <si>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</si>
  <si>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</si>
  <si>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</si>
  <si>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</si>
  <si>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</si>
  <si>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</si>
  <si>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</si>
  <si>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</si>
  <si>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</si>
  <si>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</si>
  <si>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</si>
  <si>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</si>
  <si>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</si>
  <si>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</si>
  <si>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</si>
  <si>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</si>
  <si>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</si>
  <si>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</si>
  <si>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</si>
  <si>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</si>
  <si>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</si>
  <si>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</si>
  <si>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</si>
  <si>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</si>
  <si>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</si>
  <si>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</si>
  <si>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</si>
  <si>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</si>
  <si>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</si>
  <si>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</si>
  <si>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</si>
  <si>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</si>
  <si>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</si>
  <si>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</si>
  <si>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</si>
  <si>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</si>
  <si>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</si>
  <si>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</si>
  <si>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</si>
  <si>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</si>
  <si>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</si>
  <si>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</si>
  <si>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</si>
  <si>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</si>
  <si>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</si>
  <si>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</si>
  <si>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</si>
  <si>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</si>
  <si>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</si>
  <si>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</si>
  <si>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</si>
  <si>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</si>
  <si>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</si>
  <si>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</si>
  <si>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</si>
  <si>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</si>
  <si>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</si>
  <si>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</si>
  <si>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</si>
  <si>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</si>
  <si>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</si>
  <si>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</si>
  <si>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</si>
  <si>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</si>
  <si>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</si>
  <si>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</si>
  <si>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</si>
  <si>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</si>
  <si>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</si>
  <si>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</si>
  <si>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</si>
  <si>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</si>
  <si>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</si>
  <si>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</si>
  <si>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</si>
  <si>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</si>
  <si>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</si>
  <si>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</si>
  <si>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</si>
  <si>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</si>
  <si>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</si>
  <si>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</si>
  <si>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</si>
  <si>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</si>
  <si>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</si>
  <si>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</si>
  <si>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</si>
  <si>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</si>
  <si>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</si>
  <si>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</si>
  <si>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</si>
  <si>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</si>
  <si>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</si>
  <si>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</si>
  <si>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</si>
  <si>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</si>
  <si>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</si>
  <si>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</si>
  <si>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</si>
  <si>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</si>
  <si>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</si>
  <si>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</si>
  <si>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</si>
  <si>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</si>
  <si>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</si>
  <si>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</si>
  <si>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</si>
  <si>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</si>
  <si>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</si>
  <si>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</si>
  <si>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</si>
  <si>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</si>
  <si>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</si>
  <si>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</si>
  <si>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</si>
  <si>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</si>
  <si>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</si>
  <si>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</si>
  <si>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</si>
  <si>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</si>
  <si>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</si>
  <si>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</si>
  <si>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</si>
  <si>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</si>
  <si>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</si>
  <si>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</si>
  <si>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</si>
  <si>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</si>
  <si>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</si>
  <si>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</si>
  <si>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</si>
  <si>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</si>
  <si>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</si>
  <si>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</si>
  <si>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</si>
  <si>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</si>
  <si>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</si>
  <si>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</si>
  <si>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</si>
  <si>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</si>
  <si>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</si>
  <si>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</si>
  <si>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</si>
  <si>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</si>
  <si>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</si>
  <si>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</si>
  <si>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</si>
  <si>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</si>
  <si>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</si>
  <si>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</si>
  <si>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</si>
  <si>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</si>
  <si>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</si>
  <si>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</si>
  <si>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</si>
  <si>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</si>
  <si>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</si>
  <si>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</si>
  <si>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</si>
  <si>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</si>
  <si>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</si>
  <si>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</si>
  <si>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</si>
  <si>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</si>
  <si>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</si>
  <si>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</si>
  <si>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</si>
  <si>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</si>
  <si>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</si>
  <si>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</si>
  <si>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</si>
  <si>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</si>
  <si>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</si>
  <si>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</si>
  <si>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</si>
  <si>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</si>
  <si>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</si>
  <si>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</si>
  <si>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</si>
  <si>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</si>
  <si>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</si>
  <si>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</si>
  <si>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</si>
  <si>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</si>
  <si>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</si>
  <si>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</si>
  <si>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</si>
  <si>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</si>
  <si>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</si>
  <si>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</si>
  <si>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</si>
  <si>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</si>
  <si>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</si>
  <si>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</si>
  <si>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</si>
  <si>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</si>
  <si>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</si>
  <si>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</si>
  <si>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</si>
  <si>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</si>
  <si>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</si>
  <si>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</si>
  <si>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</si>
  <si>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</si>
  <si>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</si>
  <si>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</si>
  <si>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</si>
  <si>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</si>
  <si>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</si>
  <si>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</si>
  <si>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</si>
  <si>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</si>
  <si>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</si>
  <si>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</si>
  <si>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</si>
  <si>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</si>
  <si>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</si>
  <si>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</si>
  <si>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</si>
  <si>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</si>
  <si>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</si>
  <si>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</si>
  <si>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</si>
  <si>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</si>
  <si>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</si>
  <si>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</si>
  <si>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</si>
  <si>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</si>
  <si>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</si>
  <si>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</si>
  <si>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</si>
  <si>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</si>
  <si>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</si>
  <si>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</si>
  <si>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</si>
  <si>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</si>
  <si>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</si>
  <si>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</si>
  <si>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</si>
  <si>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</si>
  <si>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</si>
  <si>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</si>
  <si>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</si>
  <si>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</si>
  <si>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</si>
  <si>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</si>
  <si>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</si>
  <si>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</si>
  <si>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</si>
  <si>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</si>
  <si>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</si>
  <si>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</si>
  <si>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</si>
  <si>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</si>
  <si>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</si>
  <si>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</si>
  <si>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</si>
  <si>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</si>
  <si>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</si>
  <si>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</si>
  <si>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</si>
  <si>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</si>
  <si>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</si>
  <si>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</si>
  <si>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</si>
  <si>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</si>
  <si>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</si>
  <si>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</si>
  <si>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</si>
  <si>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</si>
  <si>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</si>
  <si>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</si>
  <si>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</si>
  <si>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</si>
  <si>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</si>
  <si>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</si>
  <si>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</si>
  <si>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</si>
  <si>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</si>
  <si>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</si>
  <si>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</si>
  <si>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</si>
  <si>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</si>
  <si>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</si>
  <si>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</si>
  <si>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</si>
  <si>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</si>
  <si>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</si>
  <si>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</si>
  <si>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</si>
  <si>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</si>
  <si>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</si>
  <si>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</si>
  <si>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</si>
  <si>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</si>
  <si>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</si>
  <si>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</si>
  <si>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</si>
  <si>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</si>
  <si>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</si>
  <si>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</si>
  <si>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</si>
  <si>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</si>
  <si>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</si>
  <si>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</si>
  <si>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</si>
  <si>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</si>
  <si>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</si>
  <si>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</si>
  <si>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</si>
  <si>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</si>
  <si>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</si>
  <si>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</si>
  <si>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</si>
  <si>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</si>
  <si>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</si>
  <si>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</si>
  <si>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</si>
  <si>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</si>
  <si>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</si>
  <si>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</si>
  <si>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</si>
  <si>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</si>
  <si>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</si>
  <si>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</si>
  <si>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</si>
  <si>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</si>
  <si>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</si>
  <si>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</si>
  <si>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</si>
  <si>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</si>
  <si>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</si>
  <si>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</si>
  <si>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</si>
  <si>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</si>
  <si>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</si>
  <si>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</si>
  <si>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</si>
  <si>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</si>
  <si>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</si>
  <si>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</si>
  <si>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</si>
  <si>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</si>
  <si>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</si>
  <si>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</si>
  <si>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</si>
  <si>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</si>
  <si>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</si>
  <si>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</si>
  <si>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</si>
  <si>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</si>
  <si>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</si>
  <si>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</si>
  <si>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</si>
  <si>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</si>
  <si>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</si>
  <si>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</si>
  <si>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</si>
  <si>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</si>
  <si>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</si>
  <si>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</si>
  <si>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</si>
  <si>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</si>
  <si>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</si>
  <si>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</si>
  <si>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</si>
  <si>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</si>
  <si>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</si>
  <si>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</si>
  <si>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</si>
  <si>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</si>
  <si>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</si>
  <si>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</si>
  <si>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</si>
  <si>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</si>
  <si>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</si>
  <si>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</si>
  <si>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</si>
  <si>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</si>
  <si>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</si>
  <si>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</si>
  <si>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</si>
  <si>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</si>
  <si>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</si>
  <si>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</si>
  <si>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</si>
  <si>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</si>
  <si>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</si>
  <si>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</si>
  <si>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</si>
  <si>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</si>
  <si>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</si>
  <si>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</si>
  <si>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</si>
  <si>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</si>
  <si>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</si>
  <si>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</si>
  <si>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</si>
  <si>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</si>
  <si>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</si>
  <si>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</si>
  <si>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</si>
  <si>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</si>
  <si>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</si>
  <si>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</si>
  <si>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</si>
  <si>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</si>
  <si>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</si>
  <si>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</si>
  <si>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</si>
  <si>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</si>
  <si>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</si>
  <si>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</si>
  <si>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</si>
  <si>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</si>
  <si>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</si>
  <si>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</si>
  <si>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</si>
  <si>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</si>
  <si>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</si>
  <si>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</si>
  <si>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</si>
  <si>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</si>
  <si>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</si>
  <si>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</si>
  <si>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</si>
  <si>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</si>
  <si>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</si>
  <si>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</si>
  <si>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</si>
  <si>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</si>
  <si>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</si>
  <si>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</si>
  <si>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</si>
  <si>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</si>
  <si>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</si>
  <si>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</si>
  <si>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</si>
  <si>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</si>
  <si>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</si>
  <si>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</si>
  <si>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</si>
  <si>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</si>
  <si>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</si>
  <si>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</si>
  <si>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</si>
  <si>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</si>
  <si>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</si>
  <si>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</si>
  <si>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</si>
  <si>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</si>
  <si>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</si>
  <si>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</si>
  <si>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</si>
  <si>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</si>
  <si>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</si>
  <si>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</si>
  <si>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</si>
  <si>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</si>
  <si>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</si>
  <si>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</si>
  <si>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</si>
  <si>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</si>
  <si>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</si>
  <si>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</si>
  <si>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</si>
  <si>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</si>
  <si>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</si>
  <si>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</si>
  <si>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</si>
  <si>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</si>
  <si>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</si>
  <si>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</si>
  <si>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</si>
  <si>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</si>
  <si>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</si>
  <si>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</si>
  <si>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</si>
  <si>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</si>
  <si>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</si>
  <si>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</si>
  <si>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</si>
  <si>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</si>
  <si>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</si>
  <si>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</si>
  <si>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</si>
  <si>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</si>
  <si>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</si>
  <si>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</si>
  <si>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</si>
  <si>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</si>
  <si>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</si>
  <si>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</si>
  <si>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</si>
  <si>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</si>
  <si>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</si>
  <si>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</si>
  <si>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</si>
  <si>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</si>
  <si>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</si>
  <si>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</si>
  <si>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</si>
  <si>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</si>
  <si>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</si>
  <si>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</si>
  <si>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</si>
  <si>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</si>
  <si>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</si>
  <si>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</si>
  <si>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</si>
  <si>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</si>
  <si>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</si>
  <si>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</si>
  <si>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</si>
  <si>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</si>
  <si>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</si>
  <si>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</si>
  <si>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</si>
  <si>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</si>
  <si>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</si>
  <si>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</si>
  <si>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</si>
  <si>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</si>
  <si>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</si>
  <si>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</si>
  <si>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</si>
  <si>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</si>
  <si>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</si>
  <si>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</si>
  <si>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</si>
  <si>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</si>
  <si>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</si>
  <si>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</si>
  <si>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</si>
  <si>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</si>
  <si>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</si>
  <si>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</si>
  <si>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</si>
  <si>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</si>
  <si>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</si>
  <si>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</si>
  <si>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</si>
  <si>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</si>
  <si>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</si>
  <si>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</si>
  <si>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</si>
  <si>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</si>
  <si>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</si>
  <si>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</si>
  <si>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</si>
  <si>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</si>
  <si>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</si>
  <si>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</si>
  <si>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</si>
  <si>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</si>
  <si>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</si>
  <si>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</si>
  <si>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</si>
  <si>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</si>
  <si>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</si>
  <si>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</si>
  <si>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</si>
  <si>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</si>
  <si>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</si>
  <si>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</si>
  <si>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</si>
  <si>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</si>
  <si>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</si>
  <si>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</si>
  <si>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</si>
  <si>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</si>
  <si>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</si>
  <si>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</si>
  <si>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</si>
  <si>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</si>
  <si>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</si>
  <si>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</si>
  <si>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</si>
  <si>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</si>
  <si>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</si>
  <si>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</si>
  <si>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</si>
  <si>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</si>
  <si>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</si>
  <si>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</si>
  <si>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</si>
  <si>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</si>
  <si>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</si>
  <si>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</si>
  <si>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</si>
  <si>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</si>
  <si>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</si>
  <si>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</si>
  <si>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</si>
  <si>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</si>
  <si>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</si>
  <si>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</si>
  <si>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</si>
  <si>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</si>
  <si>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</si>
  <si>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</si>
  <si>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</si>
  <si>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</si>
  <si>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</si>
  <si>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</si>
  <si>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</si>
  <si>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</si>
  <si>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</si>
  <si>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</si>
  <si>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</si>
  <si>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</si>
  <si>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</si>
  <si>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</si>
  <si>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</si>
  <si>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</si>
  <si>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</si>
  <si>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</si>
  <si>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</si>
  <si>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</si>
  <si>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</si>
  <si>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</si>
  <si>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</si>
  <si>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</si>
  <si>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</si>
  <si>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</si>
  <si>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</si>
  <si>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</si>
  <si>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</si>
  <si>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</si>
  <si>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</si>
  <si>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</si>
  <si>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</si>
  <si>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</si>
  <si>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</si>
  <si>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</si>
  <si>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</si>
  <si>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</si>
  <si>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</si>
  <si>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</si>
  <si>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</si>
  <si>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</si>
  <si>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</si>
  <si>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</si>
  <si>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</si>
  <si>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</si>
  <si>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</si>
  <si>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</si>
  <si>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</si>
  <si>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</si>
  <si>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</si>
  <si>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</si>
  <si>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</si>
  <si>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</si>
  <si>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</si>
  <si>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</si>
  <si>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</si>
  <si>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</si>
  <si>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</si>
  <si>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</si>
  <si>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</si>
  <si>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</si>
  <si>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</si>
  <si>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</si>
  <si>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</si>
  <si>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</si>
  <si>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</si>
  <si>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</si>
  <si>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</si>
  <si>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</si>
  <si>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</si>
  <si>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</si>
  <si>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</si>
  <si>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</si>
  <si>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</si>
  <si>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</si>
  <si>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</si>
  <si>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</si>
  <si>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</si>
  <si>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</si>
  <si>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</si>
  <si>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</si>
  <si>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</si>
  <si>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</si>
  <si>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</si>
  <si>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</si>
  <si>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</si>
  <si>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</si>
  <si>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</si>
  <si>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</si>
  <si>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</si>
  <si>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</si>
  <si>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</si>
  <si>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</si>
  <si>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</si>
  <si>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</si>
  <si>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</si>
  <si>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</si>
  <si>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</si>
  <si>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</si>
  <si>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</si>
  <si>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</si>
  <si>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</si>
  <si>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</si>
  <si>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</si>
  <si>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</si>
  <si>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</si>
  <si>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</si>
  <si>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</si>
  <si>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</si>
  <si>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</si>
  <si>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</si>
  <si>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</si>
  <si>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</si>
  <si>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</si>
  <si>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</si>
  <si>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</si>
  <si>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</si>
  <si>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</si>
  <si>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</si>
  <si>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</si>
  <si>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</si>
  <si>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</si>
  <si>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</si>
  <si>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</si>
  <si>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</si>
  <si>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</si>
  <si>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</si>
  <si>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</si>
  <si>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</si>
  <si>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</si>
  <si>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</si>
  <si>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</si>
  <si>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</si>
  <si>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</si>
  <si>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</si>
  <si>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</si>
  <si>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</si>
  <si>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</si>
  <si>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</si>
  <si>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</si>
  <si>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</si>
  <si>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</si>
  <si>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</si>
  <si>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</si>
  <si>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</si>
  <si>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</si>
  <si>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</si>
  <si>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</si>
  <si>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</si>
  <si>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</si>
  <si>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</si>
  <si>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</si>
  <si>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</si>
  <si>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</si>
  <si>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</si>
  <si>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</si>
  <si>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</si>
  <si>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</si>
  <si>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</si>
  <si>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</si>
  <si>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</si>
  <si>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</si>
  <si>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</si>
  <si>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</si>
  <si>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</si>
  <si>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</si>
  <si>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</si>
  <si>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</si>
  <si>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</si>
  <si>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</si>
  <si>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</si>
  <si>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</si>
  <si>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</si>
  <si>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</si>
  <si>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</si>
  <si>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</si>
  <si>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</si>
  <si>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</si>
  <si>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</si>
  <si>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</si>
  <si>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</si>
  <si>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</si>
  <si>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</si>
  <si>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</si>
  <si>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</si>
  <si>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</si>
  <si>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</si>
  <si>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</si>
  <si>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</si>
  <si>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</si>
  <si>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</si>
  <si>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</si>
  <si>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</si>
  <si>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</si>
  <si>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</si>
  <si>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</si>
  <si>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</si>
  <si>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</si>
  <si>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</si>
  <si>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</si>
  <si>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</si>
  <si>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</si>
  <si>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</si>
  <si>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</si>
  <si>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</si>
  <si>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</si>
  <si>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</si>
  <si>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</si>
  <si>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</si>
  <si>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</si>
  <si>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</si>
  <si>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</si>
  <si>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</si>
  <si>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</si>
  <si>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</si>
  <si>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</si>
  <si>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</si>
  <si>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</si>
  <si>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</si>
  <si>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</si>
  <si>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</si>
  <si>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</si>
  <si>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</si>
  <si>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</si>
  <si>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</si>
  <si>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</si>
  <si>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</si>
  <si>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</si>
  <si>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</si>
  <si>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</si>
  <si>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</si>
  <si>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</si>
  <si>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</si>
  <si>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</si>
  <si>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</si>
  <si>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</si>
  <si>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</si>
  <si>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</si>
  <si>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</si>
  <si>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</si>
  <si>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</si>
  <si>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</si>
  <si>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</si>
  <si>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</si>
  <si>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</si>
  <si>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</si>
  <si>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</si>
  <si>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</si>
  <si>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</si>
  <si>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</si>
  <si>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</si>
  <si>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</si>
  <si>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</si>
  <si>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</si>
  <si>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</si>
  <si>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</si>
  <si>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</si>
  <si>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</si>
  <si>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</si>
  <si>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</si>
  <si>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</si>
  <si>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</si>
  <si>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</si>
  <si>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</si>
  <si>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</si>
  <si>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</si>
  <si>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</si>
  <si>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</si>
  <si>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</si>
  <si>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</si>
  <si>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</si>
  <si>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</si>
  <si>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</si>
  <si>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</si>
  <si>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</si>
  <si>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</si>
  <si>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</si>
  <si>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</si>
  <si>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</si>
  <si>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</si>
  <si>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</si>
  <si>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</si>
  <si>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</si>
  <si>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</si>
  <si>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</si>
  <si>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</si>
  <si>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</si>
  <si>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</si>
  <si>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</si>
  <si>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</si>
  <si>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</si>
  <si>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</si>
  <si>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</si>
  <si>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</si>
  <si>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</si>
  <si>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</si>
  <si>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</si>
  <si>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</si>
  <si>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</si>
  <si>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</si>
  <si>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</si>
  <si>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</si>
  <si>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</si>
  <si>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</si>
  <si>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</si>
  <si>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</si>
  <si>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</si>
  <si>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</si>
  <si>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</si>
  <si>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</si>
  <si>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</si>
  <si>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</si>
  <si>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</si>
  <si>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</si>
  <si>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</si>
  <si>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</si>
  <si>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</si>
  <si>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</si>
  <si>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</si>
  <si>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</si>
  <si>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</si>
  <si>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</si>
  <si>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</si>
  <si>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</si>
  <si>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</si>
  <si>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</si>
  <si>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</si>
  <si>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</si>
  <si>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</si>
  <si>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</si>
  <si>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</si>
  <si>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</si>
  <si>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</si>
  <si>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</si>
  <si>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</si>
  <si>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</si>
  <si>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</si>
  <si>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</si>
  <si>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</si>
  <si>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</si>
  <si>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</si>
  <si>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</si>
  <si>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</si>
  <si>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</si>
  <si>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</si>
  <si>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</si>
  <si>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</si>
  <si>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</si>
  <si>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</si>
  <si>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</si>
  <si>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</si>
  <si>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</si>
  <si>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</si>
  <si>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</si>
  <si>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</si>
  <si>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</si>
  <si>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</si>
  <si>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</si>
  <si>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</si>
  <si>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</si>
  <si>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</si>
  <si>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</si>
  <si>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</si>
  <si>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</si>
  <si>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</si>
  <si>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</si>
  <si>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</si>
  <si>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</si>
  <si>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</si>
  <si>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</si>
  <si>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</si>
  <si>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</si>
  <si>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</si>
  <si>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</si>
  <si>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</si>
  <si>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</si>
  <si>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</si>
  <si>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</si>
  <si>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</si>
  <si>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</si>
  <si>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</si>
  <si>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</si>
  <si>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</si>
  <si>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</si>
  <si>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</si>
  <si>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</si>
  <si>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</si>
  <si>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</si>
  <si>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</si>
  <si>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</si>
  <si>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</si>
  <si>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</si>
  <si>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</si>
  <si>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</si>
  <si>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</si>
  <si>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</si>
  <si>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</si>
  <si>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</si>
  <si>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</si>
  <si>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</si>
  <si>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</si>
  <si>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</si>
  <si>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</si>
  <si>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</si>
  <si>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</si>
  <si>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</si>
  <si>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</si>
  <si>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</si>
  <si>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</si>
  <si>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</si>
  <si>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</si>
  <si>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</si>
  <si>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</si>
  <si>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</si>
  <si>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</si>
  <si>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</si>
  <si>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</si>
  <si>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</si>
  <si>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</si>
  <si>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</si>
  <si>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</si>
  <si>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</si>
  <si>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</si>
  <si>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</si>
  <si>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</si>
  <si>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</si>
  <si>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</si>
  <si>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</si>
  <si>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</si>
  <si>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</si>
  <si>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</si>
  <si>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</si>
  <si>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</si>
  <si>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</si>
  <si>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</si>
  <si>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</si>
  <si>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</si>
  <si>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</si>
  <si>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</si>
  <si>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</si>
  <si>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</si>
  <si>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</si>
  <si>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</si>
  <si>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</si>
  <si>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</si>
  <si>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</si>
  <si>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</si>
  <si>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</si>
  <si>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</si>
  <si>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</si>
  <si>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</si>
  <si>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</si>
  <si>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</si>
  <si>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</si>
  <si>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</si>
  <si>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</si>
  <si>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</si>
  <si>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</si>
  <si>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</si>
  <si>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</si>
  <si>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</si>
  <si>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</si>
  <si>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</si>
  <si>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</si>
  <si>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</si>
  <si>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</si>
  <si>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</si>
  <si>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</si>
  <si>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</si>
  <si>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</si>
  <si>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</si>
  <si>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</si>
  <si>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</si>
  <si>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</si>
  <si>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</si>
  <si>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</si>
  <si>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</si>
  <si>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</si>
  <si>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</si>
  <si>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</si>
  <si>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</si>
  <si>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</si>
  <si>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</si>
  <si>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</si>
  <si>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</si>
  <si>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</si>
  <si>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</si>
  <si>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</si>
  <si>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</si>
  <si>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</si>
  <si>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</si>
  <si>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</si>
  <si>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</si>
  <si>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</si>
  <si>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</si>
  <si>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</si>
  <si>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</si>
  <si>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</si>
  <si>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</si>
  <si>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</si>
  <si>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</si>
  <si>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</si>
  <si>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</si>
  <si>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</si>
  <si>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</si>
  <si>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</si>
  <si>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</si>
  <si>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</si>
  <si>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</si>
  <si>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</si>
  <si>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</si>
  <si>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</si>
  <si>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</si>
  <si>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</si>
  <si>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</si>
  <si>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</si>
  <si>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</si>
  <si>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</si>
  <si>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</si>
  <si>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</si>
  <si>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</si>
  <si>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</si>
  <si>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</si>
  <si>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</si>
  <si>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</si>
  <si>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</si>
  <si>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</si>
  <si>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</si>
  <si>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</si>
  <si>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</si>
  <si>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</si>
  <si>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</si>
  <si>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</si>
  <si>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</si>
  <si>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</si>
  <si>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</si>
  <si>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</si>
  <si>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</si>
  <si>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</si>
  <si>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</si>
  <si>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</si>
  <si>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</si>
  <si>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</si>
  <si>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</si>
  <si>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</si>
  <si>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</si>
  <si>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</si>
  <si>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</si>
  <si>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</si>
  <si>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</si>
  <si>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</si>
  <si>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</si>
  <si>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</si>
  <si>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</si>
  <si>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</si>
  <si>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</si>
  <si>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</si>
  <si>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</si>
  <si>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</si>
  <si>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</si>
  <si>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</si>
  <si>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</si>
  <si>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</si>
  <si>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</si>
  <si>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</si>
  <si>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</si>
  <si>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</si>
  <si>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</si>
  <si>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</si>
  <si>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</si>
  <si>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</si>
  <si>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</si>
  <si>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</si>
  <si>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</si>
  <si>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</si>
  <si>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</si>
  <si>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</si>
  <si>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</si>
  <si>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</si>
  <si>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</si>
  <si>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</si>
  <si>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</si>
  <si>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</si>
  <si>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</si>
  <si>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</si>
  <si>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</si>
  <si>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</si>
  <si>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</si>
  <si>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</si>
  <si>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</si>
  <si>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</si>
  <si>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</si>
  <si>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</si>
  <si>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</si>
  <si>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</si>
  <si>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</si>
  <si>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</si>
  <si>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</si>
  <si>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</si>
  <si>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</si>
  <si>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</si>
  <si>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</si>
  <si>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</si>
  <si>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</si>
  <si>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</si>
  <si>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</si>
  <si>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</si>
  <si>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</si>
  <si>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</si>
  <si>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</si>
  <si>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</si>
  <si>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</si>
  <si>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</si>
  <si>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</si>
  <si>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</si>
  <si>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</si>
  <si>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</si>
  <si>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</si>
  <si>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</si>
  <si>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</si>
  <si>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</si>
  <si>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</si>
  <si>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</si>
  <si>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</si>
  <si>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</si>
  <si>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</si>
  <si>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</si>
  <si>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</si>
  <si>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</si>
  <si>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</si>
  <si>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</si>
  <si>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</si>
  <si>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</si>
  <si>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</si>
  <si>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</si>
  <si>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</si>
  <si>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</si>
  <si>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</si>
  <si>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</si>
  <si>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</si>
  <si>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</si>
  <si>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</si>
  <si>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</si>
  <si>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</si>
  <si>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</si>
  <si>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</si>
  <si>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</si>
  <si>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</si>
  <si>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</si>
  <si>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</si>
  <si>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</si>
  <si>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</si>
  <si>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</si>
  <si>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</si>
  <si>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</si>
  <si>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</si>
  <si>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</si>
  <si>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</si>
  <si>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</si>
  <si>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</si>
  <si>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</si>
  <si>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</si>
  <si>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</si>
  <si>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</si>
  <si>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</si>
  <si>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</si>
  <si>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</si>
  <si>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</si>
  <si>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</si>
  <si>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</si>
  <si>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</si>
  <si>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</si>
  <si>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</si>
  <si>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</si>
  <si>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</si>
  <si>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</si>
  <si>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</si>
  <si>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</si>
  <si>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</si>
  <si>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</si>
  <si>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</si>
  <si>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</si>
  <si>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</si>
  <si>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</si>
  <si>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</si>
  <si>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</si>
  <si>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</si>
  <si>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</si>
  <si>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</si>
  <si>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</si>
  <si>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</si>
  <si>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</si>
  <si>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</si>
  <si>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</si>
  <si>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</si>
  <si>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</si>
  <si>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</si>
  <si>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</si>
  <si>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</si>
  <si>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</si>
  <si>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</si>
  <si>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</si>
  <si>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</si>
  <si>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</si>
  <si>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</si>
  <si>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</si>
  <si>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</si>
  <si>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</si>
  <si>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</si>
  <si>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</si>
  <si>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</si>
  <si>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</si>
  <si>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</si>
  <si>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</si>
  <si>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</si>
  <si>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</si>
  <si>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</si>
  <si>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</si>
  <si>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</si>
  <si>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</si>
  <si>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</si>
  <si>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</si>
  <si>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</si>
  <si>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</si>
  <si>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</si>
  <si>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</si>
  <si>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</si>
  <si>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</si>
  <si>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</si>
  <si>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</si>
  <si>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</si>
  <si>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</si>
  <si>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</si>
  <si>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</si>
  <si>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</si>
  <si>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</si>
  <si>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</si>
  <si>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</si>
  <si>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</si>
  <si>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</si>
  <si>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</si>
  <si>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</si>
  <si>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</si>
  <si>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</si>
  <si>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</si>
  <si>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</si>
  <si>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</si>
  <si>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</si>
  <si>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</si>
  <si>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</si>
  <si>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</si>
  <si>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</si>
  <si>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</si>
  <si>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</si>
  <si>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</si>
  <si>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</si>
  <si>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</si>
  <si>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</si>
  <si>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</si>
  <si>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</si>
  <si>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</si>
  <si>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</si>
  <si>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</si>
  <si>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</si>
  <si>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</si>
  <si>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</si>
  <si>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</si>
  <si>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</si>
  <si>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</si>
  <si>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</si>
  <si>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</si>
  <si>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</si>
  <si>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</si>
  <si>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</si>
  <si>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</si>
  <si>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</si>
  <si>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</si>
  <si>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</si>
  <si>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</si>
  <si>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</si>
  <si>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</si>
  <si>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</si>
  <si>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</si>
  <si>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</si>
  <si>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</si>
  <si>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</si>
  <si>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</si>
  <si>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</si>
  <si>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</si>
  <si>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</si>
  <si>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</si>
  <si>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</si>
  <si>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</si>
  <si>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</si>
  <si>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</si>
  <si>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</si>
  <si>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</si>
  <si>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</si>
  <si>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</si>
  <si>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</si>
  <si>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</si>
  <si>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</si>
  <si>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</si>
  <si>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</si>
  <si>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</si>
  <si>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</si>
  <si>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</si>
  <si>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</si>
  <si>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</si>
  <si>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</si>
  <si>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</si>
  <si>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</si>
  <si>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</si>
  <si>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</si>
  <si>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</si>
  <si>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</si>
  <si>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</si>
  <si>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</si>
  <si>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</si>
  <si>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</si>
  <si>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</si>
  <si>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</si>
  <si>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</si>
  <si>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</si>
  <si>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</si>
  <si>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</si>
  <si>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</si>
  <si>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</si>
  <si>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</si>
  <si>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</si>
  <si>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</si>
  <si>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</si>
  <si>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</si>
  <si>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</si>
  <si>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</si>
  <si>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</si>
  <si>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</si>
  <si>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</si>
  <si>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</si>
  <si>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</si>
  <si>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</si>
  <si>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</si>
  <si>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</si>
  <si>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</si>
  <si>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</si>
  <si>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</si>
  <si>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</si>
  <si>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</si>
  <si>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</si>
  <si>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</si>
  <si>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</si>
  <si>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</si>
  <si>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</si>
  <si>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</si>
  <si>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</si>
  <si>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</si>
  <si>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</si>
  <si>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</si>
  <si>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</si>
  <si>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</si>
  <si>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</si>
  <si>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</si>
  <si>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</si>
  <si>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</si>
  <si>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</si>
  <si>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</si>
  <si>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</si>
  <si>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</si>
  <si>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</si>
  <si>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</si>
  <si>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</si>
  <si>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</si>
  <si>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</si>
  <si>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</si>
  <si>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</si>
  <si>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</si>
  <si>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</si>
  <si>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</si>
  <si>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</si>
  <si>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</si>
  <si>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</si>
  <si>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</si>
  <si>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</si>
  <si>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</si>
  <si>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</si>
  <si>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</si>
  <si>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</si>
  <si>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</si>
  <si>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</si>
  <si>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</si>
  <si>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</si>
  <si>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</si>
  <si>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</si>
  <si>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</si>
  <si>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</si>
  <si>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</si>
  <si>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</si>
  <si>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</si>
  <si>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</si>
  <si>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</si>
  <si>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</si>
  <si>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</si>
  <si>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</si>
  <si>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</si>
  <si>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</si>
  <si>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</si>
  <si>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</si>
  <si>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</si>
  <si>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</si>
  <si>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</si>
  <si>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</si>
  <si>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</si>
  <si>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</si>
  <si>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</si>
  <si>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</si>
  <si>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</si>
  <si>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</si>
  <si>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</si>
  <si>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</si>
  <si>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</si>
  <si>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</si>
  <si>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</si>
  <si>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</si>
  <si>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</si>
  <si>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</si>
  <si>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</si>
  <si>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</si>
  <si>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</si>
  <si>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</si>
  <si>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</si>
  <si>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</si>
  <si>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</si>
  <si>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</si>
  <si>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</si>
  <si>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</si>
  <si>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</si>
  <si>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</si>
  <si>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</si>
  <si>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</si>
  <si>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</si>
  <si>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</si>
  <si>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</si>
  <si>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</si>
  <si>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</si>
  <si>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</si>
  <si>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</si>
  <si>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</si>
  <si>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</si>
  <si>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</si>
  <si>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</si>
  <si>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</si>
  <si>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</si>
  <si>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</si>
  <si>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</si>
  <si>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</si>
  <si>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</si>
  <si>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</si>
  <si>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</si>
  <si>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</si>
  <si>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</si>
  <si>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</si>
  <si>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</si>
  <si>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</si>
  <si>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</si>
  <si>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</si>
  <si>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</si>
  <si>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</si>
  <si>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</si>
  <si>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</si>
  <si>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</si>
  <si>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</si>
  <si>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</si>
  <si>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</si>
  <si>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</si>
  <si>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</si>
  <si>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</si>
  <si>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</si>
  <si>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</si>
  <si>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</si>
  <si>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</si>
  <si>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</si>
  <si>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</si>
  <si>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</si>
  <si>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</si>
  <si>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</si>
  <si>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</si>
  <si>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</si>
  <si>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</si>
  <si>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</si>
  <si>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</si>
  <si>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</si>
  <si>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</si>
  <si>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</si>
  <si>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</si>
  <si>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</si>
  <si>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</si>
  <si>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</si>
  <si>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</si>
  <si>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</si>
  <si>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</si>
  <si>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</si>
  <si>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</si>
  <si>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</si>
  <si>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</si>
  <si>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</si>
  <si>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</si>
  <si>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</si>
  <si>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</si>
  <si>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</si>
  <si>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</si>
  <si>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</si>
  <si>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</si>
  <si>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</si>
  <si>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</si>
  <si>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</si>
  <si>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</si>
  <si>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</si>
  <si>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</si>
  <si>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</si>
  <si>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</si>
  <si>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</si>
  <si>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</si>
  <si>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</si>
  <si>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</si>
  <si>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</si>
  <si>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</si>
  <si>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</si>
  <si>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</si>
  <si>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</si>
  <si>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</si>
  <si>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</si>
  <si>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</si>
  <si>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</si>
  <si>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</si>
  <si>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</si>
  <si>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</si>
  <si>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</si>
  <si>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</si>
  <si>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</si>
  <si>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</si>
  <si>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</si>
  <si>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</si>
  <si>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</si>
  <si>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</si>
  <si>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</si>
  <si>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</si>
  <si>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</si>
  <si>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</si>
  <si>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</si>
  <si>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</si>
  <si>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</si>
  <si>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</si>
  <si>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</si>
  <si>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</si>
  <si>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</si>
  <si>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</si>
  <si>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</si>
  <si>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</si>
  <si>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</si>
  <si>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</si>
  <si>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</si>
  <si>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</si>
  <si>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</si>
  <si>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</si>
  <si>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</si>
  <si>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</si>
  <si>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</si>
  <si>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</si>
  <si>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</si>
  <si>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</si>
  <si>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</si>
  <si>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</si>
  <si>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</si>
  <si>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</si>
  <si>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</si>
  <si>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</si>
  <si>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</si>
  <si>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</si>
  <si>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</si>
  <si>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</si>
  <si>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</si>
  <si>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</si>
  <si>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</si>
  <si>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</si>
  <si>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</si>
  <si>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</si>
  <si>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</si>
  <si>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</si>
  <si>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</si>
  <si>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</si>
  <si>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</si>
  <si>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</si>
  <si>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</si>
  <si>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</si>
  <si>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</si>
  <si>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</si>
  <si>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</si>
  <si>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</si>
  <si>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</si>
  <si>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</si>
  <si>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</si>
  <si>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</si>
  <si>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</si>
  <si>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</si>
  <si>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</si>
  <si>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</si>
  <si>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</si>
  <si>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</si>
  <si>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</si>
  <si>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</si>
  <si>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</si>
  <si>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</si>
  <si>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</si>
  <si>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</si>
  <si>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</si>
  <si>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</si>
  <si>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</si>
  <si>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</si>
  <si>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</si>
  <si>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</si>
  <si>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</si>
  <si>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</si>
  <si>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</si>
  <si>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</si>
  <si>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</si>
  <si>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</si>
  <si>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</si>
  <si>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</si>
  <si>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</si>
  <si>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</si>
  <si>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</si>
  <si>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</si>
  <si>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</si>
  <si>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</si>
  <si>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</si>
  <si>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</si>
  <si>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</si>
  <si>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</si>
  <si>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</si>
  <si>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</si>
  <si>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</si>
  <si>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</si>
  <si>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</si>
  <si>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</si>
  <si>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</si>
  <si>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</si>
  <si>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</si>
  <si>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</si>
  <si>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</si>
  <si>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</si>
  <si>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</si>
  <si>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</si>
  <si>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</si>
  <si>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</si>
  <si>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</si>
  <si>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</si>
  <si>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</si>
  <si>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</si>
  <si>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</si>
  <si>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</si>
  <si>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</si>
  <si>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</si>
  <si>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</si>
  <si>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</si>
  <si>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</si>
  <si>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</si>
  <si>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</si>
  <si>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</si>
  <si>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</si>
  <si>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</si>
  <si>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</si>
  <si>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</si>
  <si>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</si>
  <si>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</si>
  <si>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</si>
  <si>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</si>
  <si>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</si>
  <si>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</si>
  <si>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</si>
  <si>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</si>
  <si>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</si>
  <si>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</si>
  <si>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</si>
  <si>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</si>
  <si>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</si>
  <si>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</si>
  <si>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</si>
  <si>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</si>
  <si>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</si>
  <si>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</si>
  <si>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</si>
  <si>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</si>
  <si>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</si>
  <si>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</si>
  <si>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</si>
  <si>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</si>
  <si>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</si>
  <si>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</si>
  <si>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</si>
  <si>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</si>
  <si>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</si>
  <si>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</si>
  <si>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</si>
  <si>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</si>
  <si>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</si>
  <si>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</si>
  <si>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</si>
  <si>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</si>
  <si>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</si>
  <si>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</si>
  <si>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</si>
  <si>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</si>
  <si>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</si>
  <si>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</si>
  <si>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</si>
  <si>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</si>
  <si>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</si>
  <si>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</si>
  <si>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</si>
  <si>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</si>
  <si>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</si>
  <si>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</si>
  <si>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</si>
  <si>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</si>
  <si>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</si>
  <si>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</si>
  <si>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</si>
  <si>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</si>
  <si>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</si>
  <si>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</si>
  <si>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</si>
  <si>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</si>
  <si>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</si>
  <si>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</si>
  <si>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</si>
  <si>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</si>
  <si>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</si>
  <si>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</si>
  <si>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</si>
  <si>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</si>
  <si>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</si>
  <si>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</si>
  <si>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</si>
  <si>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</si>
  <si>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</si>
  <si>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</si>
  <si>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</si>
  <si>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</si>
  <si>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</si>
  <si>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</si>
  <si>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</si>
  <si>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</si>
  <si>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</si>
  <si>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</si>
  <si>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</si>
  <si>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</si>
  <si>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</si>
  <si>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</si>
  <si>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</si>
  <si>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</si>
  <si>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</si>
  <si>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</si>
  <si>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</si>
  <si>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</si>
  <si>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</si>
  <si>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</si>
  <si>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</si>
  <si>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</si>
  <si>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</si>
  <si>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</si>
  <si>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</si>
  <si>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</si>
  <si>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</si>
  <si>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</si>
  <si>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</si>
  <si>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</si>
  <si>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</si>
  <si>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</si>
  <si>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</si>
  <si>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</si>
  <si>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</si>
  <si>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</si>
  <si>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</si>
  <si>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</si>
  <si>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</si>
  <si>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</si>
  <si>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</si>
  <si>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</si>
  <si>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</si>
  <si>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</si>
  <si>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</si>
  <si>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</si>
  <si>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</si>
  <si>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</si>
  <si>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</si>
  <si>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</si>
  <si>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</si>
  <si>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</si>
  <si>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</si>
  <si>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</si>
  <si>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</si>
  <si>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</si>
  <si>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</si>
  <si>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</si>
  <si>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</si>
  <si>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</si>
  <si>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</si>
  <si>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</si>
  <si>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</si>
  <si>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</si>
  <si>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</si>
  <si>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</si>
  <si>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</si>
  <si>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</si>
  <si>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</si>
  <si>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</si>
  <si>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</si>
  <si>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</si>
  <si>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</si>
  <si>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</si>
  <si>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</si>
  <si>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</si>
  <si>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</si>
  <si>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</si>
  <si>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</si>
  <si>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</si>
  <si>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</si>
  <si>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</si>
  <si>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</si>
  <si>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</si>
  <si>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</si>
  <si>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</si>
  <si>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</si>
  <si>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</si>
  <si>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</si>
  <si>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</si>
  <si>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</si>
  <si>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</si>
  <si>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</si>
  <si>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</si>
  <si>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</si>
  <si>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</si>
  <si>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</si>
  <si>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</si>
  <si>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</si>
  <si>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</si>
  <si>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</si>
  <si>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</si>
  <si>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</si>
  <si>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</si>
  <si>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</si>
  <si>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</si>
  <si>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</si>
  <si>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</si>
  <si>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</si>
  <si>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</si>
  <si>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</si>
  <si>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</si>
  <si>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</si>
  <si>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</si>
  <si>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</si>
  <si>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</si>
  <si>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</si>
  <si>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</si>
  <si>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</si>
  <si>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</si>
  <si>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</si>
  <si>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</si>
  <si>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</si>
  <si>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</si>
  <si>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</si>
  <si>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</si>
  <si>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</si>
  <si>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</si>
  <si>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</si>
  <si>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</si>
  <si>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</si>
  <si>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</si>
  <si>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</si>
  <si>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</si>
  <si>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</si>
  <si>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</si>
  <si>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</si>
  <si>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</si>
  <si>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</si>
  <si>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</si>
  <si>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</si>
  <si>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</si>
  <si>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</si>
  <si>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</si>
  <si>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</si>
  <si>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</si>
  <si>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</si>
  <si>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</si>
  <si>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</si>
  <si>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</si>
  <si>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</si>
  <si>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</si>
  <si>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</si>
  <si>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</si>
  <si>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</si>
  <si>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</si>
  <si>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</si>
  <si>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</si>
  <si>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</si>
  <si>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</si>
  <si>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</si>
  <si>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</si>
  <si>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</si>
  <si>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</si>
  <si>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</si>
  <si>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</si>
  <si>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</si>
  <si>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</si>
  <si>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</si>
  <si>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</si>
  <si>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</si>
  <si>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</si>
  <si>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</si>
  <si>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</si>
  <si>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</si>
  <si>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</si>
  <si>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</si>
  <si>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</si>
  <si>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</si>
  <si>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</si>
  <si>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</si>
  <si>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</si>
  <si>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</si>
  <si>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</si>
  <si>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</si>
  <si>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</si>
  <si>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</si>
  <si>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</si>
  <si>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</si>
  <si>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</si>
  <si>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</si>
  <si>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</si>
  <si>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</si>
  <si>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</si>
  <si>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</si>
  <si>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</si>
  <si>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</si>
  <si>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</si>
  <si>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</si>
  <si>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</si>
  <si>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</si>
  <si>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</si>
  <si>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</si>
  <si>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</si>
  <si>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</si>
  <si>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</si>
  <si>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</si>
  <si>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</si>
  <si>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</si>
  <si>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</si>
  <si>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</si>
  <si>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</si>
  <si>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</si>
  <si>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</si>
  <si>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</si>
  <si>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</si>
  <si>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</si>
  <si>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</si>
  <si>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</si>
  <si>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</si>
  <si>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</si>
  <si>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</si>
  <si>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</si>
  <si>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</si>
  <si>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</si>
  <si>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</si>
  <si>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</si>
  <si>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</si>
  <si>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</si>
  <si>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</si>
  <si>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</si>
  <si>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</si>
  <si>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</si>
  <si>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</si>
  <si>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</si>
  <si>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</si>
  <si>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</si>
  <si>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</si>
  <si>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</si>
  <si>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</si>
  <si>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</si>
  <si>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</si>
  <si>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</si>
  <si>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</si>
  <si>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</si>
  <si>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</si>
  <si>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</si>
  <si>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</si>
  <si>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</si>
  <si>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</si>
  <si>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</si>
  <si>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</si>
  <si>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</si>
  <si>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</si>
  <si>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</si>
  <si>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</si>
  <si>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</si>
  <si>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</si>
  <si>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</si>
  <si>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</si>
  <si>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</si>
  <si>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</si>
  <si>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</si>
  <si>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</si>
  <si>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</si>
  <si>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</si>
  <si>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</si>
  <si>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</si>
  <si>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</si>
  <si>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</si>
  <si>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</si>
  <si>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</si>
  <si>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</si>
  <si>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</si>
  <si>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</si>
  <si>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</si>
  <si>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</si>
  <si>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</si>
  <si>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</si>
  <si>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</si>
  <si>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</si>
  <si>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</si>
  <si>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</si>
  <si>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</si>
  <si>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</si>
  <si>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</si>
  <si>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</si>
  <si>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</si>
  <si>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</si>
  <si>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</si>
  <si>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</si>
  <si>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</si>
  <si>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</si>
  <si>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</si>
  <si>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</si>
  <si>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</si>
  <si>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</si>
  <si>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</si>
  <si>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</si>
  <si>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</si>
  <si>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</si>
  <si>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</si>
  <si>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</si>
  <si>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</si>
  <si>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</si>
  <si>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</si>
  <si>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</si>
  <si>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</si>
  <si>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</si>
  <si>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</si>
  <si>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</si>
  <si>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</si>
  <si>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</si>
  <si>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</si>
  <si>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</si>
  <si>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</si>
  <si>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</si>
  <si>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</si>
  <si>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</si>
  <si>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</si>
  <si>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</si>
  <si>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</si>
  <si>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</si>
  <si>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</si>
  <si>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</si>
  <si>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</si>
  <si>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組入れ_対象疾患</t>
    <rPh sb="4" eb="6">
      <t>タイショウ</t>
    </rPh>
    <rPh sb="6" eb="8">
      <t>シッカン</t>
    </rPh>
    <phoneticPr fontId="8"/>
  </si>
  <si>
    <t>11_04</t>
    <phoneticPr fontId="8"/>
  </si>
  <si>
    <t>11_05</t>
    <phoneticPr fontId="8"/>
  </si>
  <si>
    <t>ENT_01_01</t>
    <phoneticPr fontId="8"/>
  </si>
  <si>
    <t>ENT_01_02</t>
    <phoneticPr fontId="8"/>
  </si>
  <si>
    <t>バックアップ_患者マスタ_組入れ第一条件</t>
    <rPh sb="7" eb="9">
      <t>カンジャ</t>
    </rPh>
    <phoneticPr fontId="8"/>
  </si>
  <si>
    <t>バックアップ_患者マスタ_組入れ第一条件</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</si>
  <si>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</si>
  <si>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</si>
  <si>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</si>
  <si>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</si>
  <si>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</si>
  <si>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</si>
  <si>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</si>
  <si>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</si>
  <si>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</si>
  <si>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</si>
  <si>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</si>
  <si>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</si>
  <si>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</si>
  <si>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</si>
  <si>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</si>
  <si>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</si>
  <si>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</si>
  <si>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</si>
  <si>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</si>
  <si>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</si>
  <si>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</si>
  <si>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</si>
  <si>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</si>
  <si>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</si>
  <si>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</si>
  <si>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</si>
  <si>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</si>
  <si>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</si>
  <si>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</si>
  <si>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</si>
  <si>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</si>
  <si>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</si>
  <si>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</si>
  <si>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</si>
  <si>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</si>
  <si>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</si>
  <si>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</si>
  <si>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</si>
  <si>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</si>
  <si>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</si>
  <si>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</si>
  <si>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</si>
  <si>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</si>
  <si>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</si>
  <si>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</si>
  <si>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</si>
  <si>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</si>
  <si>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</si>
  <si>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</si>
  <si>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</si>
  <si>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</si>
  <si>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</si>
  <si>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</si>
  <si>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</si>
  <si>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</si>
  <si>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</si>
  <si>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</si>
  <si>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</si>
  <si>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</si>
  <si>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</si>
  <si>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</si>
  <si>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</si>
  <si>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</si>
  <si>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</si>
  <si>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</si>
  <si>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</si>
  <si>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</si>
  <si>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</si>
  <si>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</si>
  <si>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</si>
  <si>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</si>
  <si>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</si>
  <si>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</si>
  <si>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</si>
  <si>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</si>
  <si>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</si>
  <si>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</si>
  <si>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</si>
  <si>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</si>
  <si>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</si>
  <si>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</si>
  <si>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</si>
  <si>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</si>
  <si>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</si>
  <si>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</si>
  <si>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</si>
  <si>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</si>
  <si>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</si>
  <si>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</si>
  <si>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</si>
  <si>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</si>
  <si>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</si>
  <si>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</si>
  <si>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</si>
  <si>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</si>
  <si>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</si>
  <si>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</si>
  <si>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</si>
  <si>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</si>
  <si>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</si>
  <si>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</si>
  <si>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</si>
  <si>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</si>
  <si>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</si>
  <si>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</si>
  <si>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</si>
  <si>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</si>
  <si>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milscm_2023_009</t>
    <phoneticPr fontId="11"/>
  </si>
  <si>
    <t>sny_202310</t>
    <phoneticPr fontId="8"/>
  </si>
  <si>
    <t>バックアップ_疾患データ_組み入れ第一条件</t>
    <rPh sb="7" eb="9">
      <t>シッカン</t>
    </rPh>
    <phoneticPr fontId="8"/>
  </si>
  <si>
    <t>診断履歴情報モジュール_診断病名レコード_結合</t>
    <phoneticPr fontId="8"/>
  </si>
  <si>
    <t>MML_診断履歴情報モジュール_病名</t>
    <phoneticPr fontId="8"/>
  </si>
  <si>
    <t>バックアップ_疾患データ_組み入れ第一条件</t>
    <phoneticPr fontId="8"/>
  </si>
  <si>
    <t>MML診断履歴情報からICD10コードがC900のもので絞り込んだ結果を格納するテーブル</t>
    <rPh sb="36" eb="38">
      <t>カクノウ</t>
    </rPh>
    <phoneticPr fontId="8"/>
  </si>
  <si>
    <t>shobyo_name_cd</t>
  </si>
  <si>
    <t>表示名</t>
    <rPh sb="0" eb="2">
      <t>ヒョウジ</t>
    </rPh>
    <rPh sb="2" eb="3">
      <t>メイ</t>
    </rPh>
    <phoneticPr fontId="0"/>
  </si>
  <si>
    <t>disp_name</t>
  </si>
  <si>
    <t>組入れ_対象診療行為</t>
  </si>
  <si>
    <t>組入れ_対象診療行為</t>
    <rPh sb="4" eb="6">
      <t>タイショウ</t>
    </rPh>
    <rPh sb="6" eb="10">
      <t>シンリョウコウイ</t>
    </rPh>
    <phoneticPr fontId="8"/>
  </si>
  <si>
    <t>バックアップ_診療行為データ</t>
  </si>
  <si>
    <t xml:space="preserve"> 染色体検査（ＦＩＳＨ法）</t>
  </si>
  <si>
    <t xml:space="preserve"> 染色体検査（その他）</t>
  </si>
  <si>
    <t xml:space="preserve"> 分染法加算（染色体検査）</t>
    <rPh sb="1" eb="2">
      <t>ブン</t>
    </rPh>
    <rPh sb="2" eb="3">
      <t>ゾメ</t>
    </rPh>
    <rPh sb="3" eb="4">
      <t>ホウ</t>
    </rPh>
    <rPh sb="4" eb="6">
      <t>カサン</t>
    </rPh>
    <rPh sb="7" eb="12">
      <t>センショクタイケンサ</t>
    </rPh>
    <phoneticPr fontId="3"/>
  </si>
  <si>
    <t>検査マスタ_組入れ.tsv</t>
    <phoneticPr fontId="8"/>
  </si>
  <si>
    <t>検査マスタ_組入れ</t>
    <phoneticPr fontId="8"/>
  </si>
  <si>
    <t>ファイル</t>
    <phoneticPr fontId="8"/>
  </si>
  <si>
    <t>組入れ_対象検体検査</t>
  </si>
  <si>
    <t>組入れ_対象検体検査</t>
    <rPh sb="4" eb="6">
      <t>タイショウ</t>
    </rPh>
    <rPh sb="6" eb="10">
      <t>ケンタイケンサ</t>
    </rPh>
    <phoneticPr fontId="8"/>
  </si>
  <si>
    <t>バックアップ_検歴情報モジュール_検歴情報</t>
  </si>
  <si>
    <t>バックアップ_検歴情報モジュール_検歴検体材料</t>
  </si>
  <si>
    <t>バックアップ_検歴情報モジュール_検歴項目情報</t>
  </si>
  <si>
    <t>11_06</t>
    <phoneticPr fontId="8"/>
  </si>
  <si>
    <t>11_07</t>
    <phoneticPr fontId="8"/>
  </si>
  <si>
    <t>施設別の患者数の集計結果を取得する。　※事前調査時点の544名と比較して同程度であるか確認する。</t>
    <rPh sb="0" eb="3">
      <t>シセツベツ</t>
    </rPh>
    <rPh sb="4" eb="7">
      <t>カンジャスウ</t>
    </rPh>
    <rPh sb="8" eb="12">
      <t>シュウケイケッカ</t>
    </rPh>
    <rPh sb="13" eb="15">
      <t>シュトク</t>
    </rPh>
    <rPh sb="20" eb="22">
      <t>ジゼン</t>
    </rPh>
    <rPh sb="22" eb="24">
      <t>チョウサ</t>
    </rPh>
    <rPh sb="24" eb="26">
      <t>ジテン</t>
    </rPh>
    <rPh sb="30" eb="31">
      <t>メイ</t>
    </rPh>
    <rPh sb="32" eb="34">
      <t>ヒカク</t>
    </rPh>
    <rPh sb="36" eb="39">
      <t>ドウテイド</t>
    </rPh>
    <rPh sb="43" eb="45">
      <t>カクニン</t>
    </rPh>
    <phoneticPr fontId="8"/>
  </si>
  <si>
    <t>施設マスタ</t>
    <rPh sb="0" eb="2">
      <t>シセツ</t>
    </rPh>
    <phoneticPr fontId="9"/>
  </si>
  <si>
    <t>患者マスタ</t>
    <rPh sb="0" eb="2">
      <t>カンジャ</t>
    </rPh>
    <phoneticPr fontId="9"/>
  </si>
  <si>
    <t>疾患マスタ</t>
    <rPh sb="0" eb="2">
      <t>シッカン</t>
    </rPh>
    <phoneticPr fontId="9"/>
  </si>
  <si>
    <t>薬剤マスタ</t>
    <rPh sb="0" eb="2">
      <t>ヤクザイ</t>
    </rPh>
    <phoneticPr fontId="9"/>
  </si>
  <si>
    <t>検体検査マスタ</t>
    <rPh sb="0" eb="4">
      <t>ケンタイケンサ</t>
    </rPh>
    <phoneticPr fontId="9"/>
  </si>
  <si>
    <t>組入れ_対象施設</t>
  </si>
  <si>
    <t>組入れ_対象患者</t>
  </si>
  <si>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</si>
  <si>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</si>
  <si>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</si>
  <si>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</si>
  <si>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</si>
  <si>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</si>
  <si>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</si>
  <si>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組入れ_対象施設</t>
    <phoneticPr fontId="8"/>
  </si>
  <si>
    <t>紐付けID</t>
    <rPh sb="0" eb="2">
      <t>ヒモヅ</t>
    </rPh>
    <phoneticPr fontId="2"/>
  </si>
  <si>
    <t>組入れ_対象疾患</t>
    <phoneticPr fontId="8"/>
  </si>
  <si>
    <t>組入れ_対象疾患</t>
    <phoneticPr fontId="8"/>
  </si>
  <si>
    <t>病名コード値</t>
  </si>
  <si>
    <t>組入れ_対象診療行為</t>
    <phoneticPr fontId="8"/>
  </si>
  <si>
    <t>組入れ_対象検体検査</t>
    <phoneticPr fontId="8"/>
  </si>
  <si>
    <t>組入れ_検体検査マスタ</t>
    <phoneticPr fontId="8"/>
  </si>
  <si>
    <t>組入れ_検体検査マスタ</t>
    <rPh sb="4" eb="6">
      <t>ケンタイ</t>
    </rPh>
    <phoneticPr fontId="8"/>
  </si>
  <si>
    <t>施設ID</t>
    <rPh sb="0" eb="2">
      <t>シセツ</t>
    </rPh>
    <phoneticPr fontId="6"/>
  </si>
  <si>
    <t>検査名</t>
  </si>
  <si>
    <t>検査名_施設固有コード</t>
  </si>
  <si>
    <t>item_code</t>
  </si>
  <si>
    <t>一般単位</t>
    <rPh sb="0" eb="2">
      <t>イッパン</t>
    </rPh>
    <phoneticPr fontId="12"/>
  </si>
  <si>
    <t>m_unit</t>
  </si>
  <si>
    <t>換算率</t>
    <rPh sb="0" eb="3">
      <t>カンザンリツ</t>
    </rPh>
    <phoneticPr fontId="8"/>
  </si>
  <si>
    <t>rate</t>
    <phoneticPr fontId="8"/>
  </si>
  <si>
    <t>実数</t>
    <rPh sb="0" eb="2">
      <t>ジッスウ</t>
    </rPh>
    <phoneticPr fontId="15"/>
  </si>
  <si>
    <t>単位</t>
    <phoneticPr fontId="12"/>
  </si>
  <si>
    <t>unit</t>
    <phoneticPr fontId="8"/>
  </si>
  <si>
    <t>表示名</t>
    <rPh sb="0" eb="2">
      <t>ヒョウジ</t>
    </rPh>
    <phoneticPr fontId="8"/>
  </si>
  <si>
    <t>disp_name</t>
    <phoneticPr fontId="8"/>
  </si>
  <si>
    <t>表示名</t>
    <rPh sb="0" eb="3">
      <t>ヒョウジメイ</t>
    </rPh>
    <phoneticPr fontId="8"/>
  </si>
  <si>
    <t>検査データのテーブルから組入れ条件で絞り込んだ結果を登録するテーブル</t>
    <rPh sb="0" eb="2">
      <t>ケンサ</t>
    </rPh>
    <phoneticPr fontId="8"/>
  </si>
  <si>
    <t>施設マスタ</t>
    <phoneticPr fontId="8"/>
  </si>
  <si>
    <t>施設データ利用可能開始日</t>
    <rPh sb="0" eb="2">
      <t>シセツ</t>
    </rPh>
    <rPh sb="5" eb="7">
      <t>リヨウ</t>
    </rPh>
    <rPh sb="7" eb="9">
      <t>カノウ</t>
    </rPh>
    <rPh sb="9" eb="12">
      <t>カイシビ</t>
    </rPh>
    <phoneticPr fontId="18"/>
  </si>
  <si>
    <t>施設データ利用可能終了日</t>
    <rPh sb="0" eb="2">
      <t>シセツ</t>
    </rPh>
    <rPh sb="5" eb="7">
      <t>リヨウ</t>
    </rPh>
    <rPh sb="7" eb="9">
      <t>カノウ</t>
    </rPh>
    <rPh sb="9" eb="11">
      <t>シュウリョウ</t>
    </rPh>
    <rPh sb="11" eb="12">
      <t>ビ</t>
    </rPh>
    <phoneticPr fontId="18"/>
  </si>
  <si>
    <t>facility_riyo_start</t>
    <phoneticPr fontId="8"/>
  </si>
  <si>
    <t>facility_riyo_end</t>
  </si>
  <si>
    <t>患者ID一覧マスタ</t>
    <phoneticPr fontId="8"/>
  </si>
  <si>
    <t>患者ID一覧マスタ</t>
    <phoneticPr fontId="8"/>
  </si>
  <si>
    <t>ICD10細区分</t>
    <rPh sb="5" eb="6">
      <t>サイ</t>
    </rPh>
    <rPh sb="6" eb="8">
      <t>クブン</t>
    </rPh>
    <phoneticPr fontId="8"/>
  </si>
  <si>
    <t>icd10_ss_cd</t>
    <phoneticPr fontId="8"/>
  </si>
  <si>
    <t>icd10_ss_name</t>
    <phoneticPr fontId="8"/>
  </si>
  <si>
    <t>バックアップ_処理対象施設マスタ</t>
    <rPh sb="7" eb="9">
      <t>ショリ</t>
    </rPh>
    <rPh sb="9" eb="11">
      <t>タイショウ</t>
    </rPh>
    <rPh sb="11" eb="13">
      <t>シセツ</t>
    </rPh>
    <phoneticPr fontId="8"/>
  </si>
  <si>
    <t>バックアップ_MML_検歴情報モジュール_本文</t>
    <phoneticPr fontId="8"/>
  </si>
  <si>
    <t>バックアップ_MML_検歴情報モジュール_報告コメント</t>
    <phoneticPr fontId="8"/>
  </si>
  <si>
    <t>バックアップ_MML_検歴情報モジュール_検体検査結果情報</t>
    <phoneticPr fontId="8"/>
  </si>
  <si>
    <t>バックアップ_MML_検歴情報モジュール_検体コメント</t>
    <phoneticPr fontId="8"/>
  </si>
  <si>
    <t>ENT_01_A6-18</t>
    <phoneticPr fontId="8"/>
  </si>
  <si>
    <t>ENT_01_A6-19</t>
    <phoneticPr fontId="8"/>
  </si>
  <si>
    <t>ENT_01_A6-20</t>
    <phoneticPr fontId="8"/>
  </si>
  <si>
    <t>ENT_01_A6-21</t>
    <phoneticPr fontId="8"/>
  </si>
  <si>
    <t>ENT_01_A6-22</t>
    <phoneticPr fontId="8"/>
  </si>
  <si>
    <t>ENT_01_A6-23</t>
    <phoneticPr fontId="8"/>
  </si>
  <si>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</si>
  <si>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</si>
  <si>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</si>
  <si>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</si>
  <si>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</si>
  <si>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</si>
  <si>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</si>
  <si>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</si>
  <si>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</si>
  <si>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</si>
  <si>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</si>
  <si>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</si>
  <si>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</si>
  <si>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</si>
  <si>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</si>
  <si>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</si>
  <si>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</si>
  <si>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</si>
  <si>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</si>
  <si>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</si>
  <si>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</si>
  <si>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</si>
  <si>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</si>
  <si>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</si>
  <si>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</si>
  <si>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</si>
  <si>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</si>
  <si>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</si>
  <si>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</si>
  <si>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</si>
  <si>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</si>
  <si>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</si>
  <si>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</si>
  <si>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</si>
  <si>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</si>
  <si>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</si>
  <si>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</si>
  <si>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</si>
  <si>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</si>
  <si>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</si>
  <si>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</si>
  <si>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</si>
  <si>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</si>
  <si>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</si>
  <si>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</si>
  <si>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</si>
  <si>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</si>
  <si>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</si>
  <si>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</si>
  <si>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</si>
  <si>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</si>
  <si>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</si>
  <si>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バックアップ_MML_検歴情報モジュール_検査項目</t>
    <phoneticPr fontId="8"/>
  </si>
  <si>
    <t>バックアップ_MML_検歴情報モジュール_検査項目コメント</t>
    <phoneticPr fontId="8"/>
  </si>
  <si>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</si>
  <si>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</si>
  <si>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</si>
  <si>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</si>
  <si>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</si>
  <si>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</si>
  <si>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</si>
  <si>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</si>
  <si>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</si>
  <si>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</si>
  <si>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</si>
  <si>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</si>
  <si>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</si>
  <si>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</si>
  <si>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</si>
  <si>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</si>
  <si>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</si>
  <si>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</si>
  <si>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</si>
  <si>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</si>
  <si>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</si>
  <si>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</si>
  <si>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</si>
  <si>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</si>
  <si>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</si>
  <si>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</si>
  <si>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</si>
  <si>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</si>
  <si>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</si>
  <si>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</si>
  <si>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</si>
  <si>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</si>
  <si>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</si>
  <si>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</si>
  <si>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</si>
  <si>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H：上限値超え
N：基準値範囲内
L：下限値未満
A：異常</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</si>
  <si>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</si>
  <si>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</si>
  <si>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</si>
  <si>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</si>
  <si>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</si>
  <si>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</si>
  <si>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</si>
  <si>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</si>
  <si>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</si>
  <si>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</si>
  <si>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01_A6-02-01</t>
    <phoneticPr fontId="8"/>
  </si>
  <si>
    <t>バックアップ_MML共通_名古屋第一_Lb登録</t>
    <rPh sb="13" eb="18">
      <t>ナゴヤダイイチ</t>
    </rPh>
    <phoneticPr fontId="8"/>
  </si>
  <si>
    <t>01_A6-18</t>
    <phoneticPr fontId="8"/>
  </si>
  <si>
    <t>MML_検歴情報モジュール_本文</t>
    <rPh sb="4" eb="6">
      <t>ケンレキ</t>
    </rPh>
    <rPh sb="6" eb="8">
      <t>ジョウホウ</t>
    </rPh>
    <rPh sb="14" eb="16">
      <t>ホンブン</t>
    </rPh>
    <phoneticPr fontId="11"/>
  </si>
  <si>
    <t>01_A6-19</t>
    <phoneticPr fontId="8"/>
  </si>
  <si>
    <t>MML_検歴情報モジュール_報告コメント</t>
    <rPh sb="4" eb="6">
      <t>ケンレキ</t>
    </rPh>
    <rPh sb="6" eb="8">
      <t>ジョウホウ</t>
    </rPh>
    <rPh sb="14" eb="16">
      <t>ホウコク</t>
    </rPh>
    <phoneticPr fontId="11"/>
  </si>
  <si>
    <t>01_A6-20</t>
    <phoneticPr fontId="8"/>
  </si>
  <si>
    <t>MML_検歴情報モジュール_検体検査結果情報</t>
    <phoneticPr fontId="11"/>
  </si>
  <si>
    <t>01_A6-21</t>
    <phoneticPr fontId="8"/>
  </si>
  <si>
    <t>MML_検歴情報モジュール_検体コメント</t>
    <phoneticPr fontId="11"/>
  </si>
  <si>
    <t>01_A6-22</t>
    <phoneticPr fontId="8"/>
  </si>
  <si>
    <t>MML_検歴情報モジュール_検査項目</t>
    <phoneticPr fontId="11"/>
  </si>
  <si>
    <t>01_A6-23</t>
    <phoneticPr fontId="8"/>
  </si>
  <si>
    <t>MML_検歴情報モジュール_検査項目コメント</t>
    <phoneticPr fontId="11"/>
  </si>
  <si>
    <t>バックアップ_MML_検歴情報モジュール_本文</t>
    <phoneticPr fontId="8"/>
  </si>
  <si>
    <t>バックアップ_MML_検歴情報モジュール_検体検査結果情報</t>
    <phoneticPr fontId="8"/>
  </si>
  <si>
    <t>バックアップ_MML_検歴情報モジュール_検査項目</t>
    <phoneticPr fontId="8"/>
  </si>
  <si>
    <t>11_08</t>
    <phoneticPr fontId="8"/>
  </si>
  <si>
    <t>specimen_name</t>
    <phoneticPr fontId="8"/>
  </si>
  <si>
    <t>バックアップ_処理対象施設マスタテーブルから組入れ条件で絞り込んだ結果を格納するテーブル</t>
    <phoneticPr fontId="8"/>
  </si>
  <si>
    <t>検査マスタ_組入れ.tsvを登録するテーブル</t>
    <phoneticPr fontId="8"/>
  </si>
  <si>
    <t>検査マスタ_組入れ.tsvを組入れ_検体検査マスタテーブルに登録する。</t>
    <rPh sb="30" eb="32">
      <t>トウロク</t>
    </rPh>
    <phoneticPr fontId="8"/>
  </si>
  <si>
    <t>バックアップ_疾患データ_組み入れ第一条件テーブルから組入れ条件で絞り込んだ結果を格納するテーブル</t>
    <phoneticPr fontId="8"/>
  </si>
  <si>
    <t>バックアップ_診療行為データテーブルから組入れ条件で絞り込んだ結果を格納するテーブル</t>
    <phoneticPr fontId="8"/>
  </si>
  <si>
    <t>組入れ_対象疾患テーブルから組入れ条件で絞り込んだ結果を格納するテーブル</t>
    <rPh sb="0" eb="2">
      <t>クミイ</t>
    </rPh>
    <rPh sb="4" eb="6">
      <t>タイショウ</t>
    </rPh>
    <rPh sb="6" eb="8">
      <t>シッカン</t>
    </rPh>
    <rPh sb="14" eb="16">
      <t>クミイ</t>
    </rPh>
    <rPh sb="17" eb="19">
      <t>ジョウケン</t>
    </rPh>
    <rPh sb="20" eb="21">
      <t>シボ</t>
    </rPh>
    <rPh sb="22" eb="23">
      <t>コ</t>
    </rPh>
    <rPh sb="25" eb="27">
      <t>ケッカ</t>
    </rPh>
    <rPh sb="28" eb="30">
      <t>カクノウ</t>
    </rPh>
    <phoneticPr fontId="8"/>
  </si>
  <si>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</si>
  <si>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</si>
  <si>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</si>
  <si>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</si>
  <si>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</si>
  <si>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</si>
  <si>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31_A6-18</t>
    <phoneticPr fontId="8"/>
  </si>
  <si>
    <t>バックアップ_MML_検歴情報モジュール_本文</t>
    <phoneticPr fontId="11"/>
  </si>
  <si>
    <t>31_A6-19</t>
    <phoneticPr fontId="8"/>
  </si>
  <si>
    <t>バックアップ_MML_検歴情報モジュール_報告コメント</t>
    <phoneticPr fontId="11"/>
  </si>
  <si>
    <t>31_A6-20</t>
    <phoneticPr fontId="8"/>
  </si>
  <si>
    <t>バックアップ_MML_検歴情報モジュール_検体検査結果情報</t>
    <phoneticPr fontId="11"/>
  </si>
  <si>
    <t>31_A6-21</t>
    <phoneticPr fontId="8"/>
  </si>
  <si>
    <t>バックアップ_MML_検歴情報モジュール_検体コメント</t>
    <phoneticPr fontId="11"/>
  </si>
  <si>
    <t>31_A6-22</t>
    <phoneticPr fontId="8"/>
  </si>
  <si>
    <t>バックアップ_MML_検歴情報モジュール_検査項目</t>
    <phoneticPr fontId="11"/>
  </si>
  <si>
    <t>31_A6-23</t>
    <phoneticPr fontId="8"/>
  </si>
  <si>
    <t>バックアップ_MML_検歴情報モジュール_検査項目コメント</t>
    <phoneticPr fontId="11"/>
  </si>
  <si>
    <t>ベース_MML_検歴情報モジュール_本文</t>
    <phoneticPr fontId="8"/>
  </si>
  <si>
    <t>ベース_MML_検歴情報モジュール_報告コメント</t>
    <phoneticPr fontId="8"/>
  </si>
  <si>
    <t>ベース_MML_検歴情報モジュール_検体検査結果情報</t>
    <phoneticPr fontId="8"/>
  </si>
  <si>
    <t>ベース_MML_検歴情報モジュール_検体コメント</t>
    <phoneticPr fontId="8"/>
  </si>
  <si>
    <t>ベース_MML_検歴情報モジュール_検査項目</t>
    <phoneticPr fontId="8"/>
  </si>
  <si>
    <t>ベース_MML_検歴情報モジュール_検査項目コメント</t>
    <phoneticPr fontId="8"/>
  </si>
  <si>
    <t>11_01-01</t>
    <phoneticPr fontId="8"/>
  </si>
  <si>
    <t>usage_start</t>
    <phoneticPr fontId="8"/>
  </si>
  <si>
    <t>usage_end</t>
    <phoneticPr fontId="8"/>
  </si>
  <si>
    <t>※【要件定義書】サノフィ様_MM.xlsx参照</t>
    <rPh sb="21" eb="23">
      <t>サンショウ</t>
    </rPh>
    <phoneticPr fontId="8"/>
  </si>
  <si>
    <t>11_05-01</t>
    <phoneticPr fontId="8"/>
  </si>
  <si>
    <t>組入れ_対象検体検査_対象患者</t>
    <rPh sb="4" eb="6">
      <t>タイショウ</t>
    </rPh>
    <rPh sb="6" eb="10">
      <t>ケンタイケンサ</t>
    </rPh>
    <rPh sb="11" eb="13">
      <t>タイショウ</t>
    </rPh>
    <rPh sb="13" eb="15">
      <t>カンジャ</t>
    </rPh>
    <phoneticPr fontId="8"/>
  </si>
  <si>
    <t>組入れ_対象検体検査_対象患者</t>
    <rPh sb="11" eb="15">
      <t>タイショウカンジャ</t>
    </rPh>
    <phoneticPr fontId="8"/>
  </si>
  <si>
    <t>組入れ_対象検体検査_対象患者</t>
    <phoneticPr fontId="8"/>
  </si>
  <si>
    <t>検査データのテーブルから組入れ条件（対象期間、表示名の種類）で絞り込んだ結果を登録するテーブル</t>
    <rPh sb="0" eb="2">
      <t>ケンサ</t>
    </rPh>
    <rPh sb="18" eb="22">
      <t>タイショウキカン</t>
    </rPh>
    <rPh sb="23" eb="26">
      <t>ヒョウジメイ</t>
    </rPh>
    <rPh sb="27" eb="29">
      <t>シュルイ</t>
    </rPh>
    <phoneticPr fontId="8"/>
  </si>
  <si>
    <t>日付</t>
    <rPh sb="0" eb="2">
      <t>ヒヅケ</t>
    </rPh>
    <phoneticPr fontId="1"/>
  </si>
  <si>
    <t>ENT_31_A1-02</t>
    <phoneticPr fontId="8"/>
  </si>
  <si>
    <t>ENT_31_A1-03</t>
    <phoneticPr fontId="8"/>
  </si>
  <si>
    <t>ENT_31_A1-06</t>
    <phoneticPr fontId="8"/>
  </si>
  <si>
    <t>ENT_31_A1-14</t>
    <phoneticPr fontId="8"/>
  </si>
  <si>
    <t>ENT_31_A6-02</t>
    <phoneticPr fontId="8"/>
  </si>
  <si>
    <t>ENT_31_A6-03</t>
    <phoneticPr fontId="8"/>
  </si>
  <si>
    <t>ENT_31_A6-04</t>
    <phoneticPr fontId="8"/>
  </si>
  <si>
    <t>ENT_31_A6-24</t>
    <phoneticPr fontId="8"/>
  </si>
  <si>
    <t>ENT_31_A6-25</t>
    <phoneticPr fontId="8"/>
  </si>
  <si>
    <t>ENT_31_A6-26</t>
    <phoneticPr fontId="8"/>
  </si>
  <si>
    <t>ENT_31_C1-02</t>
    <phoneticPr fontId="8"/>
  </si>
  <si>
    <t>ENT_31_C1-03</t>
    <phoneticPr fontId="8"/>
  </si>
  <si>
    <t>ENT_31_C1-05</t>
    <phoneticPr fontId="8"/>
  </si>
  <si>
    <t>ENT_31_C1-07</t>
    <phoneticPr fontId="8"/>
  </si>
  <si>
    <t>ENT_31_C1-08</t>
    <phoneticPr fontId="8"/>
  </si>
  <si>
    <t>ENT_31_C4-03</t>
    <phoneticPr fontId="8"/>
  </si>
  <si>
    <t>ENT_31_C4-04</t>
    <phoneticPr fontId="8"/>
  </si>
  <si>
    <t>ENT_31_C4-06</t>
    <phoneticPr fontId="8"/>
  </si>
  <si>
    <t>ENT_31_C4-07</t>
    <phoneticPr fontId="8"/>
  </si>
  <si>
    <t>ENT_31_C4-08</t>
    <phoneticPr fontId="8"/>
  </si>
  <si>
    <t>ENT_31_C4-15</t>
    <phoneticPr fontId="8"/>
  </si>
  <si>
    <t>ENT_31_C4-22</t>
    <phoneticPr fontId="8"/>
  </si>
  <si>
    <t>ENT_31_C4-23</t>
    <phoneticPr fontId="8"/>
  </si>
  <si>
    <t>ENT_31_C4-24</t>
    <phoneticPr fontId="8"/>
  </si>
  <si>
    <t>ENT_31_C4-25</t>
    <phoneticPr fontId="8"/>
  </si>
  <si>
    <t>ENT_31_C4-29</t>
    <phoneticPr fontId="8"/>
  </si>
  <si>
    <t>ENT_31_C4-30</t>
    <phoneticPr fontId="8"/>
  </si>
  <si>
    <t>ENT_31_C4-31</t>
    <phoneticPr fontId="8"/>
  </si>
  <si>
    <t>ENT_31_C4-33</t>
    <phoneticPr fontId="8"/>
  </si>
  <si>
    <t>ENT_31_C4-35</t>
    <phoneticPr fontId="8"/>
  </si>
  <si>
    <t>ENT_31_A6-18</t>
    <phoneticPr fontId="8"/>
  </si>
  <si>
    <t>ENT_31_A6-19</t>
    <phoneticPr fontId="8"/>
  </si>
  <si>
    <t>ENT_31_A6-20</t>
    <phoneticPr fontId="8"/>
  </si>
  <si>
    <t>ENT_31_A6-21</t>
    <phoneticPr fontId="8"/>
  </si>
  <si>
    <t>ENT_31_A6-22</t>
    <phoneticPr fontId="8"/>
  </si>
  <si>
    <t>ENT_31_A6-23</t>
    <phoneticPr fontId="8"/>
  </si>
  <si>
    <t>YYYYMM形式</t>
    <rPh sb="6" eb="8">
      <t>ケイシキ</t>
    </rPh>
    <phoneticPr fontId="8"/>
  </si>
  <si>
    <t>データ利用開始年月</t>
    <rPh sb="3" eb="5">
      <t>リヨウ</t>
    </rPh>
    <rPh sb="7" eb="9">
      <t>ネンゲツ</t>
    </rPh>
    <phoneticPr fontId="18"/>
  </si>
  <si>
    <t>データ利用終了年月</t>
    <rPh sb="3" eb="5">
      <t>リヨウ</t>
    </rPh>
    <rPh sb="5" eb="7">
      <t>シュウリョウ</t>
    </rPh>
    <rPh sb="7" eb="9">
      <t>ネンゲツ</t>
    </rPh>
    <phoneticPr fontId="18"/>
  </si>
  <si>
    <t>組入れ_対象施設のデータ利用開始年月、データ利用終了年月の値を更新する。</t>
    <rPh sb="12" eb="14">
      <t>リヨウ</t>
    </rPh>
    <rPh sb="14" eb="16">
      <t>カイシ</t>
    </rPh>
    <rPh sb="16" eb="18">
      <t>ネンゲツ</t>
    </rPh>
    <rPh sb="29" eb="30">
      <t>アタイ</t>
    </rPh>
    <phoneticPr fontId="8"/>
  </si>
  <si>
    <t>検体検査マスタ</t>
    <phoneticPr fontId="8"/>
  </si>
  <si>
    <t>施設マスクID</t>
  </si>
  <si>
    <t>facility_mask_id</t>
  </si>
  <si>
    <t>組入れ_対象施設テーブルに施設マスクIDを付与した結果を格納するテーブル</t>
    <phoneticPr fontId="8"/>
  </si>
  <si>
    <t>患者ID一覧マスタテーブルを施設IDと紐づけIDで集約し、マスクIDを付与した結果を格納するテーブル</t>
    <phoneticPr fontId="8"/>
  </si>
  <si>
    <t>マスクID</t>
  </si>
  <si>
    <t>mask_id</t>
  </si>
  <si>
    <t>紐付けID</t>
    <rPh sb="0" eb="1">
      <t>ヒモ</t>
    </rPh>
    <rPh sb="1" eb="2">
      <t>ヅ</t>
    </rPh>
    <phoneticPr fontId="29"/>
  </si>
  <si>
    <t>施設マスクID+紐づけIDの連番（4桁のゼロ埋め）</t>
    <rPh sb="8" eb="9">
      <t>ヒモ</t>
    </rPh>
    <rPh sb="14" eb="16">
      <t>レンバン</t>
    </rPh>
    <rPh sb="18" eb="19">
      <t>ケタ</t>
    </rPh>
    <rPh sb="22" eb="23">
      <t>ウ</t>
    </rPh>
    <phoneticPr fontId="9"/>
  </si>
  <si>
    <t>ICD10細区分名称</t>
    <rPh sb="6" eb="8">
      <t>クブン</t>
    </rPh>
    <rPh sb="8" eb="10">
      <t>メイショウ</t>
    </rPh>
    <phoneticPr fontId="8"/>
  </si>
  <si>
    <t>主傷病フラグ</t>
    <rPh sb="0" eb="3">
      <t>シュショウビョウ</t>
    </rPh>
    <phoneticPr fontId="9"/>
  </si>
  <si>
    <t>main_f</t>
  </si>
  <si>
    <t>1: 主傷病　2:併発症</t>
    <rPh sb="3" eb="6">
      <t>シュショウビョウ</t>
    </rPh>
    <rPh sb="9" eb="11">
      <t>ヘイハツ</t>
    </rPh>
    <rPh sb="11" eb="12">
      <t>ショウ</t>
    </rPh>
    <phoneticPr fontId="9"/>
  </si>
  <si>
    <t>iyakuhin_cd</t>
    <phoneticPr fontId="8"/>
  </si>
  <si>
    <t>医薬品名</t>
    <rPh sb="0" eb="4">
      <t>イヤクヒンメイ</t>
    </rPh>
    <phoneticPr fontId="11"/>
  </si>
  <si>
    <t>iyakuhin_name</t>
    <phoneticPr fontId="11"/>
  </si>
  <si>
    <t>表示名</t>
    <rPh sb="0" eb="2">
      <t>ヒョウジ</t>
    </rPh>
    <rPh sb="2" eb="3">
      <t>メイ</t>
    </rPh>
    <phoneticPr fontId="11"/>
  </si>
  <si>
    <t>disp_name</t>
    <phoneticPr fontId="11"/>
  </si>
  <si>
    <t>文字列</t>
    <rPh sb="0" eb="3">
      <t>モジレツ</t>
    </rPh>
    <phoneticPr fontId="15"/>
  </si>
  <si>
    <t>診療行為マスタ</t>
    <phoneticPr fontId="8"/>
  </si>
  <si>
    <t>診療行為マスタ</t>
    <rPh sb="0" eb="4">
      <t>シンリョウコウイ</t>
    </rPh>
    <phoneticPr fontId="9"/>
  </si>
  <si>
    <t>薬剤マスタ</t>
    <phoneticPr fontId="8"/>
  </si>
  <si>
    <t>エンティティ一覧</t>
    <phoneticPr fontId="8"/>
  </si>
  <si>
    <t>バックアップ_二次利用DB登録患者紐付けデータ</t>
    <rPh sb="7" eb="9">
      <t>ニジ</t>
    </rPh>
    <rPh sb="9" eb="11">
      <t>リヨウ</t>
    </rPh>
    <rPh sb="13" eb="15">
      <t>トウロク</t>
    </rPh>
    <rPh sb="15" eb="17">
      <t>カンジャ</t>
    </rPh>
    <rPh sb="17" eb="18">
      <t>ヒモ</t>
    </rPh>
    <rPh sb="18" eb="19">
      <t>ツ</t>
    </rPh>
    <phoneticPr fontId="11"/>
  </si>
  <si>
    <t>施設マスタ</t>
    <rPh sb="0" eb="2">
      <t>シセツ</t>
    </rPh>
    <phoneticPr fontId="8"/>
  </si>
  <si>
    <t>21_04</t>
    <phoneticPr fontId="8"/>
  </si>
  <si>
    <t>疾患マスタを疾患マスタに投入する。</t>
    <rPh sb="0" eb="2">
      <t>シッカン</t>
    </rPh>
    <rPh sb="12" eb="14">
      <t>トウニュウ</t>
    </rPh>
    <phoneticPr fontId="8"/>
  </si>
  <si>
    <t>21_05</t>
    <phoneticPr fontId="8"/>
  </si>
  <si>
    <t>薬剤マスタを薬剤マスタに投入する。</t>
    <rPh sb="12" eb="14">
      <t>トウニュウ</t>
    </rPh>
    <phoneticPr fontId="8"/>
  </si>
  <si>
    <t>21_06</t>
    <phoneticPr fontId="8"/>
  </si>
  <si>
    <t>検体検査マスタを検体検査マスタに投入する。</t>
    <rPh sb="16" eb="18">
      <t>トウニュウ</t>
    </rPh>
    <phoneticPr fontId="8"/>
  </si>
  <si>
    <t>21_07</t>
    <phoneticPr fontId="8"/>
  </si>
  <si>
    <t>診療行為マスタを診療行為マスタに投入する。</t>
    <rPh sb="16" eb="18">
      <t>トウニュウ</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</si>
</sst>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60">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0" xfId="1" applyFont="1" applyBorder="1">
      <alignment vertical="center"/>
    </xf>
    <xf numFmtId="0" fontId="25" fillId="0" borderId="21" xfId="1" applyFont="1" applyBorder="1" applyAlignment="1">
      <alignment vertical="center"/>
    </xf>
    <xf numFmtId="0" fontId="25" fillId="0" borderId="40" xfId="1" applyFont="1" applyBorder="1">
      <alignment vertical="center"/>
    </xf>
    <xf numFmtId="0" fontId="25" fillId="0" borderId="39" xfId="1" applyFont="1" applyBorder="1">
      <alignment vertical="center"/>
    </xf>
    <xf numFmtId="0" fontId="16" fillId="3" borderId="3" xfId="0" applyFont="1" applyFill="1" applyBorder="1" applyAlignment="1">
      <alignment vertical="center" wrapText="1"/>
    </xf>
    <xf numFmtId="0" fontId="14" fillId="0" borderId="3" xfId="0" applyFont="1" applyBorder="1" applyAlignment="1" applyProtection="1">
      <alignment horizontal="center" vertical="center"/>
    </xf>
    <xf numFmtId="0" fontId="25" fillId="0" borderId="21" xfId="1" applyFont="1" applyBorder="1" applyAlignment="1">
      <alignment vertical="center"/>
    </xf>
    <xf numFmtId="0" fontId="25" fillId="0" borderId="0"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47" xfId="1" applyFont="1" applyBorder="1">
      <alignment vertical="center"/>
    </xf>
    <xf numFmtId="0" fontId="25" fillId="0" borderId="43" xfId="1" applyFont="1" applyBorder="1">
      <alignment vertical="center"/>
    </xf>
    <xf numFmtId="0" fontId="25" fillId="0" borderId="5" xfId="1" applyFont="1" applyFill="1" applyBorder="1">
      <alignment vertical="center"/>
    </xf>
    <xf numFmtId="0" fontId="25" fillId="0" borderId="41" xfId="1" applyFont="1" applyFill="1" applyBorder="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4" fillId="4" borderId="42" xfId="8" applyFont="1" applyFill="1" applyBorder="1" applyAlignment="1">
      <alignment horizontal="center" vertical="top" wrapText="1"/>
    </xf>
    <xf numFmtId="0" fontId="14" fillId="4" borderId="41" xfId="8" applyFont="1" applyFill="1" applyBorder="1" applyAlignment="1">
      <alignment horizontal="center" vertical="top" wrapText="1"/>
    </xf>
    <xf numFmtId="0" fontId="14" fillId="4" borderId="43" xfId="8" applyFont="1" applyFill="1" applyBorder="1" applyAlignment="1">
      <alignment horizontal="center" vertical="top" wrapText="1"/>
    </xf>
    <xf numFmtId="0" fontId="14" fillId="4" borderId="58" xfId="8" quotePrefix="1" applyNumberFormat="1" applyFont="1" applyFill="1" applyBorder="1" applyAlignment="1">
      <alignment horizontal="center" vertical="top" wrapText="1"/>
    </xf>
    <xf numFmtId="0" fontId="14" fillId="4" borderId="41" xfId="8" quotePrefix="1" applyNumberFormat="1" applyFont="1" applyFill="1" applyBorder="1" applyAlignment="1">
      <alignment horizontal="center" vertical="top" wrapText="1"/>
    </xf>
    <xf numFmtId="0" fontId="14" fillId="4" borderId="43" xfId="8" quotePrefix="1" applyNumberFormat="1" applyFont="1" applyFill="1" applyBorder="1" applyAlignment="1">
      <alignment horizontal="center" vertical="top"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53" xfId="8" applyFont="1" applyFill="1" applyBorder="1" applyAlignment="1">
      <alignment vertical="top" wrapText="1"/>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4" fillId="4" borderId="43" xfId="8" applyFont="1" applyFill="1" applyBorder="1" applyAlignment="1">
      <alignment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styles" Target="styles.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sharedStrings" Target="sharedString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190" Type="http://schemas.openxmlformats.org/officeDocument/2006/relationships/worksheet" Target="worksheets/sheet190.xml"/><Relationship Id="rId204" Type="http://schemas.openxmlformats.org/officeDocument/2006/relationships/externalLink" Target="externalLinks/externalLink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6</xdr:col>
      <xdr:colOff>0</xdr:colOff>
      <xdr:row>29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26</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27</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1074</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1086</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1098</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1110</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1122</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1134</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1146</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1158</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1170</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1182</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1194</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1206</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1218</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1230</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1242</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1254</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1266</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1278</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1290</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1302</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1314</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1326</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1338</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1350</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1362</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1374</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1386</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1398</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1422</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1434</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1446</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1458</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1470</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1482</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1494</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1506</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1518</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1530</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1542</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1554</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1566</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1578</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1590</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1602</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1614</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162</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174</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627</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648</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660</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672</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738</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750</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762</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774</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786</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798</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810</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822</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834</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846</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858</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870</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882</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894</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906</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918</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930</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942</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954</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966</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978</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990</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1002</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1014</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1026</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1038</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1050</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1062</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32</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625</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1106521" cy="392415"/>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7829550" y="21431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xdr:row>
      <xdr:rowOff>0</xdr:rowOff>
    </xdr:from>
    <xdr:ext cx="1732462"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495800" y="1666875"/>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10</xdr:row>
      <xdr:rowOff>0</xdr:rowOff>
    </xdr:from>
    <xdr:ext cx="1732462"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495800" y="2381250"/>
          <a:ext cx="173246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コードが</a:t>
          </a:r>
          <a:r>
            <a:rPr kumimoji="1" lang="en-US" altLang="ja-JP" sz="1200" b="1">
              <a:solidFill>
                <a:srgbClr val="FF0000"/>
              </a:solidFill>
              <a:latin typeface="メイリオ" panose="020B0604030504040204" pitchFamily="50" charset="-128"/>
              <a:ea typeface="メイリオ" panose="020B0604030504040204" pitchFamily="50" charset="-128"/>
            </a:rPr>
            <a:t>C900</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15240</xdr:colOff>
      <xdr:row>11</xdr:row>
      <xdr:rowOff>228600</xdr:rowOff>
    </xdr:from>
    <xdr:ext cx="1183273"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3810000" y="28270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636</xdr:row>
      <xdr:rowOff>213360</xdr:rowOff>
    </xdr:from>
    <xdr:ext cx="4463081" cy="692497"/>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681</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690</xdr:row>
      <xdr:rowOff>213360</xdr:rowOff>
    </xdr:from>
    <xdr:ext cx="4463081" cy="392415"/>
    <xdr:sp macro="" textlink="">
      <xdr:nvSpPr>
        <xdr:cNvPr id="111" name="テキスト ボックス 110">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699</xdr:row>
      <xdr:rowOff>213360</xdr:rowOff>
    </xdr:from>
    <xdr:ext cx="4463081" cy="392415"/>
    <xdr:sp macro="" textlink="">
      <xdr:nvSpPr>
        <xdr:cNvPr id="112" name="テキスト ボックス 111">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708</xdr:row>
      <xdr:rowOff>213360</xdr:rowOff>
    </xdr:from>
    <xdr:ext cx="4463081" cy="392415"/>
    <xdr:sp macro="" textlink="">
      <xdr:nvSpPr>
        <xdr:cNvPr id="113" name="テキスト ボックス 112">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717</xdr:row>
      <xdr:rowOff>213360</xdr:rowOff>
    </xdr:from>
    <xdr:ext cx="4463081" cy="392415"/>
    <xdr:sp macro="" textlink="">
      <xdr:nvSpPr>
        <xdr:cNvPr id="114" name="テキスト ボックス 113">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726</xdr:row>
      <xdr:rowOff>213360</xdr:rowOff>
    </xdr:from>
    <xdr:ext cx="4463081" cy="392415"/>
    <xdr:sp macro="" textlink="">
      <xdr:nvSpPr>
        <xdr:cNvPr id="115" name="テキスト ボックス 114">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0</xdr:colOff>
      <xdr:row>170</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xdr:row>
      <xdr:rowOff>0</xdr:rowOff>
    </xdr:from>
    <xdr:ext cx="2185214"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4219575" y="4524375"/>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病名が「疑い」で終わらない</a:t>
          </a:r>
        </a:p>
      </xdr:txBody>
    </xdr:sp>
    <xdr:clientData/>
  </xdr:oneCellAnchor>
  <xdr:oneCellAnchor>
    <xdr:from>
      <xdr:col>6</xdr:col>
      <xdr:colOff>0</xdr:colOff>
      <xdr:row>40</xdr:row>
      <xdr:rowOff>0</xdr:rowOff>
    </xdr:from>
    <xdr:ext cx="2185214"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6667500"/>
          <a:ext cx="218521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以下の診療行為コードが存在</a:t>
          </a:r>
        </a:p>
      </xdr:txBody>
    </xdr:sp>
    <xdr:clientData/>
  </xdr:oneCellAnchor>
  <xdr:oneCellAnchor>
    <xdr:from>
      <xdr:col>11</xdr:col>
      <xdr:colOff>0</xdr:colOff>
      <xdr:row>30</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xdr:row>
      <xdr:rowOff>0</xdr:rowOff>
    </xdr:from>
    <xdr:ext cx="1183273"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7829550" y="5000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1183273"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4219575" y="1952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160</xdr:row>
      <xdr:rowOff>0</xdr:rowOff>
    </xdr:from>
    <xdr:ext cx="1183273"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4219575" y="20955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157</xdr:row>
      <xdr:rowOff>0</xdr:rowOff>
    </xdr:from>
    <xdr:ext cx="1183273"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78295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151</xdr:row>
      <xdr:rowOff>0</xdr:rowOff>
    </xdr:from>
    <xdr:ext cx="1183273"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7829550" y="1381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42</xdr:row>
      <xdr:rowOff>0</xdr:rowOff>
    </xdr:from>
    <xdr:ext cx="3860159"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11439525" y="10001250"/>
          <a:ext cx="38601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実施年月日がデータ利用期間内で絞り込み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12</xdr:col>
      <xdr:colOff>891540</xdr:colOff>
      <xdr:row>69</xdr:row>
      <xdr:rowOff>175260</xdr:rowOff>
    </xdr:from>
    <xdr:ext cx="1183273"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8183880" y="143484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82</xdr:row>
      <xdr:rowOff>0</xdr:rowOff>
    </xdr:from>
    <xdr:ext cx="1183273"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11439525" y="2381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76</xdr:row>
      <xdr:rowOff>0</xdr:rowOff>
    </xdr:from>
    <xdr:ext cx="1183273"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10144125" y="2238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4219575" y="2024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102</xdr:row>
      <xdr:rowOff>167640</xdr:rowOff>
    </xdr:from>
    <xdr:ext cx="1183273"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706374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79</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7040880" y="16535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73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7040880" y="15118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1183273"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200787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100</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22860</xdr:colOff>
      <xdr:row>111</xdr:row>
      <xdr:rowOff>167640</xdr:rowOff>
    </xdr:from>
    <xdr:ext cx="1183273"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817620" y="221361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109</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7040880" y="21496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97</xdr:row>
      <xdr:rowOff>0</xdr:rowOff>
    </xdr:from>
    <xdr:ext cx="1183273"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8206740" y="2078736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14</xdr:col>
      <xdr:colOff>0</xdr:colOff>
      <xdr:row>106</xdr:row>
      <xdr:rowOff>0</xdr:rowOff>
    </xdr:from>
    <xdr:ext cx="1183273"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9121140" y="229133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22860</xdr:colOff>
      <xdr:row>117</xdr:row>
      <xdr:rowOff>167640</xdr:rowOff>
    </xdr:from>
    <xdr:ext cx="1183273"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817620" y="2426208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115</xdr:row>
      <xdr:rowOff>0</xdr:rowOff>
    </xdr:from>
    <xdr:ext cx="1183273"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10287000" y="250393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xdr:row>
      <xdr:rowOff>0</xdr:rowOff>
    </xdr:from>
    <xdr:ext cx="1723549"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4219575" y="34766250"/>
          <a:ext cx="172354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施設が名古屋第一以外</a:t>
          </a:r>
        </a:p>
      </xdr:txBody>
    </xdr:sp>
    <xdr:clientData/>
  </xdr:oneCellAnchor>
  <xdr:oneCellAnchor>
    <xdr:from>
      <xdr:col>14</xdr:col>
      <xdr:colOff>0</xdr:colOff>
      <xdr:row>133</xdr:row>
      <xdr:rowOff>0</xdr:rowOff>
    </xdr:from>
    <xdr:ext cx="1106521"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11439525" y="3595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xdr:row>
      <xdr:rowOff>0</xdr:rowOff>
    </xdr:from>
    <xdr:ext cx="1415772"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4219575" y="36195000"/>
          <a:ext cx="141577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施設が名古屋第一</a:t>
          </a:r>
        </a:p>
      </xdr:txBody>
    </xdr:sp>
    <xdr:clientData/>
  </xdr:oneCellAnchor>
  <xdr:oneCellAnchor>
    <xdr:from>
      <xdr:col>14</xdr:col>
      <xdr:colOff>0</xdr:colOff>
      <xdr:row>129</xdr:row>
      <xdr:rowOff>0</xdr:rowOff>
    </xdr:from>
    <xdr:ext cx="3982116"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10144125" y="30718125"/>
          <a:ext cx="398211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患者、検査（表示名）で集約し、表示名が</a:t>
          </a:r>
          <a:r>
            <a:rPr kumimoji="1" lang="en-US" altLang="ja-JP" sz="1200" b="1">
              <a:solidFill>
                <a:srgbClr val="FF0000"/>
              </a:solidFill>
              <a:latin typeface="メイリオ" panose="020B0604030504040204" pitchFamily="50" charset="-128"/>
              <a:ea typeface="メイリオ" panose="020B0604030504040204" pitchFamily="50" charset="-128"/>
            </a:rPr>
            <a:t>3</a:t>
          </a:r>
          <a:r>
            <a:rPr kumimoji="1" lang="ja-JP" altLang="en-US" sz="1200" b="1">
              <a:solidFill>
                <a:srgbClr val="FF0000"/>
              </a:solidFill>
              <a:latin typeface="メイリオ" panose="020B0604030504040204" pitchFamily="50" charset="-128"/>
              <a:ea typeface="メイリオ" panose="020B0604030504040204" pitchFamily="50" charset="-128"/>
            </a:rPr>
            <a:t>種とも存在</a:t>
          </a:r>
        </a:p>
      </xdr:txBody>
    </xdr:sp>
    <xdr:clientData/>
  </xdr:oneCellAnchor>
  <xdr:oneCellAnchor>
    <xdr:from>
      <xdr:col>11</xdr:col>
      <xdr:colOff>0</xdr:colOff>
      <xdr:row>130</xdr:row>
      <xdr:rowOff>0</xdr:rowOff>
    </xdr:from>
    <xdr:ext cx="3706271"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7829550" y="3095625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11</xdr:col>
      <xdr:colOff>0</xdr:colOff>
      <xdr:row>136</xdr:row>
      <xdr:rowOff>0</xdr:rowOff>
    </xdr:from>
    <xdr:ext cx="3706271"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7829550" y="32385000"/>
          <a:ext cx="370627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r>
            <a:rPr kumimoji="1" lang="ja-JP" altLang="en-US" sz="1200" b="1">
              <a:solidFill>
                <a:srgbClr val="FF0000"/>
              </a:solidFill>
              <a:latin typeface="メイリオ" panose="020B0604030504040204" pitchFamily="50" charset="-128"/>
              <a:ea typeface="メイリオ" panose="020B0604030504040204" pitchFamily="50" charset="-128"/>
            </a:rPr>
            <a:t>採取日時がデータ利用期間内で絞り込み</a:t>
          </a:r>
          <a:r>
            <a:rPr kumimoji="1" lang="en-US" altLang="ja-JP"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46</xdr:row>
      <xdr:rowOff>0</xdr:rowOff>
    </xdr:from>
    <xdr:ext cx="3108543" cy="692497"/>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0538460" y="614172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7040880" y="850392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046220" y="803148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10538460" y="8267700"/>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56</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7040880" y="10866120"/>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受領ファイルの「薬剤マスタ」シート分を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66</xdr:row>
      <xdr:rowOff>0</xdr:rowOff>
    </xdr:from>
    <xdr:ext cx="3416320" cy="692497"/>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受領ファイルの「検体検査マスタ」シート分を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11</xdr:col>
      <xdr:colOff>0</xdr:colOff>
      <xdr:row>76</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7040880" y="1559052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受領ファイルの「診療行為マスタ」シート分を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201</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06_&#21307;&#34220;/10_&#21315;&#24180;&#12459;&#12523;&#12486;&#12503;&#12525;&#12472;&#12455;&#12463;&#12488;/02_MIS/&#20849;&#36890;/20_&#12487;&#12522;&#12496;&#12522;/12_&#26696;&#20214;&#31649;&#29702;/02_&#26696;&#20214;/2023_007_&#22633;&#37326;&#32681;_&#12480;&#12491;SLIT/12_&#35443;&#32048;&#20181;&#27096;/&#12304;2023_007_&#22633;&#37326;&#32681;_&#12480;&#12491;SLIT&#12305;&#12486;&#12540;&#12502;&#12523;&#19968;&#3523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データフロー_backup"/>
      <sheetName val="データフロー_enroll"/>
      <sheetName val="データフロー_mt"/>
      <sheetName val="データフロー_base"/>
      <sheetName val="データフロー_work"/>
      <sheetName val="エンティティ一覧"/>
      <sheetName val="バックアップ_処方データ_組入れ第一条件"/>
      <sheetName val="バックアップ_患者マスタ_組入れ第一条件"/>
      <sheetName val="バックアップ_処方データ"/>
      <sheetName val="バックアップ_診療行為データ"/>
      <sheetName val="バックアップ_疾患データ"/>
      <sheetName val="バックアップ_疾患診療科データ"/>
      <sheetName val="バックアップ_入院退院データ"/>
      <sheetName val="バックアップ_二次利用DB登録患者データ"/>
      <sheetName val="バックアップ_二次利用DB登録患者データ_DPC"/>
      <sheetName val="バックアップ_二次利用DB登録患者データ_レセプト"/>
      <sheetName val="バックアップ_二次利用DB登録患者データ_MML"/>
      <sheetName val="バックアップ_二次利用DB登録患者紐付けデータ"/>
      <sheetName val="バックアップ_エラー患者データ"/>
      <sheetName val="バックアップ_患者基本データ"/>
      <sheetName val="バックアップ_施設属性マスタ取込用"/>
      <sheetName val="バックアップ_二次医療圏マスタ取込用"/>
      <sheetName val="バックアップ_新旧医薬品コードマスタ取込用"/>
      <sheetName val="バックアップ_DPC6ICD10対応表マスタ取込用"/>
      <sheetName val="バックアップ_修飾語マスタ取込用"/>
      <sheetName val="バックアップ_コメントマスタ取込用"/>
      <sheetName val="バックアップ_成分量マスタ取込用"/>
      <sheetName val="バックアップ_成分名マスタ取込用"/>
      <sheetName val="バックアップ_単位マスタ取込用"/>
      <sheetName val="バックアップ_適応病名レセ病名組み合わせ関係リンクマスタ取込用"/>
      <sheetName val="BK_適応病名レセ病名組み合わせ関係リンク親子マスタ取込用"/>
      <sheetName val="バックアップ_適用病名マスタ取込用"/>
      <sheetName val="バックアップ_ＹＪコード医薬品コードリンクマスタ取込用"/>
      <sheetName val="バックアップ_診療行為付加情報マスタ取込用"/>
      <sheetName val="バックアップ_処理対象施設マスタ"/>
      <sheetName val="バックアップ_処理対象施設マスタ管理"/>
      <sheetName val="バックアップ_医薬品マスタ"/>
      <sheetName val="バックアップ_医薬品ブランドマスタ"/>
      <sheetName val="バックアップ_医薬品一般名マスタ"/>
      <sheetName val="バックアップ_医薬品販売会社マスタ"/>
      <sheetName val="バックアップ_メーカマスタ"/>
      <sheetName val="バックアップ_薬価マスタ"/>
      <sheetName val="バックアップ_薬効ATC分類1マスタ"/>
      <sheetName val="バックアップ_薬効ATC分類2マスタ"/>
      <sheetName val="バックアップ_薬効ATC分類3マスタ"/>
      <sheetName val="バックアップ_薬効ATC分類4マスタ"/>
      <sheetName val="バックアップ_薬効ATC分類5マスタ"/>
      <sheetName val="バックアップ_疾病マスタ"/>
      <sheetName val="バックアップ_ICD10大分類マスタ"/>
      <sheetName val="バックアップ_ICD10中分類マスタ"/>
      <sheetName val="バックアップ_ICD10小分類マスタ"/>
      <sheetName val="バックアップ_ICD10細分類マスタ"/>
      <sheetName val="バックアップ_DPC2桁マスタ"/>
      <sheetName val="バックアップ_DPC6桁マスタ"/>
      <sheetName val="バックアップ_郵便番号マスタ"/>
      <sheetName val="バックアップ_特定機材マスタ"/>
      <sheetName val="バックアップ_年度マスタ"/>
      <sheetName val="バックアップ_都道府県地方コードマスタ"/>
      <sheetName val="バックアップ_施設属性マスタ"/>
      <sheetName val="バックアップ_二次医療圏マスタ"/>
      <sheetName val="バックアップ_施設ID対応マスタ"/>
      <sheetName val="バックアップ_医薬品関連マスタ"/>
      <sheetName val="バックアップ_薬価関連マスタ"/>
      <sheetName val="バックアップ_診療行為関連マスタ"/>
      <sheetName val="バックアップ_特定器材関連マスタ"/>
      <sheetName val="バックアップ_DPC関連マスタ"/>
      <sheetName val="バックアップ_疾患関連マスタ"/>
      <sheetName val="バックアップ_医薬品成分関連マスタ"/>
      <sheetName val="バックアップ_医薬品適用病名関連マスタ"/>
      <sheetName val="バックアップ_MML共通"/>
      <sheetName val="バックアップ_MML_診断履歴情報モジュール_本文"/>
      <sheetName val="バックアップ_MML_診断履歴情報モジュール_病名"/>
      <sheetName val="バックアップ_MML_診断履歴情報モジュール_カテゴリ名"/>
      <sheetName val="バックアップ_MML_検歴情報モジュール_本文"/>
      <sheetName val="バックアップ_MML_検歴情報モジュール_報告コメント"/>
      <sheetName val="バックアップ_MML_検歴情報モジュール_検体検査結果情報"/>
      <sheetName val="バックアップ_MML_検歴情報モジュール_検体コメント"/>
      <sheetName val="バックアップ_MML_検歴情報モジュール_検査項目"/>
      <sheetName val="バックアップ_MML_検歴情報モジュール_検査項目コメント"/>
      <sheetName val="バックアップ_MML_処方箋モジュール_本文"/>
      <sheetName val="バックアップ_MML_処方箋モジュール_投薬"/>
      <sheetName val="バックアップ_MML_処方箋モジュール_薬剤"/>
      <sheetName val="バックアップ_MML_注射記録モジュール_本文"/>
      <sheetName val="バックアップ_MML_注射記録モジュール_投薬"/>
      <sheetName val="バックアップ_MML_注射記録モジュール_薬剤"/>
      <sheetName val="バックアップ_MML_手術モジュール_手術項目"/>
      <sheetName val="バックアップ_MML_手術モジュール_診療科情報"/>
      <sheetName val="バックアップ_MML_手術モジュール_診断履歴情報"/>
      <sheetName val="バックアップ_MML_手術モジュール_病名"/>
      <sheetName val="バックアップ_MML_手術モジュール_カテゴリ名"/>
      <sheetName val="バックアップ_MML_手術モジュール_手術法"/>
      <sheetName val="バックアップ_MML_手術モジュール_手術要素"/>
      <sheetName val="バックアップ_MML_手術モジュール_麻酔法"/>
      <sheetName val="バックアップ_MML_報告書情報モジュール_本文"/>
      <sheetName val="バックアップ_MML_報告書情報モジュール_検査コメント"/>
      <sheetName val="バックアップ_MML_生活習慣情報モジュール_本文"/>
      <sheetName val="バックアップ_MML_紹介状モジュール_本文"/>
      <sheetName val="バックアップ_MML_紹介状モジュール_注射記録"/>
      <sheetName val="バックアップ_MML_紹介状モジュール_注射記録投薬"/>
      <sheetName val="バックアップ_MML_紹介状モジュール_注射記録薬剤"/>
      <sheetName val="バックアップ_MML_紹介状モジュール_患者情報"/>
      <sheetName val="バックアップ_MML_紹介状モジュール_患者情報住所"/>
      <sheetName val="バックアップ_MML_紹介状モジュール_処方箋"/>
      <sheetName val="バックアップ_MML_紹介状モジュール_処方箋投薬"/>
      <sheetName val="バックアップ_MML_紹介状モジュール_処方箋薬剤"/>
      <sheetName val="BK_MML_紹介状モジュール_臨床サマリー情報経過記録"/>
      <sheetName val="バックアップ_MML_紹介状モジュール_診療科情報"/>
      <sheetName val="バックアップ_DPC調査データ_Dファイル"/>
      <sheetName val="バックアップ_DPC調査データ_入院EF統合ファイル"/>
      <sheetName val="バックアップ_DPC調査データ_外来EF統合ファイル"/>
      <sheetName val="バックアップ_DPC調査データ_Hファイル"/>
      <sheetName val="バックアップ_DPC調査データ_様式1"/>
      <sheetName val="バックアップ_DPC調査データ_様式1_診断情報_併存症"/>
      <sheetName val="バックアップ_DPC調査データ_様式1_診断情報_続発症"/>
      <sheetName val="バックアップ_医科レセプト_医療機関情報レコード"/>
      <sheetName val="バックアップ_医科レセプト_レセプト共通レコード"/>
      <sheetName val="バックアップ_医科レセプト_傷病名レコード"/>
      <sheetName val="バックアップ_医科レセプト_診療行為レコード"/>
      <sheetName val="バックアップ_医科レセプト_診療行為レコード_算定日情報"/>
      <sheetName val="バックアップ_医科レセプト_医薬品レコード"/>
      <sheetName val="バックアップ_医科レセプト_医薬品レコード_算定日情報"/>
      <sheetName val="バックアップ_医科レセプト_臓器提供者レセプト情報レコード"/>
      <sheetName val="バックアップ_DPCレセプト_医療機関情報レコード"/>
      <sheetName val="バックアップ_DPCレセプト_レセプト共通レコード"/>
      <sheetName val="バックアップ_DPCレセプト_診断群分類レコード"/>
      <sheetName val="バックアップ_DPCレセプト_傷病レコード"/>
      <sheetName val="バックアップ_DPCレセプト_傷病名レコード"/>
      <sheetName val="バックアップ_DPCレセプト_診療行為レコード"/>
      <sheetName val="バックアップ_DPCレセプト_診療行為レコード_算定日情報"/>
      <sheetName val="バックアップ_DPCレセプト_医薬品レコード"/>
      <sheetName val="バックアップ_DPCレセプト_医薬品レコード_算定日情報"/>
      <sheetName val="バックアップ_DPCレセプト_臓器提供者レセプト情報レコード"/>
      <sheetName val="バックアップ_患者情報モジュール_患者情報"/>
      <sheetName val="バックアップ_診断履歴情報モジュール_診断履歴情報レコード"/>
      <sheetName val="バックアップ_診断履歴情報モジュール_診断病名レコード"/>
      <sheetName val="バックアップ_診断履歴情報モジュール_診断分類レコード"/>
      <sheetName val="バックアップ_経過記録情報モジュール_経過記録情報レコード"/>
      <sheetName val="バックアップ_経過記録情報モジュール_プロブレムレコード"/>
      <sheetName val="バックアップ_経過記録情報モジュール_身体所見レコード"/>
      <sheetName val="バックアップ_経過記録情報モジュール_アセスメントレコード"/>
      <sheetName val="バックアップ_経過記録情報モジュール_外部参照レコード"/>
      <sheetName val="バックアップ_臨床サマリーモジュール_臨床サマリー情報レコード"/>
      <sheetName val="バックアップ_臨床サマリーモジュール_外来受診レコード"/>
      <sheetName val="バックアップ_臨床サマリーモジュール_入院レコード"/>
      <sheetName val="バックアップ_臨床サマリーモジュール_経過記録レコード"/>
      <sheetName val="バックアップ_臨床サマリーモジュール_検査結果レコード"/>
      <sheetName val="バックアップ_検歴情報モジュール_検歴情報"/>
      <sheetName val="バックアップ_検歴情報モジュール_検歴検体材料"/>
      <sheetName val="バックアップ_検歴情報モジュール_検歴項目情報"/>
      <sheetName val="バックアップ_バイタルサインモジュール_バイタルサイン"/>
      <sheetName val="バックアップ_バイタルサインモジュール_記録項目"/>
      <sheetName val="バックアップ_体温表モジュール_バイタルサイン"/>
      <sheetName val="バックアップ_体温表モジュール_記録項目"/>
      <sheetName val="組入れ_対象施設"/>
      <sheetName val="組入れ_対象疾患"/>
      <sheetName val="組入れ_対象処方"/>
      <sheetName val="組入れ_対象患者"/>
      <sheetName val="患者ID一覧マスタ"/>
      <sheetName val="施設マスタ"/>
      <sheetName val="患者マスタ"/>
      <sheetName val="疾患マスタ"/>
      <sheetName val="薬剤マスタ"/>
      <sheetName val="検体検査マスタ"/>
      <sheetName val="ベース_処方データ"/>
      <sheetName val="ベース_診療行為データ"/>
      <sheetName val="ベース_疾患データ"/>
      <sheetName val="ベース_入院退院データ"/>
      <sheetName val="ベース_患者基本データ"/>
      <sheetName val="ベース_MML共通"/>
      <sheetName val="ベース_MML_診断履歴情報モジュール_本文"/>
      <sheetName val="ベース_MML_診断履歴情報モジュール_病名"/>
      <sheetName val="ベース_MML_検歴情報モジュール_本文"/>
      <sheetName val="ベース_MML_検歴情報モジュール_報告コメント"/>
      <sheetName val="ベース_MML_検歴情報モジュール_検体検査結果情報"/>
      <sheetName val="ベース_MML_検歴情報モジュール_検体コメント"/>
      <sheetName val="ベース_MML_検歴情報モジュール_検査項目"/>
      <sheetName val="ベース_MML_検歴情報モジュール_検査項目コメント"/>
      <sheetName val="ベース_MML_処方箋モジュール_本文"/>
      <sheetName val="ベース_MML_処方箋モジュール_投薬"/>
      <sheetName val="ベース_MML_処方箋モジュール_薬剤"/>
      <sheetName val="ベース_DPC調査データ_入院EF統合ファイル"/>
      <sheetName val="ベース_DPC調査データ_外来EF統合ファイル"/>
      <sheetName val="ベース_DPC調査データ_様式1"/>
      <sheetName val="ベース_DPC調査データ_様式1_診断情報_併存症"/>
      <sheetName val="ベース_DPC調査データ_様式1_診断情報_続発症"/>
      <sheetName val="ベース_診断履歴情報モジュール_診断履歴情報レコード"/>
      <sheetName val="ベース_診断履歴情報モジュール_診断病名レコード"/>
      <sheetName val="ベース_経過記録情報モジュール_経過記録情報レコード"/>
      <sheetName val="ベース_経過記録情報モジュール_プロブレムレコード"/>
      <sheetName val="ベース_経過記録情報モジュール_身体所見レコード"/>
      <sheetName val="ベース_経過記録情報モジュール_アセスメントレコード"/>
      <sheetName val="ベース_経過記録情報モジュール_外部参照レコード"/>
      <sheetName val="ベース_臨床サマリーモジュール_臨床サマリー情報レコード"/>
      <sheetName val="ベース_臨床サマリーモジュール_外来受診レコード"/>
      <sheetName val="ベース_臨床サマリーモジュール_入院レコード"/>
      <sheetName val="ベース_臨床サマリーモジュール_経過記録レコード"/>
      <sheetName val="ベース_臨床サマリーモジュール_検査結果レコード"/>
      <sheetName val="ベース_検歴情報モジュール_検歴情報"/>
      <sheetName val="ベース_検歴情報モジュール_検歴検体材料"/>
      <sheetName val="ベース_検歴情報モジュール_検歴項目情報"/>
      <sheetName val="ワーク_患者基本データ_DPC"/>
      <sheetName val="ワーク_患者基本データ_RCP_MML"/>
      <sheetName val="ワーク_疾患データ_DPC"/>
      <sheetName val="ワーク_疾患データ_RCP"/>
    </sheetNames>
    <sheetDataSet>
      <sheetData sheetId="0"/>
      <sheetData sheetId="1"/>
      <sheetData sheetId="2"/>
      <sheetData sheetId="3"/>
      <sheetData sheetId="4"/>
      <sheetData sheetId="5"/>
      <sheetData sheetId="6">
        <row r="2">
          <cell r="O2" t="str">
            <v>milscm_2023_007</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8"/>
  <sheetViews>
    <sheetView showGridLines="0" topLeftCell="A22" zoomScaleNormal="100" workbookViewId="0">
      <selection activeCell="C39" sqref="C39"/>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8"/>
      <c r="W3" s="35" t="str">
        <f>"-- "&amp;B3&amp;" : "&amp;C3</f>
        <v>-- SQL_ID : 01_01</v>
      </c>
    </row>
    <row r="4" spans="2:23" ht="18.75" customHeight="1">
      <c r="B4" s="43" t="s">
        <v>158</v>
      </c>
      <c r="C4" s="118" t="str">
        <f>R7&amp;"登録"</f>
        <v>バックアップ_疾患データ_組み入れ第一条件登録</v>
      </c>
      <c r="D4" s="119"/>
      <c r="E4" s="119"/>
      <c r="F4" s="119"/>
      <c r="G4" s="119"/>
      <c r="H4" s="119"/>
      <c r="I4" s="119"/>
      <c r="J4" s="119"/>
      <c r="K4" s="119"/>
      <c r="L4" s="119"/>
      <c r="M4" s="119"/>
      <c r="N4" s="119"/>
      <c r="O4" s="119"/>
      <c r="P4" s="119"/>
      <c r="Q4" s="119"/>
      <c r="R4" s="119"/>
      <c r="S4" s="119"/>
      <c r="T4" s="119"/>
      <c r="U4" s="120"/>
      <c r="W4" s="35" t="str">
        <f>"-- "&amp;C4</f>
        <v>-- バックアップ_疾患データ_組み入れ第一条件登録</v>
      </c>
    </row>
    <row r="5" spans="2:23" ht="18.75" customHeight="1">
      <c r="B5" s="43" t="s">
        <v>159</v>
      </c>
      <c r="C5" s="121" t="str">
        <f>"MML診断履歴情報モジュールからICD10コードがC900のもので絞り込んだ結果の一覧を"&amp;R7&amp;"テーブルに格納する。"</f>
        <v>MML診断履歴情報モジュールからICD10コードがC900のもので絞り込んだ結果の一覧をバックアップ_疾患データ_組み入れ第一条件テーブルに格納する。</v>
      </c>
      <c r="D5" s="122"/>
      <c r="E5" s="122"/>
      <c r="F5" s="122"/>
      <c r="G5" s="122"/>
      <c r="H5" s="122"/>
      <c r="I5" s="122"/>
      <c r="J5" s="122"/>
      <c r="K5" s="122"/>
      <c r="L5" s="122"/>
      <c r="M5" s="122"/>
      <c r="N5" s="122"/>
      <c r="O5" s="122"/>
      <c r="P5" s="122"/>
      <c r="Q5" s="122"/>
      <c r="R5" s="122"/>
      <c r="S5" s="122"/>
      <c r="T5" s="122"/>
      <c r="U5" s="123"/>
      <c r="W5" s="35" t="str">
        <f>"-- "&amp;C5</f>
        <v>-- MML診断履歴情報モジュールからICD10コードがC900のもので絞り込んだ結果の一覧をバックアップ_疾患データ_組み入れ第一条件テーブルに格納する。</v>
      </c>
    </row>
    <row r="7" spans="2:23" ht="18.75" customHeight="1">
      <c r="C7" s="110" t="s">
        <v>3790</v>
      </c>
      <c r="D7" s="111"/>
      <c r="E7" s="116" t="s">
        <v>162</v>
      </c>
      <c r="F7" s="36"/>
      <c r="G7" s="36"/>
      <c r="H7" s="36"/>
      <c r="I7" s="36"/>
      <c r="J7" s="36"/>
      <c r="M7" s="36"/>
      <c r="N7" s="36"/>
      <c r="O7" s="36"/>
      <c r="P7" s="36"/>
      <c r="Q7" s="36"/>
      <c r="R7" s="110" t="s">
        <v>3789</v>
      </c>
      <c r="S7" s="111"/>
      <c r="T7" s="114" t="str">
        <f>エンティティ一覧!$O$2</f>
        <v>milscm_2023_009</v>
      </c>
    </row>
    <row r="8" spans="2:23" ht="18.75" customHeight="1">
      <c r="C8" s="112"/>
      <c r="D8" s="113"/>
      <c r="E8" s="117"/>
      <c r="F8" s="37"/>
      <c r="G8" s="37"/>
      <c r="H8" s="37"/>
      <c r="I8" s="37"/>
      <c r="J8" s="37"/>
      <c r="K8" s="37"/>
      <c r="L8" s="38"/>
      <c r="M8" s="37"/>
      <c r="N8" s="37"/>
      <c r="O8" s="37"/>
      <c r="P8" s="37"/>
      <c r="Q8" s="37"/>
      <c r="R8" s="112"/>
      <c r="S8" s="113"/>
      <c r="T8" s="115"/>
    </row>
    <row r="9" spans="2:23" ht="18.75" customHeight="1">
      <c r="K9" s="39"/>
      <c r="L9" s="40"/>
    </row>
    <row r="10" spans="2:23" ht="18.75" customHeight="1">
      <c r="C10" s="110" t="s">
        <v>3791</v>
      </c>
      <c r="D10" s="111"/>
      <c r="E10" s="116" t="s">
        <v>162</v>
      </c>
      <c r="F10" s="36"/>
      <c r="G10" s="36"/>
      <c r="H10" s="36"/>
      <c r="I10" s="36"/>
      <c r="J10" s="36"/>
      <c r="L10" s="41"/>
    </row>
    <row r="11" spans="2:23" ht="18.75" customHeight="1">
      <c r="C11" s="112"/>
      <c r="D11" s="113"/>
      <c r="E11" s="117"/>
      <c r="F11" s="37"/>
      <c r="G11" s="38"/>
      <c r="H11" s="37"/>
      <c r="I11" s="37"/>
      <c r="J11" s="37"/>
      <c r="K11" s="37"/>
    </row>
    <row r="12" spans="2:23" ht="18.75" customHeight="1">
      <c r="G12" s="41"/>
    </row>
    <row r="13" spans="2:23" ht="18.75" customHeight="1">
      <c r="C13" s="110" t="s">
        <v>3670</v>
      </c>
      <c r="D13" s="111"/>
      <c r="E13" s="116" t="s">
        <v>162</v>
      </c>
      <c r="F13" s="36"/>
      <c r="G13" s="41"/>
      <c r="H13" s="94"/>
      <c r="I13" s="94"/>
      <c r="J13" s="94"/>
      <c r="K13" s="94"/>
      <c r="L13" s="94"/>
    </row>
    <row r="14" spans="2:23" ht="18.75" customHeight="1">
      <c r="C14" s="112"/>
      <c r="D14" s="113"/>
      <c r="E14" s="117"/>
      <c r="F14" s="37"/>
      <c r="G14" s="94"/>
      <c r="H14" s="94"/>
      <c r="I14" s="94"/>
      <c r="J14" s="94"/>
      <c r="K14" s="94"/>
    </row>
    <row r="18" spans="2:23" ht="18.75" customHeight="1" thickBot="1">
      <c r="B18" s="42"/>
      <c r="C18" s="42"/>
      <c r="D18" s="42"/>
      <c r="E18" s="42"/>
      <c r="F18" s="42"/>
      <c r="G18" s="42"/>
      <c r="H18" s="42"/>
      <c r="I18" s="42"/>
      <c r="J18" s="42"/>
      <c r="K18" s="42"/>
      <c r="L18" s="42"/>
      <c r="M18" s="42"/>
      <c r="N18" s="42"/>
      <c r="O18" s="42"/>
      <c r="P18" s="42"/>
      <c r="Q18" s="42"/>
      <c r="R18" s="42"/>
      <c r="S18" s="42"/>
      <c r="T18" s="42"/>
      <c r="U18" s="42"/>
    </row>
    <row r="20" spans="2:23" ht="18.75" customHeight="1">
      <c r="B20" s="43" t="s">
        <v>163</v>
      </c>
      <c r="C20" s="51" t="s">
        <v>3186</v>
      </c>
      <c r="D20" s="78"/>
      <c r="W20" s="35" t="str">
        <f>"-- "&amp;B20&amp;" : "&amp;C20</f>
        <v>-- SQL_ID : 01_02</v>
      </c>
    </row>
    <row r="21" spans="2:23" ht="18.75" customHeight="1">
      <c r="B21" s="43" t="s">
        <v>158</v>
      </c>
      <c r="C21" s="118" t="str">
        <f>R24&amp;"登録"</f>
        <v>バックアップ_患者マスタ_組入れ第一条件登録</v>
      </c>
      <c r="D21" s="119"/>
      <c r="E21" s="119"/>
      <c r="F21" s="119"/>
      <c r="G21" s="119"/>
      <c r="H21" s="119"/>
      <c r="I21" s="119"/>
      <c r="J21" s="119"/>
      <c r="K21" s="119"/>
      <c r="L21" s="119"/>
      <c r="M21" s="119"/>
      <c r="N21" s="119"/>
      <c r="O21" s="119"/>
      <c r="P21" s="119"/>
      <c r="Q21" s="119"/>
      <c r="R21" s="119"/>
      <c r="S21" s="119"/>
      <c r="T21" s="119"/>
      <c r="U21" s="120"/>
      <c r="W21" s="35" t="str">
        <f>"-- "&amp;C21</f>
        <v>-- バックアップ_患者マスタ_組入れ第一条件登録</v>
      </c>
    </row>
    <row r="22" spans="2:23" ht="18.75" customHeight="1">
      <c r="B22" s="43" t="s">
        <v>159</v>
      </c>
      <c r="C22" s="121" t="str">
        <f>C27&amp;"テーブルから"&amp;C30&amp;"テーブルに存在する患者IDで絞り込んだ結果を"&amp;R24&amp;"テーブルに格納する。"</f>
        <v>二次利用DB登録患者紐付けデータテーブルからバックアップ_疾患データ_組み入れ第一条件テーブルに存在する患者IDで絞り込んだ結果をバックアップ_患者マスタ_組入れ第一条件テーブルに格納する。</v>
      </c>
      <c r="D22" s="122"/>
      <c r="E22" s="122"/>
      <c r="F22" s="122"/>
      <c r="G22" s="122"/>
      <c r="H22" s="122"/>
      <c r="I22" s="122"/>
      <c r="J22" s="122"/>
      <c r="K22" s="122"/>
      <c r="L22" s="122"/>
      <c r="M22" s="122"/>
      <c r="N22" s="122"/>
      <c r="O22" s="122"/>
      <c r="P22" s="122"/>
      <c r="Q22" s="122"/>
      <c r="R22" s="122"/>
      <c r="S22" s="122"/>
      <c r="T22" s="122"/>
      <c r="U22" s="123"/>
      <c r="W22" s="35" t="str">
        <f>"-- "&amp;C22</f>
        <v>-- 二次利用DB登録患者紐付けデータテーブルからバックアップ_疾患データ_組み入れ第一条件テーブルに存在する患者IDで絞り込んだ結果をバックアップ_患者マスタ_組入れ第一条件テーブルに格納する。</v>
      </c>
    </row>
    <row r="24" spans="2:23" ht="18.75" customHeight="1">
      <c r="H24" s="110" t="s">
        <v>3184</v>
      </c>
      <c r="I24" s="111"/>
      <c r="J24" s="116" t="s">
        <v>162</v>
      </c>
      <c r="K24" s="36"/>
      <c r="M24" s="36"/>
      <c r="N24" s="36"/>
      <c r="O24" s="36"/>
      <c r="R24" s="110" t="s">
        <v>3678</v>
      </c>
      <c r="S24" s="111"/>
      <c r="T24" s="114" t="str">
        <f>エンティティ一覧!$O$2</f>
        <v>milscm_2023_009</v>
      </c>
    </row>
    <row r="25" spans="2:23" ht="18.75" customHeight="1">
      <c r="H25" s="112"/>
      <c r="I25" s="113"/>
      <c r="J25" s="117"/>
      <c r="K25" s="37"/>
      <c r="L25" s="38"/>
      <c r="M25" s="37"/>
      <c r="N25" s="37"/>
      <c r="O25" s="37"/>
      <c r="P25" s="37"/>
      <c r="Q25" s="38"/>
      <c r="R25" s="112"/>
      <c r="S25" s="113"/>
      <c r="T25" s="115"/>
    </row>
    <row r="26" spans="2:23" ht="18.75" customHeight="1">
      <c r="K26" s="39"/>
      <c r="L26" s="40"/>
      <c r="P26" s="39"/>
      <c r="Q26" s="40"/>
    </row>
    <row r="27" spans="2:23" ht="18.75" customHeight="1">
      <c r="C27" s="110" t="s">
        <v>3184</v>
      </c>
      <c r="D27" s="111"/>
      <c r="E27" s="116" t="s">
        <v>162</v>
      </c>
      <c r="H27" s="36"/>
      <c r="I27" s="36"/>
      <c r="J27" s="36"/>
      <c r="L27" s="41"/>
      <c r="P27" s="39"/>
      <c r="Q27" s="40"/>
    </row>
    <row r="28" spans="2:23" ht="18.75" customHeight="1">
      <c r="C28" s="112"/>
      <c r="D28" s="113"/>
      <c r="E28" s="117"/>
      <c r="F28" s="37"/>
      <c r="G28" s="38"/>
      <c r="H28" s="37"/>
      <c r="I28" s="37"/>
      <c r="J28" s="37"/>
      <c r="K28" s="37"/>
      <c r="P28" s="39"/>
      <c r="Q28" s="40"/>
    </row>
    <row r="29" spans="2:23" ht="18.75" customHeight="1">
      <c r="F29" s="39"/>
      <c r="G29" s="40"/>
      <c r="P29" s="39"/>
      <c r="Q29" s="40"/>
    </row>
    <row r="30" spans="2:23" ht="18.75" customHeight="1">
      <c r="C30" s="110" t="s">
        <v>3789</v>
      </c>
      <c r="D30" s="111"/>
      <c r="E30" s="114" t="str">
        <f>エンティティ一覧!$O$2</f>
        <v>milscm_2023_009</v>
      </c>
      <c r="G30" s="41"/>
      <c r="P30" s="39"/>
      <c r="Q30" s="40"/>
    </row>
    <row r="31" spans="2:23" ht="18.75" customHeight="1">
      <c r="C31" s="112"/>
      <c r="D31" s="113"/>
      <c r="E31" s="115"/>
      <c r="F31" s="37"/>
      <c r="P31" s="39"/>
      <c r="Q31" s="40"/>
    </row>
    <row r="32" spans="2:23" ht="18.75" customHeight="1">
      <c r="P32" s="39"/>
      <c r="Q32" s="40"/>
    </row>
    <row r="33" spans="2:23" ht="18.75" customHeight="1">
      <c r="M33" s="110" t="s">
        <v>3669</v>
      </c>
      <c r="N33" s="111"/>
      <c r="O33" s="116" t="s">
        <v>162</v>
      </c>
      <c r="Q33" s="41"/>
    </row>
    <row r="34" spans="2:23" ht="18.75" customHeight="1">
      <c r="M34" s="112"/>
      <c r="N34" s="113"/>
      <c r="O34" s="117"/>
      <c r="P34"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3483</v>
      </c>
      <c r="D39" s="88"/>
      <c r="W39" s="35" t="str">
        <f>"-- "&amp;B39&amp;" : "&amp;C39</f>
        <v>-- SQL_ID : 01_A1-02</v>
      </c>
    </row>
    <row r="40" spans="2:23" ht="18.75" customHeight="1">
      <c r="B40" s="43" t="s">
        <v>158</v>
      </c>
      <c r="C40" s="118" t="str">
        <f>R43&amp;"登録"</f>
        <v>バックアップ_処方データ登録</v>
      </c>
      <c r="D40" s="119"/>
      <c r="E40" s="119"/>
      <c r="F40" s="119"/>
      <c r="G40" s="119"/>
      <c r="H40" s="119"/>
      <c r="I40" s="119"/>
      <c r="J40" s="119"/>
      <c r="K40" s="119"/>
      <c r="L40" s="119"/>
      <c r="M40" s="119"/>
      <c r="N40" s="119"/>
      <c r="O40" s="119"/>
      <c r="P40" s="119"/>
      <c r="Q40" s="119"/>
      <c r="R40" s="119"/>
      <c r="S40" s="119"/>
      <c r="T40" s="119"/>
      <c r="U40" s="120"/>
      <c r="W40" s="35" t="str">
        <f>"-- "&amp;C40</f>
        <v>-- バックアップ_処方データ登録</v>
      </c>
    </row>
    <row r="41" spans="2:23" ht="18.75" customHeight="1">
      <c r="B41" s="43" t="s">
        <v>159</v>
      </c>
      <c r="C41" s="121" t="str">
        <f>C43&amp;"テーブルから組入れ条件の第一条件で絞り込んだ結果を"&amp;R43&amp;"テーブルに格納する。"</f>
        <v>処方データテーブルから組入れ条件の第一条件で絞り込んだ結果をバックアップ_処方データテーブルに格納する。</v>
      </c>
      <c r="D41" s="122"/>
      <c r="E41" s="122"/>
      <c r="F41" s="122"/>
      <c r="G41" s="122"/>
      <c r="H41" s="122"/>
      <c r="I41" s="122"/>
      <c r="J41" s="122"/>
      <c r="K41" s="122"/>
      <c r="L41" s="122"/>
      <c r="M41" s="122"/>
      <c r="N41" s="122"/>
      <c r="O41" s="122"/>
      <c r="P41" s="122"/>
      <c r="Q41" s="122"/>
      <c r="R41" s="122"/>
      <c r="S41" s="122"/>
      <c r="T41" s="122"/>
      <c r="U41" s="123"/>
      <c r="W41" s="35" t="str">
        <f>"-- "&amp;C41</f>
        <v>-- 処方データテーブルから組入れ条件の第一条件で絞り込んだ結果をバックアップ_処方データテーブルに格納する。</v>
      </c>
    </row>
    <row r="43" spans="2:23" ht="18.75" customHeight="1">
      <c r="C43" s="110" t="s">
        <v>3486</v>
      </c>
      <c r="D43" s="111"/>
      <c r="E43" s="116" t="s">
        <v>162</v>
      </c>
      <c r="H43" s="36"/>
      <c r="I43" s="36"/>
      <c r="J43" s="36"/>
      <c r="K43" s="36"/>
      <c r="L43" s="36"/>
      <c r="M43" s="36"/>
      <c r="N43" s="36"/>
      <c r="O43" s="36"/>
      <c r="P43" s="36"/>
      <c r="Q43" s="36"/>
      <c r="R43" s="110" t="str">
        <f>"バックアップ_"&amp;SUBSTITUTE(C43,"_結合","")</f>
        <v>バックアップ_処方データ</v>
      </c>
      <c r="S43" s="111"/>
      <c r="T43" s="114" t="str">
        <f>エンティティ一覧!$O$2</f>
        <v>milscm_2023_009</v>
      </c>
    </row>
    <row r="44" spans="2:23" ht="18.75" customHeight="1">
      <c r="C44" s="112"/>
      <c r="D44" s="113"/>
      <c r="E44" s="117"/>
      <c r="F44" s="37"/>
      <c r="G44" s="38"/>
      <c r="H44" s="37"/>
      <c r="I44" s="37"/>
      <c r="J44" s="37"/>
      <c r="K44" s="37"/>
      <c r="L44" s="37"/>
      <c r="M44" s="37"/>
      <c r="N44" s="37"/>
      <c r="O44" s="37"/>
      <c r="P44" s="37"/>
      <c r="Q44" s="37"/>
      <c r="R44" s="112"/>
      <c r="S44" s="113"/>
      <c r="T44" s="115"/>
    </row>
    <row r="45" spans="2:23" ht="18.75" customHeight="1">
      <c r="F45" s="39"/>
      <c r="G45" s="40"/>
    </row>
    <row r="46" spans="2:23" ht="18.75" customHeight="1">
      <c r="C46" s="110" t="s">
        <v>3185</v>
      </c>
      <c r="D46" s="111"/>
      <c r="E46" s="114" t="str">
        <f>エンティティ一覧!$O$2</f>
        <v>milscm_2023_009</v>
      </c>
      <c r="G46" s="41"/>
    </row>
    <row r="47" spans="2:23" ht="18.75" customHeight="1">
      <c r="C47" s="112"/>
      <c r="D47" s="113"/>
      <c r="E47" s="11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3484</v>
      </c>
      <c r="D51" s="88"/>
      <c r="W51" s="35" t="str">
        <f>"-- "&amp;B51&amp;" : "&amp;C51</f>
        <v>-- SQL_ID : 01_A1-03</v>
      </c>
    </row>
    <row r="52" spans="2:23" ht="18.75" customHeight="1">
      <c r="B52" s="43" t="s">
        <v>158</v>
      </c>
      <c r="C52" s="118" t="str">
        <f>R55&amp;"登録"</f>
        <v>バックアップ_診療行為データ登録</v>
      </c>
      <c r="D52" s="119"/>
      <c r="E52" s="119"/>
      <c r="F52" s="119"/>
      <c r="G52" s="119"/>
      <c r="H52" s="119"/>
      <c r="I52" s="119"/>
      <c r="J52" s="119"/>
      <c r="K52" s="119"/>
      <c r="L52" s="119"/>
      <c r="M52" s="119"/>
      <c r="N52" s="119"/>
      <c r="O52" s="119"/>
      <c r="P52" s="119"/>
      <c r="Q52" s="119"/>
      <c r="R52" s="119"/>
      <c r="S52" s="119"/>
      <c r="T52" s="119"/>
      <c r="U52" s="120"/>
      <c r="W52" s="35" t="str">
        <f>"-- "&amp;C52</f>
        <v>-- バックアップ_診療行為データ登録</v>
      </c>
    </row>
    <row r="53" spans="2:23" ht="18.75" customHeight="1">
      <c r="B53" s="43" t="s">
        <v>159</v>
      </c>
      <c r="C53" s="121" t="str">
        <f>C55&amp;"テーブルから組入れ条件の第一条件で絞り込んだ結果を"&amp;R55&amp;"テーブルに格納する。"</f>
        <v>診療行為データテーブルから組入れ条件の第一条件で絞り込んだ結果をバックアップ_診療行為データテーブルに格納する。</v>
      </c>
      <c r="D53" s="122"/>
      <c r="E53" s="122"/>
      <c r="F53" s="122"/>
      <c r="G53" s="122"/>
      <c r="H53" s="122"/>
      <c r="I53" s="122"/>
      <c r="J53" s="122"/>
      <c r="K53" s="122"/>
      <c r="L53" s="122"/>
      <c r="M53" s="122"/>
      <c r="N53" s="122"/>
      <c r="O53" s="122"/>
      <c r="P53" s="122"/>
      <c r="Q53" s="122"/>
      <c r="R53" s="122"/>
      <c r="S53" s="122"/>
      <c r="T53" s="122"/>
      <c r="U53" s="123"/>
      <c r="W53" s="35" t="str">
        <f>"-- "&amp;C53</f>
        <v>-- 診療行為データテーブルから組入れ条件の第一条件で絞り込んだ結果をバックアップ_診療行為データテーブルに格納する。</v>
      </c>
    </row>
    <row r="55" spans="2:23" ht="18.75" customHeight="1">
      <c r="C55" s="110" t="s">
        <v>3485</v>
      </c>
      <c r="D55" s="111"/>
      <c r="E55" s="116" t="s">
        <v>162</v>
      </c>
      <c r="H55" s="36"/>
      <c r="I55" s="36"/>
      <c r="J55" s="36"/>
      <c r="K55" s="36"/>
      <c r="L55" s="36"/>
      <c r="M55" s="36"/>
      <c r="N55" s="36"/>
      <c r="O55" s="36"/>
      <c r="P55" s="36"/>
      <c r="Q55" s="36"/>
      <c r="R55" s="110" t="str">
        <f>"バックアップ_"&amp;SUBSTITUTE(C55,"_結合","")</f>
        <v>バックアップ_診療行為データ</v>
      </c>
      <c r="S55" s="111"/>
      <c r="T55" s="114" t="str">
        <f>エンティティ一覧!$O$2</f>
        <v>milscm_2023_009</v>
      </c>
    </row>
    <row r="56" spans="2:23" ht="18.75" customHeight="1">
      <c r="C56" s="112"/>
      <c r="D56" s="113"/>
      <c r="E56" s="117"/>
      <c r="F56" s="37"/>
      <c r="G56" s="38"/>
      <c r="H56" s="37"/>
      <c r="I56" s="37"/>
      <c r="J56" s="37"/>
      <c r="K56" s="37"/>
      <c r="L56" s="37"/>
      <c r="M56" s="37"/>
      <c r="N56" s="37"/>
      <c r="O56" s="37"/>
      <c r="P56" s="37"/>
      <c r="Q56" s="37"/>
      <c r="R56" s="112"/>
      <c r="S56" s="113"/>
      <c r="T56" s="115"/>
    </row>
    <row r="57" spans="2:23" ht="18.75" customHeight="1">
      <c r="F57" s="39"/>
      <c r="G57" s="40"/>
    </row>
    <row r="58" spans="2:23" ht="18.75" customHeight="1">
      <c r="C58" s="110" t="s">
        <v>3185</v>
      </c>
      <c r="D58" s="111"/>
      <c r="E58" s="114" t="str">
        <f>エンティティ一覧!$O$2</f>
        <v>milscm_2023_009</v>
      </c>
      <c r="G58" s="41"/>
    </row>
    <row r="59" spans="2:23" ht="18.75" customHeight="1">
      <c r="C59" s="112"/>
      <c r="D59" s="113"/>
      <c r="E59" s="11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3487</v>
      </c>
      <c r="D63" s="88"/>
      <c r="W63" s="35" t="str">
        <f>"-- "&amp;B63&amp;" : "&amp;C63</f>
        <v>-- SQL_ID : 01_A1-04</v>
      </c>
    </row>
    <row r="64" spans="2:23" ht="18.75" customHeight="1">
      <c r="B64" s="43" t="s">
        <v>158</v>
      </c>
      <c r="C64" s="118" t="str">
        <f>R67&amp;"登録"</f>
        <v>バックアップ_疾患データ登録</v>
      </c>
      <c r="D64" s="119"/>
      <c r="E64" s="119"/>
      <c r="F64" s="119"/>
      <c r="G64" s="119"/>
      <c r="H64" s="119"/>
      <c r="I64" s="119"/>
      <c r="J64" s="119"/>
      <c r="K64" s="119"/>
      <c r="L64" s="119"/>
      <c r="M64" s="119"/>
      <c r="N64" s="119"/>
      <c r="O64" s="119"/>
      <c r="P64" s="119"/>
      <c r="Q64" s="119"/>
      <c r="R64" s="119"/>
      <c r="S64" s="119"/>
      <c r="T64" s="119"/>
      <c r="U64" s="120"/>
      <c r="W64" s="35" t="str">
        <f>"-- "&amp;C64</f>
        <v>-- バックアップ_疾患データ登録</v>
      </c>
    </row>
    <row r="65" spans="2:23" ht="18.75" customHeight="1">
      <c r="B65" s="43" t="s">
        <v>159</v>
      </c>
      <c r="C65" s="121" t="str">
        <f>C67&amp;"テーブルから組入れ条件の第一条件で絞り込んだ結果を"&amp;R67&amp;"テーブルに格納する。"</f>
        <v>疾患データテーブルから組入れ条件の第一条件で絞り込んだ結果をバックアップ_疾患データテーブルに格納する。</v>
      </c>
      <c r="D65" s="122"/>
      <c r="E65" s="122"/>
      <c r="F65" s="122"/>
      <c r="G65" s="122"/>
      <c r="H65" s="122"/>
      <c r="I65" s="122"/>
      <c r="J65" s="122"/>
      <c r="K65" s="122"/>
      <c r="L65" s="122"/>
      <c r="M65" s="122"/>
      <c r="N65" s="122"/>
      <c r="O65" s="122"/>
      <c r="P65" s="122"/>
      <c r="Q65" s="122"/>
      <c r="R65" s="122"/>
      <c r="S65" s="122"/>
      <c r="T65" s="122"/>
      <c r="U65" s="123"/>
      <c r="W65" s="35" t="str">
        <f>"-- "&amp;C65</f>
        <v>-- 疾患データテーブルから組入れ条件の第一条件で絞り込んだ結果をバックアップ_疾患データテーブルに格納する。</v>
      </c>
    </row>
    <row r="67" spans="2:23" ht="18.75" customHeight="1">
      <c r="C67" s="110" t="s">
        <v>3488</v>
      </c>
      <c r="D67" s="111"/>
      <c r="E67" s="116" t="s">
        <v>162</v>
      </c>
      <c r="H67" s="36"/>
      <c r="I67" s="36"/>
      <c r="J67" s="36"/>
      <c r="K67" s="36"/>
      <c r="L67" s="36"/>
      <c r="M67" s="36"/>
      <c r="N67" s="36"/>
      <c r="O67" s="36"/>
      <c r="P67" s="36"/>
      <c r="Q67" s="36"/>
      <c r="R67" s="110" t="str">
        <f>"バックアップ_"&amp;SUBSTITUTE(C67,"_結合","")</f>
        <v>バックアップ_疾患データ</v>
      </c>
      <c r="S67" s="111"/>
      <c r="T67" s="114" t="str">
        <f>エンティティ一覧!$O$2</f>
        <v>milscm_2023_009</v>
      </c>
    </row>
    <row r="68" spans="2:23" ht="18.75" customHeight="1">
      <c r="C68" s="112"/>
      <c r="D68" s="113"/>
      <c r="E68" s="117"/>
      <c r="F68" s="37"/>
      <c r="G68" s="38"/>
      <c r="H68" s="37"/>
      <c r="I68" s="37"/>
      <c r="J68" s="37"/>
      <c r="K68" s="37"/>
      <c r="L68" s="37"/>
      <c r="M68" s="37"/>
      <c r="N68" s="37"/>
      <c r="O68" s="37"/>
      <c r="P68" s="37"/>
      <c r="Q68" s="37"/>
      <c r="R68" s="112"/>
      <c r="S68" s="113"/>
      <c r="T68" s="115"/>
    </row>
    <row r="69" spans="2:23" ht="18.75" customHeight="1">
      <c r="F69" s="39"/>
      <c r="G69" s="40"/>
    </row>
    <row r="70" spans="2:23" ht="18.75" customHeight="1">
      <c r="C70" s="110" t="s">
        <v>3185</v>
      </c>
      <c r="D70" s="111"/>
      <c r="E70" s="114" t="str">
        <f>エンティティ一覧!$O$2</f>
        <v>milscm_2023_009</v>
      </c>
      <c r="G70" s="41"/>
    </row>
    <row r="71" spans="2:23" ht="18.75" customHeight="1">
      <c r="C71" s="112"/>
      <c r="D71" s="113"/>
      <c r="E71" s="11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3489</v>
      </c>
      <c r="D75" s="88"/>
      <c r="W75" s="35" t="str">
        <f>"-- "&amp;B75&amp;" : "&amp;C75</f>
        <v>-- SQL_ID : 01_A1-05</v>
      </c>
    </row>
    <row r="76" spans="2:23" ht="18.75" customHeight="1">
      <c r="B76" s="43" t="s">
        <v>158</v>
      </c>
      <c r="C76" s="118" t="str">
        <f>R79&amp;"登録"</f>
        <v>バックアップ_疾患診療科データ登録</v>
      </c>
      <c r="D76" s="119"/>
      <c r="E76" s="119"/>
      <c r="F76" s="119"/>
      <c r="G76" s="119"/>
      <c r="H76" s="119"/>
      <c r="I76" s="119"/>
      <c r="J76" s="119"/>
      <c r="K76" s="119"/>
      <c r="L76" s="119"/>
      <c r="M76" s="119"/>
      <c r="N76" s="119"/>
      <c r="O76" s="119"/>
      <c r="P76" s="119"/>
      <c r="Q76" s="119"/>
      <c r="R76" s="119"/>
      <c r="S76" s="119"/>
      <c r="T76" s="119"/>
      <c r="U76" s="120"/>
      <c r="W76" s="35" t="str">
        <f>"-- "&amp;C76</f>
        <v>-- バックアップ_疾患診療科データ登録</v>
      </c>
    </row>
    <row r="77" spans="2:23" ht="18.75" customHeight="1">
      <c r="B77" s="43" t="s">
        <v>159</v>
      </c>
      <c r="C77" s="121" t="str">
        <f>C79&amp;"テーブルから組入れ条件の第一条件で絞り込んだ結果を"&amp;R79&amp;"テーブルに格納する。"</f>
        <v>疾患診療科データテーブルから組入れ条件の第一条件で絞り込んだ結果をバックアップ_疾患診療科データテーブルに格納する。</v>
      </c>
      <c r="D77" s="122"/>
      <c r="E77" s="122"/>
      <c r="F77" s="122"/>
      <c r="G77" s="122"/>
      <c r="H77" s="122"/>
      <c r="I77" s="122"/>
      <c r="J77" s="122"/>
      <c r="K77" s="122"/>
      <c r="L77" s="122"/>
      <c r="M77" s="122"/>
      <c r="N77" s="122"/>
      <c r="O77" s="122"/>
      <c r="P77" s="122"/>
      <c r="Q77" s="122"/>
      <c r="R77" s="122"/>
      <c r="S77" s="122"/>
      <c r="T77" s="122"/>
      <c r="U77" s="123"/>
      <c r="W77" s="35" t="str">
        <f>"-- "&amp;C77</f>
        <v>-- 疾患診療科データテーブルから組入れ条件の第一条件で絞り込んだ結果をバックアップ_疾患診療科データテーブルに格納する。</v>
      </c>
    </row>
    <row r="79" spans="2:23" ht="18.75" customHeight="1">
      <c r="C79" s="110" t="s">
        <v>3490</v>
      </c>
      <c r="D79" s="111"/>
      <c r="E79" s="116" t="s">
        <v>162</v>
      </c>
      <c r="F79" s="36"/>
      <c r="G79" s="36"/>
      <c r="H79" s="36"/>
      <c r="I79" s="36"/>
      <c r="J79" s="36"/>
      <c r="K79" s="36"/>
      <c r="L79" s="36"/>
      <c r="M79" s="36"/>
      <c r="N79" s="36"/>
      <c r="O79" s="36"/>
      <c r="P79" s="36"/>
      <c r="Q79" s="36"/>
      <c r="R79" s="110" t="str">
        <f>"バックアップ_"&amp;SUBSTITUTE(C79,"_結合","")</f>
        <v>バックアップ_疾患診療科データ</v>
      </c>
      <c r="S79" s="111"/>
      <c r="T79" s="114" t="str">
        <f>エンティティ一覧!$O$2</f>
        <v>milscm_2023_009</v>
      </c>
    </row>
    <row r="80" spans="2:23" ht="18.75" customHeight="1">
      <c r="C80" s="112"/>
      <c r="D80" s="113"/>
      <c r="E80" s="117"/>
      <c r="F80" s="37"/>
      <c r="G80" s="37"/>
      <c r="H80" s="37"/>
      <c r="I80" s="37"/>
      <c r="J80" s="37"/>
      <c r="K80" s="37"/>
      <c r="L80" s="37"/>
      <c r="M80" s="37"/>
      <c r="N80" s="37"/>
      <c r="O80" s="37"/>
      <c r="P80" s="37"/>
      <c r="Q80" s="37"/>
      <c r="R80" s="112"/>
      <c r="S80" s="113"/>
      <c r="T80" s="115"/>
    </row>
    <row r="82" spans="2:23" ht="18.75" customHeight="1" thickBot="1">
      <c r="B82" s="42"/>
      <c r="C82" s="42"/>
      <c r="D82" s="42"/>
      <c r="E82" s="42"/>
      <c r="F82" s="42"/>
      <c r="G82" s="42"/>
      <c r="H82" s="42"/>
      <c r="I82" s="42"/>
      <c r="J82" s="42"/>
      <c r="K82" s="42"/>
      <c r="L82" s="42"/>
      <c r="M82" s="42"/>
      <c r="N82" s="42"/>
      <c r="O82" s="42"/>
      <c r="P82" s="42"/>
      <c r="Q82" s="42"/>
      <c r="R82" s="42"/>
      <c r="S82" s="42"/>
      <c r="T82" s="42"/>
      <c r="U82" s="42"/>
    </row>
    <row r="84" spans="2:23" ht="18.75" customHeight="1">
      <c r="B84" s="43" t="s">
        <v>163</v>
      </c>
      <c r="C84" s="51" t="s">
        <v>3491</v>
      </c>
      <c r="D84" s="88"/>
      <c r="W84" s="35" t="str">
        <f>"-- "&amp;B84&amp;" : "&amp;C84</f>
        <v>-- SQL_ID : 01_A1-06</v>
      </c>
    </row>
    <row r="85" spans="2:23" ht="18.75" customHeight="1">
      <c r="B85" s="43" t="s">
        <v>158</v>
      </c>
      <c r="C85" s="118" t="str">
        <f>R88&amp;"登録"</f>
        <v>バックアップ_入院退院データ登録</v>
      </c>
      <c r="D85" s="119"/>
      <c r="E85" s="119"/>
      <c r="F85" s="119"/>
      <c r="G85" s="119"/>
      <c r="H85" s="119"/>
      <c r="I85" s="119"/>
      <c r="J85" s="119"/>
      <c r="K85" s="119"/>
      <c r="L85" s="119"/>
      <c r="M85" s="119"/>
      <c r="N85" s="119"/>
      <c r="O85" s="119"/>
      <c r="P85" s="119"/>
      <c r="Q85" s="119"/>
      <c r="R85" s="119"/>
      <c r="S85" s="119"/>
      <c r="T85" s="119"/>
      <c r="U85" s="120"/>
      <c r="W85" s="35" t="str">
        <f>"-- "&amp;C85</f>
        <v>-- バックアップ_入院退院データ登録</v>
      </c>
    </row>
    <row r="86" spans="2:23" ht="18.75" customHeight="1">
      <c r="B86" s="43" t="s">
        <v>159</v>
      </c>
      <c r="C86" s="121" t="str">
        <f>C88&amp;"テーブルから組入れ条件の第一条件で絞り込んだ結果を"&amp;R88&amp;"テーブルに格納する。"</f>
        <v>入院退院データテーブルから組入れ条件の第一条件で絞り込んだ結果をバックアップ_入院退院データテーブルに格納する。</v>
      </c>
      <c r="D86" s="122"/>
      <c r="E86" s="122"/>
      <c r="F86" s="122"/>
      <c r="G86" s="122"/>
      <c r="H86" s="122"/>
      <c r="I86" s="122"/>
      <c r="J86" s="122"/>
      <c r="K86" s="122"/>
      <c r="L86" s="122"/>
      <c r="M86" s="122"/>
      <c r="N86" s="122"/>
      <c r="O86" s="122"/>
      <c r="P86" s="122"/>
      <c r="Q86" s="122"/>
      <c r="R86" s="122"/>
      <c r="S86" s="122"/>
      <c r="T86" s="122"/>
      <c r="U86" s="123"/>
      <c r="W86" s="35" t="str">
        <f>"-- "&amp;C86</f>
        <v>-- 入院退院データテーブルから組入れ条件の第一条件で絞り込んだ結果をバックアップ_入院退院データテーブルに格納する。</v>
      </c>
    </row>
    <row r="88" spans="2:23" ht="18.75" customHeight="1">
      <c r="C88" s="110" t="s">
        <v>3492</v>
      </c>
      <c r="D88" s="111"/>
      <c r="E88" s="116" t="s">
        <v>162</v>
      </c>
      <c r="H88" s="36"/>
      <c r="I88" s="36"/>
      <c r="J88" s="36"/>
      <c r="K88" s="36"/>
      <c r="L88" s="36"/>
      <c r="M88" s="36"/>
      <c r="N88" s="36"/>
      <c r="O88" s="36"/>
      <c r="P88" s="36"/>
      <c r="Q88" s="36"/>
      <c r="R88" s="110" t="str">
        <f>"バックアップ_"&amp;SUBSTITUTE(C88,"_結合","")</f>
        <v>バックアップ_入院退院データ</v>
      </c>
      <c r="S88" s="111"/>
      <c r="T88" s="114" t="str">
        <f>エンティティ一覧!$O$2</f>
        <v>milscm_2023_009</v>
      </c>
    </row>
    <row r="89" spans="2:23" ht="18.75" customHeight="1">
      <c r="C89" s="112"/>
      <c r="D89" s="113"/>
      <c r="E89" s="117"/>
      <c r="F89" s="37"/>
      <c r="G89" s="38"/>
      <c r="H89" s="37"/>
      <c r="I89" s="37"/>
      <c r="J89" s="37"/>
      <c r="K89" s="37"/>
      <c r="L89" s="37"/>
      <c r="M89" s="37"/>
      <c r="N89" s="37"/>
      <c r="O89" s="37"/>
      <c r="P89" s="37"/>
      <c r="Q89" s="37"/>
      <c r="R89" s="112"/>
      <c r="S89" s="113"/>
      <c r="T89" s="115"/>
    </row>
    <row r="90" spans="2:23" ht="18.75" customHeight="1">
      <c r="F90" s="39"/>
      <c r="G90" s="40"/>
    </row>
    <row r="91" spans="2:23" ht="18.75" customHeight="1">
      <c r="C91" s="110" t="s">
        <v>3185</v>
      </c>
      <c r="D91" s="111"/>
      <c r="E91" s="114" t="str">
        <f>エンティティ一覧!$O$2</f>
        <v>milscm_2023_009</v>
      </c>
      <c r="G91" s="41"/>
    </row>
    <row r="92" spans="2:23" ht="18.75" customHeight="1">
      <c r="C92" s="112"/>
      <c r="D92" s="113"/>
      <c r="E92" s="115"/>
      <c r="F92" s="37"/>
    </row>
    <row r="94" spans="2:23" ht="18.75" customHeight="1" thickBot="1">
      <c r="B94" s="42"/>
      <c r="C94" s="42"/>
      <c r="D94" s="42"/>
      <c r="E94" s="42"/>
      <c r="F94" s="42"/>
      <c r="G94" s="42"/>
      <c r="H94" s="42"/>
      <c r="I94" s="42"/>
      <c r="J94" s="42"/>
      <c r="K94" s="42"/>
      <c r="L94" s="42"/>
      <c r="M94" s="42"/>
      <c r="N94" s="42"/>
      <c r="O94" s="42"/>
      <c r="P94" s="42"/>
      <c r="Q94" s="42"/>
      <c r="R94" s="42"/>
      <c r="S94" s="42"/>
      <c r="T94" s="42"/>
      <c r="U94" s="42"/>
    </row>
    <row r="96" spans="2:23" ht="18.75" customHeight="1">
      <c r="B96" s="43" t="s">
        <v>163</v>
      </c>
      <c r="C96" s="51" t="s">
        <v>3493</v>
      </c>
      <c r="D96" s="88"/>
      <c r="W96" s="35" t="str">
        <f>"-- "&amp;B96&amp;" : "&amp;C96</f>
        <v>-- SQL_ID : 01_A1-07</v>
      </c>
    </row>
    <row r="97" spans="2:23" ht="18.75" customHeight="1">
      <c r="B97" s="43" t="s">
        <v>158</v>
      </c>
      <c r="C97" s="118" t="str">
        <f>R100&amp;"登録"</f>
        <v>バックアップ_二次利用DB登録患者データ登録</v>
      </c>
      <c r="D97" s="119"/>
      <c r="E97" s="119"/>
      <c r="F97" s="119"/>
      <c r="G97" s="119"/>
      <c r="H97" s="119"/>
      <c r="I97" s="119"/>
      <c r="J97" s="119"/>
      <c r="K97" s="119"/>
      <c r="L97" s="119"/>
      <c r="M97" s="119"/>
      <c r="N97" s="119"/>
      <c r="O97" s="119"/>
      <c r="P97" s="119"/>
      <c r="Q97" s="119"/>
      <c r="R97" s="119"/>
      <c r="S97" s="119"/>
      <c r="T97" s="119"/>
      <c r="U97" s="120"/>
      <c r="W97" s="35" t="str">
        <f>"-- "&amp;C97</f>
        <v>-- バックアップ_二次利用DB登録患者データ登録</v>
      </c>
    </row>
    <row r="98" spans="2:23" ht="18.75" customHeight="1">
      <c r="B98" s="43" t="s">
        <v>159</v>
      </c>
      <c r="C98" s="121" t="str">
        <f>C100&amp;"テーブルから組入れ条件の第一条件で絞り込んだ結果を"&amp;R100&amp;"テーブルに格納する。"</f>
        <v>二次利用DB登録患者データテーブルから組入れ条件の第一条件で絞り込んだ結果をバックアップ_二次利用DB登録患者データテーブルに格納する。</v>
      </c>
      <c r="D98" s="122"/>
      <c r="E98" s="122"/>
      <c r="F98" s="122"/>
      <c r="G98" s="122"/>
      <c r="H98" s="122"/>
      <c r="I98" s="122"/>
      <c r="J98" s="122"/>
      <c r="K98" s="122"/>
      <c r="L98" s="122"/>
      <c r="M98" s="122"/>
      <c r="N98" s="122"/>
      <c r="O98" s="122"/>
      <c r="P98" s="122"/>
      <c r="Q98" s="122"/>
      <c r="R98" s="122"/>
      <c r="S98" s="122"/>
      <c r="T98" s="122"/>
      <c r="U98" s="123"/>
      <c r="W98" s="35" t="str">
        <f>"-- "&amp;C98</f>
        <v>-- 二次利用DB登録患者データテーブルから組入れ条件の第一条件で絞り込んだ結果をバックアップ_二次利用DB登録患者データテーブルに格納する。</v>
      </c>
    </row>
    <row r="100" spans="2:23" ht="18.75" customHeight="1">
      <c r="C100" s="110" t="s">
        <v>3494</v>
      </c>
      <c r="D100" s="111"/>
      <c r="E100" s="116" t="s">
        <v>162</v>
      </c>
      <c r="H100" s="36"/>
      <c r="I100" s="36"/>
      <c r="J100" s="36"/>
      <c r="K100" s="36"/>
      <c r="L100" s="36"/>
      <c r="M100" s="36"/>
      <c r="N100" s="36"/>
      <c r="O100" s="36"/>
      <c r="P100" s="36"/>
      <c r="Q100" s="36"/>
      <c r="R100" s="110" t="str">
        <f>"バックアップ_"&amp;SUBSTITUTE(C100,"_結合","")</f>
        <v>バックアップ_二次利用DB登録患者データ</v>
      </c>
      <c r="S100" s="111"/>
      <c r="T100" s="114" t="str">
        <f>エンティティ一覧!$O$2</f>
        <v>milscm_2023_009</v>
      </c>
    </row>
    <row r="101" spans="2:23" ht="18.75" customHeight="1">
      <c r="C101" s="112"/>
      <c r="D101" s="113"/>
      <c r="E101" s="117"/>
      <c r="F101" s="37"/>
      <c r="G101" s="38"/>
      <c r="H101" s="37"/>
      <c r="I101" s="37"/>
      <c r="J101" s="37"/>
      <c r="K101" s="37"/>
      <c r="L101" s="37"/>
      <c r="M101" s="37"/>
      <c r="N101" s="37"/>
      <c r="O101" s="37"/>
      <c r="P101" s="37"/>
      <c r="Q101" s="37"/>
      <c r="R101" s="112"/>
      <c r="S101" s="113"/>
      <c r="T101" s="115"/>
    </row>
    <row r="102" spans="2:23" ht="18.75" customHeight="1">
      <c r="F102" s="39"/>
      <c r="G102" s="40"/>
    </row>
    <row r="103" spans="2:23" ht="18.75" customHeight="1">
      <c r="C103" s="110" t="s">
        <v>3185</v>
      </c>
      <c r="D103" s="111"/>
      <c r="E103" s="114" t="str">
        <f>エンティティ一覧!$O$2</f>
        <v>milscm_2023_009</v>
      </c>
      <c r="G103" s="41"/>
    </row>
    <row r="104" spans="2:23" ht="18.75" customHeight="1">
      <c r="C104" s="112"/>
      <c r="D104" s="113"/>
      <c r="E104" s="115"/>
      <c r="F104" s="37"/>
    </row>
    <row r="106" spans="2:23" ht="18.75" customHeight="1" thickBot="1">
      <c r="B106" s="42"/>
      <c r="C106" s="42"/>
      <c r="D106" s="42"/>
      <c r="E106" s="42"/>
      <c r="F106" s="42"/>
      <c r="G106" s="42"/>
      <c r="H106" s="42"/>
      <c r="I106" s="42"/>
      <c r="J106" s="42"/>
      <c r="K106" s="42"/>
      <c r="L106" s="42"/>
      <c r="M106" s="42"/>
      <c r="N106" s="42"/>
      <c r="O106" s="42"/>
      <c r="P106" s="42"/>
      <c r="Q106" s="42"/>
      <c r="R106" s="42"/>
      <c r="S106" s="42"/>
      <c r="T106" s="42"/>
      <c r="U106" s="42"/>
    </row>
    <row r="108" spans="2:23" ht="18.75" customHeight="1">
      <c r="B108" s="43" t="s">
        <v>163</v>
      </c>
      <c r="C108" s="51" t="s">
        <v>3495</v>
      </c>
      <c r="D108" s="88"/>
      <c r="W108" s="35" t="str">
        <f>"-- "&amp;B108&amp;" : "&amp;C108</f>
        <v>-- SQL_ID : 01_A1-08</v>
      </c>
    </row>
    <row r="109" spans="2:23" ht="18.75" customHeight="1">
      <c r="B109" s="43" t="s">
        <v>158</v>
      </c>
      <c r="C109" s="118" t="str">
        <f>R112&amp;"登録"</f>
        <v>バックアップ_二次利用DB登録患者データ_DPC登録</v>
      </c>
      <c r="D109" s="119"/>
      <c r="E109" s="119"/>
      <c r="F109" s="119"/>
      <c r="G109" s="119"/>
      <c r="H109" s="119"/>
      <c r="I109" s="119"/>
      <c r="J109" s="119"/>
      <c r="K109" s="119"/>
      <c r="L109" s="119"/>
      <c r="M109" s="119"/>
      <c r="N109" s="119"/>
      <c r="O109" s="119"/>
      <c r="P109" s="119"/>
      <c r="Q109" s="119"/>
      <c r="R109" s="119"/>
      <c r="S109" s="119"/>
      <c r="T109" s="119"/>
      <c r="U109" s="120"/>
      <c r="W109" s="35" t="str">
        <f>"-- "&amp;C109</f>
        <v>-- バックアップ_二次利用DB登録患者データ_DPC登録</v>
      </c>
    </row>
    <row r="110" spans="2:23" ht="18.75" customHeight="1">
      <c r="B110" s="43" t="s">
        <v>159</v>
      </c>
      <c r="C110" s="121" t="str">
        <f>C112&amp;"テーブルから組入れ条件の第一条件で絞り込んだ結果を"&amp;R112&amp;"テーブルに格納する。"</f>
        <v>二次利用DB登録患者データ_DPCテーブルから組入れ条件の第一条件で絞り込んだ結果をバックアップ_二次利用DB登録患者データ_DPCテーブルに格納する。</v>
      </c>
      <c r="D110" s="122"/>
      <c r="E110" s="122"/>
      <c r="F110" s="122"/>
      <c r="G110" s="122"/>
      <c r="H110" s="122"/>
      <c r="I110" s="122"/>
      <c r="J110" s="122"/>
      <c r="K110" s="122"/>
      <c r="L110" s="122"/>
      <c r="M110" s="122"/>
      <c r="N110" s="122"/>
      <c r="O110" s="122"/>
      <c r="P110" s="122"/>
      <c r="Q110" s="122"/>
      <c r="R110" s="122"/>
      <c r="S110" s="122"/>
      <c r="T110" s="122"/>
      <c r="U110" s="123"/>
      <c r="W110" s="35" t="str">
        <f>"-- "&amp;C110</f>
        <v>-- 二次利用DB登録患者データ_DPCテーブルから組入れ条件の第一条件で絞り込んだ結果をバックアップ_二次利用DB登録患者データ_DPCテーブルに格納する。</v>
      </c>
    </row>
    <row r="112" spans="2:23" ht="18.75" customHeight="1">
      <c r="C112" s="110" t="s">
        <v>3496</v>
      </c>
      <c r="D112" s="111"/>
      <c r="E112" s="116" t="s">
        <v>162</v>
      </c>
      <c r="H112" s="36"/>
      <c r="I112" s="36"/>
      <c r="J112" s="36"/>
      <c r="K112" s="36"/>
      <c r="L112" s="36"/>
      <c r="M112" s="36"/>
      <c r="N112" s="36"/>
      <c r="O112" s="36"/>
      <c r="P112" s="36"/>
      <c r="Q112" s="36"/>
      <c r="R112" s="110" t="str">
        <f>"バックアップ_"&amp;SUBSTITUTE(C112,"_結合","")</f>
        <v>バックアップ_二次利用DB登録患者データ_DPC</v>
      </c>
      <c r="S112" s="111"/>
      <c r="T112" s="114" t="str">
        <f>エンティティ一覧!$O$2</f>
        <v>milscm_2023_009</v>
      </c>
    </row>
    <row r="113" spans="2:23" ht="18.75" customHeight="1">
      <c r="C113" s="112"/>
      <c r="D113" s="113"/>
      <c r="E113" s="117"/>
      <c r="F113" s="37"/>
      <c r="G113" s="38"/>
      <c r="H113" s="37"/>
      <c r="I113" s="37"/>
      <c r="J113" s="37"/>
      <c r="K113" s="37"/>
      <c r="L113" s="37"/>
      <c r="M113" s="37"/>
      <c r="N113" s="37"/>
      <c r="O113" s="37"/>
      <c r="P113" s="37"/>
      <c r="Q113" s="37"/>
      <c r="R113" s="112"/>
      <c r="S113" s="113"/>
      <c r="T113" s="115"/>
    </row>
    <row r="114" spans="2:23" ht="18.75" customHeight="1">
      <c r="F114" s="39"/>
      <c r="G114" s="40"/>
    </row>
    <row r="115" spans="2:23" ht="18.75" customHeight="1">
      <c r="C115" s="110" t="s">
        <v>3185</v>
      </c>
      <c r="D115" s="111"/>
      <c r="E115" s="114" t="str">
        <f>エンティティ一覧!$O$2</f>
        <v>milscm_2023_009</v>
      </c>
      <c r="G115" s="41"/>
    </row>
    <row r="116" spans="2:23" ht="18.75" customHeight="1">
      <c r="C116" s="112"/>
      <c r="D116" s="113"/>
      <c r="E116" s="115"/>
      <c r="F116" s="37"/>
    </row>
    <row r="118" spans="2:23" ht="18.75" customHeight="1" thickBot="1">
      <c r="B118" s="42"/>
      <c r="C118" s="42"/>
      <c r="D118" s="42"/>
      <c r="E118" s="42"/>
      <c r="F118" s="42"/>
      <c r="G118" s="42"/>
      <c r="H118" s="42"/>
      <c r="I118" s="42"/>
      <c r="J118" s="42"/>
      <c r="K118" s="42"/>
      <c r="L118" s="42"/>
      <c r="M118" s="42"/>
      <c r="N118" s="42"/>
      <c r="O118" s="42"/>
      <c r="P118" s="42"/>
      <c r="Q118" s="42"/>
      <c r="R118" s="42"/>
      <c r="S118" s="42"/>
      <c r="T118" s="42"/>
      <c r="U118" s="42"/>
    </row>
    <row r="120" spans="2:23" ht="18.75" customHeight="1">
      <c r="B120" s="43" t="s">
        <v>163</v>
      </c>
      <c r="C120" s="51" t="s">
        <v>3497</v>
      </c>
      <c r="D120" s="88"/>
      <c r="W120" s="35" t="str">
        <f>"-- "&amp;B120&amp;" : "&amp;C120</f>
        <v>-- SQL_ID : 01_A1-09</v>
      </c>
    </row>
    <row r="121" spans="2:23" ht="18.75" customHeight="1">
      <c r="B121" s="43" t="s">
        <v>158</v>
      </c>
      <c r="C121" s="118" t="str">
        <f>R124&amp;"登録"</f>
        <v>バックアップ_二次利用DB登録患者データ_レセプト登録</v>
      </c>
      <c r="D121" s="119"/>
      <c r="E121" s="119"/>
      <c r="F121" s="119"/>
      <c r="G121" s="119"/>
      <c r="H121" s="119"/>
      <c r="I121" s="119"/>
      <c r="J121" s="119"/>
      <c r="K121" s="119"/>
      <c r="L121" s="119"/>
      <c r="M121" s="119"/>
      <c r="N121" s="119"/>
      <c r="O121" s="119"/>
      <c r="P121" s="119"/>
      <c r="Q121" s="119"/>
      <c r="R121" s="119"/>
      <c r="S121" s="119"/>
      <c r="T121" s="119"/>
      <c r="U121" s="120"/>
      <c r="W121" s="35" t="str">
        <f>"-- "&amp;C121</f>
        <v>-- バックアップ_二次利用DB登録患者データ_レセプト登録</v>
      </c>
    </row>
    <row r="122" spans="2:23" ht="18.75" customHeight="1">
      <c r="B122" s="43" t="s">
        <v>159</v>
      </c>
      <c r="C122" s="121" t="str">
        <f>C124&amp;"テーブルから組入れ条件の第一条件で絞り込んだ結果を"&amp;R124&amp;"テーブルに格納する。"</f>
        <v>二次利用DB登録患者データ_レセプトテーブルから組入れ条件の第一条件で絞り込んだ結果をバックアップ_二次利用DB登録患者データ_レセプトテーブルに格納する。</v>
      </c>
      <c r="D122" s="122"/>
      <c r="E122" s="122"/>
      <c r="F122" s="122"/>
      <c r="G122" s="122"/>
      <c r="H122" s="122"/>
      <c r="I122" s="122"/>
      <c r="J122" s="122"/>
      <c r="K122" s="122"/>
      <c r="L122" s="122"/>
      <c r="M122" s="122"/>
      <c r="N122" s="122"/>
      <c r="O122" s="122"/>
      <c r="P122" s="122"/>
      <c r="Q122" s="122"/>
      <c r="R122" s="122"/>
      <c r="S122" s="122"/>
      <c r="T122" s="122"/>
      <c r="U122" s="123"/>
      <c r="W122" s="35" t="str">
        <f>"-- "&amp;C122</f>
        <v>-- 二次利用DB登録患者データ_レセプトテーブルから組入れ条件の第一条件で絞り込んだ結果をバックアップ_二次利用DB登録患者データ_レセプトテーブルに格納する。</v>
      </c>
    </row>
    <row r="124" spans="2:23" ht="18.75" customHeight="1">
      <c r="C124" s="110" t="s">
        <v>3498</v>
      </c>
      <c r="D124" s="111"/>
      <c r="E124" s="116" t="s">
        <v>162</v>
      </c>
      <c r="H124" s="36"/>
      <c r="I124" s="36"/>
      <c r="J124" s="36"/>
      <c r="K124" s="36"/>
      <c r="L124" s="36"/>
      <c r="M124" s="36"/>
      <c r="N124" s="36"/>
      <c r="O124" s="36"/>
      <c r="P124" s="36"/>
      <c r="Q124" s="36"/>
      <c r="R124" s="110" t="str">
        <f>"バックアップ_"&amp;SUBSTITUTE(C124,"_結合","")</f>
        <v>バックアップ_二次利用DB登録患者データ_レセプト</v>
      </c>
      <c r="S124" s="111"/>
      <c r="T124" s="114" t="str">
        <f>エンティティ一覧!$O$2</f>
        <v>milscm_2023_009</v>
      </c>
    </row>
    <row r="125" spans="2:23" ht="18.75" customHeight="1">
      <c r="C125" s="112"/>
      <c r="D125" s="113"/>
      <c r="E125" s="117"/>
      <c r="F125" s="37"/>
      <c r="G125" s="38"/>
      <c r="H125" s="37"/>
      <c r="I125" s="37"/>
      <c r="J125" s="37"/>
      <c r="K125" s="37"/>
      <c r="L125" s="37"/>
      <c r="M125" s="37"/>
      <c r="N125" s="37"/>
      <c r="O125" s="37"/>
      <c r="P125" s="37"/>
      <c r="Q125" s="37"/>
      <c r="R125" s="112"/>
      <c r="S125" s="113"/>
      <c r="T125" s="115"/>
    </row>
    <row r="126" spans="2:23" ht="18.75" customHeight="1">
      <c r="F126" s="39"/>
      <c r="G126" s="40"/>
    </row>
    <row r="127" spans="2:23" ht="18.75" customHeight="1">
      <c r="C127" s="110" t="s">
        <v>3185</v>
      </c>
      <c r="D127" s="111"/>
      <c r="E127" s="114" t="str">
        <f>エンティティ一覧!$O$2</f>
        <v>milscm_2023_009</v>
      </c>
      <c r="G127" s="41"/>
    </row>
    <row r="128" spans="2:23" ht="18.75" customHeight="1">
      <c r="C128" s="112"/>
      <c r="D128" s="113"/>
      <c r="E128" s="115"/>
      <c r="F128" s="37"/>
    </row>
    <row r="130" spans="2:23" ht="18.75" customHeight="1" thickBot="1">
      <c r="B130" s="42"/>
      <c r="C130" s="42"/>
      <c r="D130" s="42"/>
      <c r="E130" s="42"/>
      <c r="F130" s="42"/>
      <c r="G130" s="42"/>
      <c r="H130" s="42"/>
      <c r="I130" s="42"/>
      <c r="J130" s="42"/>
      <c r="K130" s="42"/>
      <c r="L130" s="42"/>
      <c r="M130" s="42"/>
      <c r="N130" s="42"/>
      <c r="O130" s="42"/>
      <c r="P130" s="42"/>
      <c r="Q130" s="42"/>
      <c r="R130" s="42"/>
      <c r="S130" s="42"/>
      <c r="T130" s="42"/>
      <c r="U130" s="42"/>
    </row>
    <row r="132" spans="2:23" ht="18.75" customHeight="1">
      <c r="B132" s="43" t="s">
        <v>163</v>
      </c>
      <c r="C132" s="51" t="s">
        <v>3499</v>
      </c>
      <c r="D132" s="88"/>
      <c r="W132" s="35" t="str">
        <f>"-- "&amp;B132&amp;" : "&amp;C132</f>
        <v>-- SQL_ID : 01_A1-10</v>
      </c>
    </row>
    <row r="133" spans="2:23" ht="18.75" customHeight="1">
      <c r="B133" s="43" t="s">
        <v>158</v>
      </c>
      <c r="C133" s="118" t="str">
        <f>R136&amp;"登録"</f>
        <v>バックアップ_二次利用DB登録患者データ_MML登録</v>
      </c>
      <c r="D133" s="119"/>
      <c r="E133" s="119"/>
      <c r="F133" s="119"/>
      <c r="G133" s="119"/>
      <c r="H133" s="119"/>
      <c r="I133" s="119"/>
      <c r="J133" s="119"/>
      <c r="K133" s="119"/>
      <c r="L133" s="119"/>
      <c r="M133" s="119"/>
      <c r="N133" s="119"/>
      <c r="O133" s="119"/>
      <c r="P133" s="119"/>
      <c r="Q133" s="119"/>
      <c r="R133" s="119"/>
      <c r="S133" s="119"/>
      <c r="T133" s="119"/>
      <c r="U133" s="120"/>
      <c r="W133" s="35" t="str">
        <f>"-- "&amp;C133</f>
        <v>-- バックアップ_二次利用DB登録患者データ_MML登録</v>
      </c>
    </row>
    <row r="134" spans="2:23" ht="18.75" customHeight="1">
      <c r="B134" s="43" t="s">
        <v>159</v>
      </c>
      <c r="C134" s="121" t="str">
        <f>C136&amp;"テーブルから組入れ条件の第一条件で絞り込んだ結果を"&amp;R136&amp;"テーブルに格納する。"</f>
        <v>二次利用DB登録患者データ_MMLテーブルから組入れ条件の第一条件で絞り込んだ結果をバックアップ_二次利用DB登録患者データ_MMLテーブルに格納する。</v>
      </c>
      <c r="D134" s="122"/>
      <c r="E134" s="122"/>
      <c r="F134" s="122"/>
      <c r="G134" s="122"/>
      <c r="H134" s="122"/>
      <c r="I134" s="122"/>
      <c r="J134" s="122"/>
      <c r="K134" s="122"/>
      <c r="L134" s="122"/>
      <c r="M134" s="122"/>
      <c r="N134" s="122"/>
      <c r="O134" s="122"/>
      <c r="P134" s="122"/>
      <c r="Q134" s="122"/>
      <c r="R134" s="122"/>
      <c r="S134" s="122"/>
      <c r="T134" s="122"/>
      <c r="U134" s="123"/>
      <c r="W134" s="35" t="str">
        <f>"-- "&amp;C134</f>
        <v>-- 二次利用DB登録患者データ_MMLテーブルから組入れ条件の第一条件で絞り込んだ結果をバックアップ_二次利用DB登録患者データ_MMLテーブルに格納する。</v>
      </c>
    </row>
    <row r="136" spans="2:23" ht="18.75" customHeight="1">
      <c r="C136" s="110" t="s">
        <v>3500</v>
      </c>
      <c r="D136" s="111"/>
      <c r="E136" s="116" t="s">
        <v>162</v>
      </c>
      <c r="H136" s="36"/>
      <c r="I136" s="36"/>
      <c r="J136" s="36"/>
      <c r="K136" s="36"/>
      <c r="L136" s="36"/>
      <c r="M136" s="36"/>
      <c r="N136" s="36"/>
      <c r="O136" s="36"/>
      <c r="P136" s="36"/>
      <c r="Q136" s="36"/>
      <c r="R136" s="110" t="str">
        <f>"バックアップ_"&amp;SUBSTITUTE(C136,"_結合","")</f>
        <v>バックアップ_二次利用DB登録患者データ_MML</v>
      </c>
      <c r="S136" s="111"/>
      <c r="T136" s="114" t="str">
        <f>エンティティ一覧!$O$2</f>
        <v>milscm_2023_009</v>
      </c>
    </row>
    <row r="137" spans="2:23" ht="18.75" customHeight="1">
      <c r="C137" s="112"/>
      <c r="D137" s="113"/>
      <c r="E137" s="117"/>
      <c r="F137" s="37"/>
      <c r="G137" s="38"/>
      <c r="H137" s="37"/>
      <c r="I137" s="37"/>
      <c r="J137" s="37"/>
      <c r="K137" s="37"/>
      <c r="L137" s="37"/>
      <c r="M137" s="37"/>
      <c r="N137" s="37"/>
      <c r="O137" s="37"/>
      <c r="P137" s="37"/>
      <c r="Q137" s="37"/>
      <c r="R137" s="112"/>
      <c r="S137" s="113"/>
      <c r="T137" s="115"/>
    </row>
    <row r="138" spans="2:23" ht="18.75" customHeight="1">
      <c r="F138" s="39"/>
      <c r="G138" s="40"/>
    </row>
    <row r="139" spans="2:23" ht="18.75" customHeight="1">
      <c r="C139" s="110" t="s">
        <v>3185</v>
      </c>
      <c r="D139" s="111"/>
      <c r="E139" s="114" t="str">
        <f>エンティティ一覧!$O$2</f>
        <v>milscm_2023_009</v>
      </c>
      <c r="G139" s="41"/>
    </row>
    <row r="140" spans="2:23" ht="18.75" customHeight="1">
      <c r="C140" s="112"/>
      <c r="D140" s="113"/>
      <c r="E140" s="115"/>
      <c r="F140" s="37"/>
    </row>
    <row r="142" spans="2:23" ht="18.75" customHeight="1" thickBot="1">
      <c r="B142" s="42"/>
      <c r="C142" s="42"/>
      <c r="D142" s="42"/>
      <c r="E142" s="42"/>
      <c r="F142" s="42"/>
      <c r="G142" s="42"/>
      <c r="H142" s="42"/>
      <c r="I142" s="42"/>
      <c r="J142" s="42"/>
      <c r="K142" s="42"/>
      <c r="L142" s="42"/>
      <c r="M142" s="42"/>
      <c r="N142" s="42"/>
      <c r="O142" s="42"/>
      <c r="P142" s="42"/>
      <c r="Q142" s="42"/>
      <c r="R142" s="42"/>
      <c r="S142" s="42"/>
      <c r="T142" s="42"/>
      <c r="U142" s="42"/>
    </row>
    <row r="144" spans="2:23" ht="18.75" customHeight="1">
      <c r="B144" s="43" t="s">
        <v>163</v>
      </c>
      <c r="C144" s="51" t="s">
        <v>3501</v>
      </c>
      <c r="D144" s="88"/>
      <c r="W144" s="35" t="str">
        <f>"-- "&amp;B144&amp;" : "&amp;C144</f>
        <v>-- SQL_ID : 01_A1-11</v>
      </c>
    </row>
    <row r="145" spans="2:23" ht="18.75" customHeight="1">
      <c r="B145" s="43" t="s">
        <v>158</v>
      </c>
      <c r="C145" s="118" t="str">
        <f>R148&amp;"登録"</f>
        <v>バックアップ_二次利用DB登録患者紐付けデータ登録</v>
      </c>
      <c r="D145" s="119"/>
      <c r="E145" s="119"/>
      <c r="F145" s="119"/>
      <c r="G145" s="119"/>
      <c r="H145" s="119"/>
      <c r="I145" s="119"/>
      <c r="J145" s="119"/>
      <c r="K145" s="119"/>
      <c r="L145" s="119"/>
      <c r="M145" s="119"/>
      <c r="N145" s="119"/>
      <c r="O145" s="119"/>
      <c r="P145" s="119"/>
      <c r="Q145" s="119"/>
      <c r="R145" s="119"/>
      <c r="S145" s="119"/>
      <c r="T145" s="119"/>
      <c r="U145" s="120"/>
      <c r="W145" s="35" t="str">
        <f>"-- "&amp;C145</f>
        <v>-- バックアップ_二次利用DB登録患者紐付けデータ登録</v>
      </c>
    </row>
    <row r="146" spans="2:23" ht="18.75" customHeight="1">
      <c r="B146" s="43" t="s">
        <v>159</v>
      </c>
      <c r="C146" s="121" t="str">
        <f>C148&amp;"テーブルから組入れ条件の第一条件で絞り込んだ結果を"&amp;R148&amp;"テーブルに格納する。"</f>
        <v>二次利用DB登録患者紐付けデータテーブルから組入れ条件の第一条件で絞り込んだ結果をバックアップ_二次利用DB登録患者紐付けデータテーブルに格納する。</v>
      </c>
      <c r="D146" s="122"/>
      <c r="E146" s="122"/>
      <c r="F146" s="122"/>
      <c r="G146" s="122"/>
      <c r="H146" s="122"/>
      <c r="I146" s="122"/>
      <c r="J146" s="122"/>
      <c r="K146" s="122"/>
      <c r="L146" s="122"/>
      <c r="M146" s="122"/>
      <c r="N146" s="122"/>
      <c r="O146" s="122"/>
      <c r="P146" s="122"/>
      <c r="Q146" s="122"/>
      <c r="R146" s="122"/>
      <c r="S146" s="122"/>
      <c r="T146" s="122"/>
      <c r="U146" s="123"/>
      <c r="W146" s="35" t="str">
        <f>"-- "&amp;C146</f>
        <v>-- 二次利用DB登録患者紐付けデータテーブルから組入れ条件の第一条件で絞り込んだ結果をバックアップ_二次利用DB登録患者紐付けデータテーブルに格納する。</v>
      </c>
    </row>
    <row r="148" spans="2:23" ht="18.75" customHeight="1">
      <c r="C148" s="110" t="s">
        <v>3502</v>
      </c>
      <c r="D148" s="111"/>
      <c r="E148" s="116" t="s">
        <v>162</v>
      </c>
      <c r="H148" s="36"/>
      <c r="I148" s="36"/>
      <c r="J148" s="36"/>
      <c r="K148" s="36"/>
      <c r="L148" s="36"/>
      <c r="M148" s="36"/>
      <c r="N148" s="36"/>
      <c r="O148" s="36"/>
      <c r="P148" s="36"/>
      <c r="Q148" s="36"/>
      <c r="R148" s="110" t="str">
        <f>"バックアップ_"&amp;SUBSTITUTE(C148,"_結合","")</f>
        <v>バックアップ_二次利用DB登録患者紐付けデータ</v>
      </c>
      <c r="S148" s="111"/>
      <c r="T148" s="114" t="str">
        <f>エンティティ一覧!$O$2</f>
        <v>milscm_2023_009</v>
      </c>
    </row>
    <row r="149" spans="2:23" ht="18.75" customHeight="1">
      <c r="C149" s="112"/>
      <c r="D149" s="113"/>
      <c r="E149" s="117"/>
      <c r="F149" s="37"/>
      <c r="G149" s="38"/>
      <c r="H149" s="37"/>
      <c r="I149" s="37"/>
      <c r="J149" s="37"/>
      <c r="K149" s="37"/>
      <c r="L149" s="37"/>
      <c r="M149" s="37"/>
      <c r="N149" s="37"/>
      <c r="O149" s="37"/>
      <c r="P149" s="37"/>
      <c r="Q149" s="37"/>
      <c r="R149" s="112"/>
      <c r="S149" s="113"/>
      <c r="T149" s="115"/>
    </row>
    <row r="150" spans="2:23" ht="18.75" customHeight="1">
      <c r="F150" s="39"/>
      <c r="G150" s="40"/>
    </row>
    <row r="151" spans="2:23" ht="18.75" customHeight="1">
      <c r="C151" s="110" t="s">
        <v>3185</v>
      </c>
      <c r="D151" s="111"/>
      <c r="E151" s="114" t="str">
        <f>エンティティ一覧!$O$2</f>
        <v>milscm_2023_009</v>
      </c>
      <c r="G151" s="41"/>
    </row>
    <row r="152" spans="2:23" ht="18.75" customHeight="1">
      <c r="C152" s="112"/>
      <c r="D152" s="113"/>
      <c r="E152" s="115"/>
      <c r="F152" s="37"/>
    </row>
    <row r="154" spans="2:23" ht="18.75" customHeight="1" thickBot="1">
      <c r="B154" s="42"/>
      <c r="C154" s="42"/>
      <c r="D154" s="42"/>
      <c r="E154" s="42"/>
      <c r="F154" s="42"/>
      <c r="G154" s="42"/>
      <c r="H154" s="42"/>
      <c r="I154" s="42"/>
      <c r="J154" s="42"/>
      <c r="K154" s="42"/>
      <c r="L154" s="42"/>
      <c r="M154" s="42"/>
      <c r="N154" s="42"/>
      <c r="O154" s="42"/>
      <c r="P154" s="42"/>
      <c r="Q154" s="42"/>
      <c r="R154" s="42"/>
      <c r="S154" s="42"/>
      <c r="T154" s="42"/>
      <c r="U154" s="42"/>
    </row>
    <row r="156" spans="2:23" ht="18.75" customHeight="1">
      <c r="B156" s="43" t="s">
        <v>163</v>
      </c>
      <c r="C156" s="51" t="s">
        <v>3503</v>
      </c>
      <c r="D156" s="88"/>
      <c r="W156" s="35" t="str">
        <f>"-- "&amp;B156&amp;" : "&amp;C156</f>
        <v>-- SQL_ID : 01_A1-13</v>
      </c>
    </row>
    <row r="157" spans="2:23" ht="18.75" customHeight="1">
      <c r="B157" s="43" t="s">
        <v>158</v>
      </c>
      <c r="C157" s="118" t="str">
        <f>R160&amp;"登録"</f>
        <v>バックアップ_エラー患者データ登録</v>
      </c>
      <c r="D157" s="119"/>
      <c r="E157" s="119"/>
      <c r="F157" s="119"/>
      <c r="G157" s="119"/>
      <c r="H157" s="119"/>
      <c r="I157" s="119"/>
      <c r="J157" s="119"/>
      <c r="K157" s="119"/>
      <c r="L157" s="119"/>
      <c r="M157" s="119"/>
      <c r="N157" s="119"/>
      <c r="O157" s="119"/>
      <c r="P157" s="119"/>
      <c r="Q157" s="119"/>
      <c r="R157" s="119"/>
      <c r="S157" s="119"/>
      <c r="T157" s="119"/>
      <c r="U157" s="120"/>
      <c r="W157" s="35" t="str">
        <f>"-- "&amp;C157</f>
        <v>-- バックアップ_エラー患者データ登録</v>
      </c>
    </row>
    <row r="158" spans="2:23" ht="18.75" customHeight="1">
      <c r="B158" s="43" t="s">
        <v>159</v>
      </c>
      <c r="C158" s="121" t="str">
        <f>C160&amp;"テーブルから組入れ条件の第一条件で絞り込んだ結果を"&amp;R160&amp;"テーブルに格納する。"</f>
        <v>エラー患者データテーブルから組入れ条件の第一条件で絞り込んだ結果をバックアップ_エラー患者データテーブルに格納する。</v>
      </c>
      <c r="D158" s="122"/>
      <c r="E158" s="122"/>
      <c r="F158" s="122"/>
      <c r="G158" s="122"/>
      <c r="H158" s="122"/>
      <c r="I158" s="122"/>
      <c r="J158" s="122"/>
      <c r="K158" s="122"/>
      <c r="L158" s="122"/>
      <c r="M158" s="122"/>
      <c r="N158" s="122"/>
      <c r="O158" s="122"/>
      <c r="P158" s="122"/>
      <c r="Q158" s="122"/>
      <c r="R158" s="122"/>
      <c r="S158" s="122"/>
      <c r="T158" s="122"/>
      <c r="U158" s="123"/>
      <c r="W158" s="35" t="str">
        <f>"-- "&amp;C158</f>
        <v>-- エラー患者データテーブルから組入れ条件の第一条件で絞り込んだ結果をバックアップ_エラー患者データテーブルに格納する。</v>
      </c>
    </row>
    <row r="160" spans="2:23" ht="18.75" customHeight="1">
      <c r="C160" s="110" t="s">
        <v>3504</v>
      </c>
      <c r="D160" s="111"/>
      <c r="E160" s="116" t="s">
        <v>162</v>
      </c>
      <c r="H160" s="36"/>
      <c r="I160" s="36"/>
      <c r="J160" s="36"/>
      <c r="K160" s="36"/>
      <c r="L160" s="36"/>
      <c r="M160" s="36"/>
      <c r="N160" s="36"/>
      <c r="O160" s="36"/>
      <c r="P160" s="36"/>
      <c r="Q160" s="36"/>
      <c r="R160" s="110" t="str">
        <f>"バックアップ_"&amp;SUBSTITUTE(C160,"_結合","")</f>
        <v>バックアップ_エラー患者データ</v>
      </c>
      <c r="S160" s="111"/>
      <c r="T160" s="114" t="str">
        <f>エンティティ一覧!$O$2</f>
        <v>milscm_2023_009</v>
      </c>
    </row>
    <row r="161" spans="2:23" ht="18.75" customHeight="1">
      <c r="C161" s="112"/>
      <c r="D161" s="113"/>
      <c r="E161" s="117"/>
      <c r="F161" s="37"/>
      <c r="G161" s="38"/>
      <c r="H161" s="37"/>
      <c r="I161" s="37"/>
      <c r="J161" s="37"/>
      <c r="K161" s="37"/>
      <c r="L161" s="37"/>
      <c r="M161" s="37"/>
      <c r="N161" s="37"/>
      <c r="O161" s="37"/>
      <c r="P161" s="37"/>
      <c r="Q161" s="37"/>
      <c r="R161" s="112"/>
      <c r="S161" s="113"/>
      <c r="T161" s="115"/>
    </row>
    <row r="162" spans="2:23" ht="18.75" customHeight="1">
      <c r="F162" s="39"/>
      <c r="G162" s="40"/>
    </row>
    <row r="163" spans="2:23" ht="18.75" customHeight="1">
      <c r="C163" s="110" t="s">
        <v>3185</v>
      </c>
      <c r="D163" s="111"/>
      <c r="E163" s="114" t="str">
        <f>エンティティ一覧!$O$2</f>
        <v>milscm_2023_009</v>
      </c>
      <c r="G163" s="41"/>
    </row>
    <row r="164" spans="2:23" ht="18.75" customHeight="1">
      <c r="C164" s="112"/>
      <c r="D164" s="113"/>
      <c r="E164" s="115"/>
      <c r="F164" s="37"/>
    </row>
    <row r="166" spans="2:23" ht="18.75" customHeight="1" thickBot="1">
      <c r="B166" s="42"/>
      <c r="C166" s="42"/>
      <c r="D166" s="42"/>
      <c r="E166" s="42"/>
      <c r="F166" s="42"/>
      <c r="G166" s="42"/>
      <c r="H166" s="42"/>
      <c r="I166" s="42"/>
      <c r="J166" s="42"/>
      <c r="K166" s="42"/>
      <c r="L166" s="42"/>
      <c r="M166" s="42"/>
      <c r="N166" s="42"/>
      <c r="O166" s="42"/>
      <c r="P166" s="42"/>
      <c r="Q166" s="42"/>
      <c r="R166" s="42"/>
      <c r="S166" s="42"/>
      <c r="T166" s="42"/>
      <c r="U166" s="42"/>
    </row>
    <row r="168" spans="2:23" ht="18.75" customHeight="1">
      <c r="B168" s="43" t="s">
        <v>163</v>
      </c>
      <c r="C168" s="51" t="s">
        <v>3505</v>
      </c>
      <c r="D168" s="88"/>
      <c r="W168" s="35" t="str">
        <f>"-- "&amp;B168&amp;" : "&amp;C168</f>
        <v>-- SQL_ID : 01_A1-14</v>
      </c>
    </row>
    <row r="169" spans="2:23" ht="18.75" customHeight="1">
      <c r="B169" s="43" t="s">
        <v>158</v>
      </c>
      <c r="C169" s="118" t="str">
        <f>R172&amp;"登録"</f>
        <v>バックアップ_患者基本データ登録</v>
      </c>
      <c r="D169" s="119"/>
      <c r="E169" s="119"/>
      <c r="F169" s="119"/>
      <c r="G169" s="119"/>
      <c r="H169" s="119"/>
      <c r="I169" s="119"/>
      <c r="J169" s="119"/>
      <c r="K169" s="119"/>
      <c r="L169" s="119"/>
      <c r="M169" s="119"/>
      <c r="N169" s="119"/>
      <c r="O169" s="119"/>
      <c r="P169" s="119"/>
      <c r="Q169" s="119"/>
      <c r="R169" s="119"/>
      <c r="S169" s="119"/>
      <c r="T169" s="119"/>
      <c r="U169" s="120"/>
      <c r="W169" s="35" t="str">
        <f>"-- "&amp;C169</f>
        <v>-- バックアップ_患者基本データ登録</v>
      </c>
    </row>
    <row r="170" spans="2:23" ht="18.75" customHeight="1">
      <c r="B170" s="43" t="s">
        <v>159</v>
      </c>
      <c r="C170" s="121" t="str">
        <f>C172&amp;"テーブルから組入れ条件の第一条件で絞り込んだ結果を"&amp;R172&amp;"テーブルに格納する。"</f>
        <v>患者基本データテーブルから組入れ条件の第一条件で絞り込んだ結果をバックアップ_患者基本データテーブルに格納する。</v>
      </c>
      <c r="D170" s="122"/>
      <c r="E170" s="122"/>
      <c r="F170" s="122"/>
      <c r="G170" s="122"/>
      <c r="H170" s="122"/>
      <c r="I170" s="122"/>
      <c r="J170" s="122"/>
      <c r="K170" s="122"/>
      <c r="L170" s="122"/>
      <c r="M170" s="122"/>
      <c r="N170" s="122"/>
      <c r="O170" s="122"/>
      <c r="P170" s="122"/>
      <c r="Q170" s="122"/>
      <c r="R170" s="122"/>
      <c r="S170" s="122"/>
      <c r="T170" s="122"/>
      <c r="U170" s="123"/>
      <c r="W170" s="35" t="str">
        <f>"-- "&amp;C170</f>
        <v>-- 患者基本データテーブルから組入れ条件の第一条件で絞り込んだ結果をバックアップ_患者基本データテーブルに格納する。</v>
      </c>
    </row>
    <row r="172" spans="2:23" ht="18.75" customHeight="1">
      <c r="C172" s="110" t="s">
        <v>3506</v>
      </c>
      <c r="D172" s="111"/>
      <c r="E172" s="116" t="s">
        <v>162</v>
      </c>
      <c r="H172" s="36"/>
      <c r="I172" s="36"/>
      <c r="J172" s="36"/>
      <c r="K172" s="36"/>
      <c r="L172" s="36"/>
      <c r="M172" s="36"/>
      <c r="N172" s="36"/>
      <c r="O172" s="36"/>
      <c r="P172" s="36"/>
      <c r="Q172" s="36"/>
      <c r="R172" s="110" t="str">
        <f>"バックアップ_"&amp;SUBSTITUTE(C172,"_結合","")</f>
        <v>バックアップ_患者基本データ</v>
      </c>
      <c r="S172" s="111"/>
      <c r="T172" s="114" t="str">
        <f>エンティティ一覧!$O$2</f>
        <v>milscm_2023_009</v>
      </c>
    </row>
    <row r="173" spans="2:23" ht="18.75" customHeight="1">
      <c r="C173" s="112"/>
      <c r="D173" s="113"/>
      <c r="E173" s="117"/>
      <c r="F173" s="37"/>
      <c r="G173" s="38"/>
      <c r="H173" s="37"/>
      <c r="I173" s="37"/>
      <c r="J173" s="37"/>
      <c r="K173" s="37"/>
      <c r="L173" s="37"/>
      <c r="M173" s="37"/>
      <c r="N173" s="37"/>
      <c r="O173" s="37"/>
      <c r="P173" s="37"/>
      <c r="Q173" s="37"/>
      <c r="R173" s="112"/>
      <c r="S173" s="113"/>
      <c r="T173" s="115"/>
    </row>
    <row r="174" spans="2:23" ht="18.75" customHeight="1">
      <c r="F174" s="39"/>
      <c r="G174" s="40"/>
    </row>
    <row r="175" spans="2:23" ht="18.75" customHeight="1">
      <c r="C175" s="110" t="s">
        <v>3185</v>
      </c>
      <c r="D175" s="111"/>
      <c r="E175" s="114" t="str">
        <f>エンティティ一覧!$O$2</f>
        <v>milscm_2023_009</v>
      </c>
      <c r="G175" s="41"/>
    </row>
    <row r="176" spans="2:23" ht="18.75" customHeight="1">
      <c r="C176" s="112"/>
      <c r="D176" s="113"/>
      <c r="E176" s="115"/>
      <c r="F176" s="37"/>
    </row>
    <row r="178" spans="2:23" ht="18.75" customHeight="1" thickBot="1">
      <c r="B178" s="42"/>
      <c r="C178" s="42"/>
      <c r="D178" s="42"/>
      <c r="E178" s="42"/>
      <c r="F178" s="42"/>
      <c r="G178" s="42"/>
      <c r="H178" s="42"/>
      <c r="I178" s="42"/>
      <c r="J178" s="42"/>
      <c r="K178" s="42"/>
      <c r="L178" s="42"/>
      <c r="M178" s="42"/>
      <c r="N178" s="42"/>
      <c r="O178" s="42"/>
      <c r="P178" s="42"/>
      <c r="Q178" s="42"/>
      <c r="R178" s="42"/>
      <c r="S178" s="42"/>
      <c r="T178" s="42"/>
      <c r="U178" s="42"/>
    </row>
    <row r="180" spans="2:23" ht="18.75" customHeight="1">
      <c r="B180" s="43" t="s">
        <v>163</v>
      </c>
      <c r="C180" s="51" t="s">
        <v>3507</v>
      </c>
      <c r="D180" s="88"/>
      <c r="W180" s="35" t="str">
        <f>"-- "&amp;B180&amp;" : "&amp;C180</f>
        <v>-- SQL_ID : 01_A3-02</v>
      </c>
    </row>
    <row r="181" spans="2:23" ht="18.75" customHeight="1">
      <c r="B181" s="43" t="s">
        <v>158</v>
      </c>
      <c r="C181" s="118" t="str">
        <f>R184&amp;"登録"</f>
        <v>バックアップ_施設属性マスタ取込用登録</v>
      </c>
      <c r="D181" s="119"/>
      <c r="E181" s="119"/>
      <c r="F181" s="119"/>
      <c r="G181" s="119"/>
      <c r="H181" s="119"/>
      <c r="I181" s="119"/>
      <c r="J181" s="119"/>
      <c r="K181" s="119"/>
      <c r="L181" s="119"/>
      <c r="M181" s="119"/>
      <c r="N181" s="119"/>
      <c r="O181" s="119"/>
      <c r="P181" s="119"/>
      <c r="Q181" s="119"/>
      <c r="R181" s="119"/>
      <c r="S181" s="119"/>
      <c r="T181" s="119"/>
      <c r="U181" s="120"/>
      <c r="W181" s="35" t="str">
        <f>"-- "&amp;C181</f>
        <v>-- バックアップ_施設属性マスタ取込用登録</v>
      </c>
    </row>
    <row r="182" spans="2:23" ht="18.75" customHeight="1">
      <c r="B182" s="43" t="s">
        <v>159</v>
      </c>
      <c r="C182" s="121" t="str">
        <f>C184&amp;"テーブルのレコードを"&amp;R184&amp;"テーブルに格納する。"</f>
        <v>施設属性マスタ取込用テーブルのレコードをバックアップ_施設属性マスタ取込用テーブルに格納する。</v>
      </c>
      <c r="D182" s="122"/>
      <c r="E182" s="122"/>
      <c r="F182" s="122"/>
      <c r="G182" s="122"/>
      <c r="H182" s="122"/>
      <c r="I182" s="122"/>
      <c r="J182" s="122"/>
      <c r="K182" s="122"/>
      <c r="L182" s="122"/>
      <c r="M182" s="122"/>
      <c r="N182" s="122"/>
      <c r="O182" s="122"/>
      <c r="P182" s="122"/>
      <c r="Q182" s="122"/>
      <c r="R182" s="122"/>
      <c r="S182" s="122"/>
      <c r="T182" s="122"/>
      <c r="U182" s="123"/>
      <c r="W182" s="35" t="str">
        <f>"-- "&amp;C182</f>
        <v>-- 施設属性マスタ取込用テーブルのレコードをバックアップ_施設属性マスタ取込用テーブルに格納する。</v>
      </c>
    </row>
    <row r="184" spans="2:23" ht="18.75" customHeight="1">
      <c r="C184" s="110" t="s">
        <v>3508</v>
      </c>
      <c r="D184" s="111"/>
      <c r="E184" s="116" t="s">
        <v>162</v>
      </c>
      <c r="F184" s="36"/>
      <c r="G184" s="36"/>
      <c r="H184" s="36"/>
      <c r="I184" s="36"/>
      <c r="J184" s="36"/>
      <c r="K184" s="36"/>
      <c r="L184" s="36"/>
      <c r="M184" s="36"/>
      <c r="N184" s="36"/>
      <c r="O184" s="36"/>
      <c r="P184" s="36"/>
      <c r="Q184" s="36"/>
      <c r="R184" s="110" t="str">
        <f>"バックアップ_"&amp;SUBSTITUTE(C184,"_結合","")</f>
        <v>バックアップ_施設属性マスタ取込用</v>
      </c>
      <c r="S184" s="111"/>
      <c r="T184" s="114" t="str">
        <f>エンティティ一覧!$O$2</f>
        <v>milscm_2023_009</v>
      </c>
    </row>
    <row r="185" spans="2:23" ht="18.75" customHeight="1">
      <c r="C185" s="112"/>
      <c r="D185" s="113"/>
      <c r="E185" s="117"/>
      <c r="F185" s="37"/>
      <c r="G185" s="37"/>
      <c r="H185" s="37"/>
      <c r="I185" s="37"/>
      <c r="J185" s="37"/>
      <c r="K185" s="37"/>
      <c r="L185" s="37"/>
      <c r="M185" s="37"/>
      <c r="N185" s="37"/>
      <c r="O185" s="37"/>
      <c r="P185" s="37"/>
      <c r="Q185" s="37"/>
      <c r="R185" s="112"/>
      <c r="S185" s="113"/>
      <c r="T185" s="115"/>
    </row>
    <row r="187" spans="2:23" ht="18.75" customHeight="1" thickBot="1">
      <c r="B187" s="42"/>
      <c r="C187" s="42"/>
      <c r="D187" s="42"/>
      <c r="E187" s="42"/>
      <c r="F187" s="42"/>
      <c r="G187" s="42"/>
      <c r="H187" s="42"/>
      <c r="I187" s="42"/>
      <c r="J187" s="42"/>
      <c r="K187" s="42"/>
      <c r="L187" s="42"/>
      <c r="M187" s="42"/>
      <c r="N187" s="42"/>
      <c r="O187" s="42"/>
      <c r="P187" s="42"/>
      <c r="Q187" s="42"/>
      <c r="R187" s="42"/>
      <c r="S187" s="42"/>
      <c r="T187" s="42"/>
      <c r="U187" s="42"/>
    </row>
    <row r="189" spans="2:23" ht="18.75" customHeight="1">
      <c r="B189" s="43" t="s">
        <v>163</v>
      </c>
      <c r="C189" s="51" t="s">
        <v>3509</v>
      </c>
      <c r="D189" s="88"/>
      <c r="W189" s="35" t="str">
        <f>"-- "&amp;B189&amp;" : "&amp;C189</f>
        <v>-- SQL_ID : 01_A3-03</v>
      </c>
    </row>
    <row r="190" spans="2:23" ht="18.75" customHeight="1">
      <c r="B190" s="43" t="s">
        <v>158</v>
      </c>
      <c r="C190" s="118" t="str">
        <f>R193&amp;"登録"</f>
        <v>バックアップ_二次医療圏マスタ取込用登録</v>
      </c>
      <c r="D190" s="119"/>
      <c r="E190" s="119"/>
      <c r="F190" s="119"/>
      <c r="G190" s="119"/>
      <c r="H190" s="119"/>
      <c r="I190" s="119"/>
      <c r="J190" s="119"/>
      <c r="K190" s="119"/>
      <c r="L190" s="119"/>
      <c r="M190" s="119"/>
      <c r="N190" s="119"/>
      <c r="O190" s="119"/>
      <c r="P190" s="119"/>
      <c r="Q190" s="119"/>
      <c r="R190" s="119"/>
      <c r="S190" s="119"/>
      <c r="T190" s="119"/>
      <c r="U190" s="120"/>
      <c r="W190" s="35" t="str">
        <f>"-- "&amp;C190</f>
        <v>-- バックアップ_二次医療圏マスタ取込用登録</v>
      </c>
    </row>
    <row r="191" spans="2:23" ht="18.75" customHeight="1">
      <c r="B191" s="43" t="s">
        <v>159</v>
      </c>
      <c r="C191" s="121" t="str">
        <f>C193&amp;"テーブルのレコードを"&amp;R193&amp;"テーブルに格納する。"</f>
        <v>二次医療圏マスタ取込用テーブルのレコードをバックアップ_二次医療圏マスタ取込用テーブルに格納する。</v>
      </c>
      <c r="D191" s="122"/>
      <c r="E191" s="122"/>
      <c r="F191" s="122"/>
      <c r="G191" s="122"/>
      <c r="H191" s="122"/>
      <c r="I191" s="122"/>
      <c r="J191" s="122"/>
      <c r="K191" s="122"/>
      <c r="L191" s="122"/>
      <c r="M191" s="122"/>
      <c r="N191" s="122"/>
      <c r="O191" s="122"/>
      <c r="P191" s="122"/>
      <c r="Q191" s="122"/>
      <c r="R191" s="122"/>
      <c r="S191" s="122"/>
      <c r="T191" s="122"/>
      <c r="U191" s="123"/>
      <c r="W191" s="35" t="str">
        <f>"-- "&amp;C191</f>
        <v>-- 二次医療圏マスタ取込用テーブルのレコードをバックアップ_二次医療圏マスタ取込用テーブルに格納する。</v>
      </c>
    </row>
    <row r="193" spans="2:23" ht="18.75" customHeight="1">
      <c r="C193" s="110" t="s">
        <v>3510</v>
      </c>
      <c r="D193" s="111"/>
      <c r="E193" s="116" t="s">
        <v>162</v>
      </c>
      <c r="F193" s="36"/>
      <c r="G193" s="36"/>
      <c r="H193" s="36"/>
      <c r="I193" s="36"/>
      <c r="J193" s="36"/>
      <c r="K193" s="36"/>
      <c r="L193" s="36"/>
      <c r="M193" s="36"/>
      <c r="N193" s="36"/>
      <c r="O193" s="36"/>
      <c r="P193" s="36"/>
      <c r="Q193" s="36"/>
      <c r="R193" s="110" t="str">
        <f>"バックアップ_"&amp;SUBSTITUTE(C193,"_結合","")</f>
        <v>バックアップ_二次医療圏マスタ取込用</v>
      </c>
      <c r="S193" s="111"/>
      <c r="T193" s="114" t="str">
        <f>エンティティ一覧!$O$2</f>
        <v>milscm_2023_009</v>
      </c>
    </row>
    <row r="194" spans="2:23" ht="18.75" customHeight="1">
      <c r="C194" s="112"/>
      <c r="D194" s="113"/>
      <c r="E194" s="117"/>
      <c r="F194" s="37"/>
      <c r="G194" s="37"/>
      <c r="H194" s="37"/>
      <c r="I194" s="37"/>
      <c r="J194" s="37"/>
      <c r="K194" s="37"/>
      <c r="L194" s="37"/>
      <c r="M194" s="37"/>
      <c r="N194" s="37"/>
      <c r="O194" s="37"/>
      <c r="P194" s="37"/>
      <c r="Q194" s="37"/>
      <c r="R194" s="112"/>
      <c r="S194" s="113"/>
      <c r="T194" s="115"/>
    </row>
    <row r="196" spans="2:23" ht="18.75" customHeight="1" thickBot="1">
      <c r="B196" s="42"/>
      <c r="C196" s="42"/>
      <c r="D196" s="42"/>
      <c r="E196" s="42"/>
      <c r="F196" s="42"/>
      <c r="G196" s="42"/>
      <c r="H196" s="42"/>
      <c r="I196" s="42"/>
      <c r="J196" s="42"/>
      <c r="K196" s="42"/>
      <c r="L196" s="42"/>
      <c r="M196" s="42"/>
      <c r="N196" s="42"/>
      <c r="O196" s="42"/>
      <c r="P196" s="42"/>
      <c r="Q196" s="42"/>
      <c r="R196" s="42"/>
      <c r="S196" s="42"/>
      <c r="T196" s="42"/>
      <c r="U196" s="42"/>
    </row>
    <row r="198" spans="2:23" ht="18.75" customHeight="1">
      <c r="B198" s="43" t="s">
        <v>163</v>
      </c>
      <c r="C198" s="51" t="s">
        <v>3511</v>
      </c>
      <c r="D198" s="88"/>
      <c r="W198" s="35" t="str">
        <f>"-- "&amp;B198&amp;" : "&amp;C198</f>
        <v>-- SQL_ID : 01_A3-04</v>
      </c>
    </row>
    <row r="199" spans="2:23" ht="18.75" customHeight="1">
      <c r="B199" s="43" t="s">
        <v>158</v>
      </c>
      <c r="C199" s="118" t="str">
        <f>R202&amp;"登録"</f>
        <v>バックアップ_新旧医薬品コードマスタ取込用登録</v>
      </c>
      <c r="D199" s="119"/>
      <c r="E199" s="119"/>
      <c r="F199" s="119"/>
      <c r="G199" s="119"/>
      <c r="H199" s="119"/>
      <c r="I199" s="119"/>
      <c r="J199" s="119"/>
      <c r="K199" s="119"/>
      <c r="L199" s="119"/>
      <c r="M199" s="119"/>
      <c r="N199" s="119"/>
      <c r="O199" s="119"/>
      <c r="P199" s="119"/>
      <c r="Q199" s="119"/>
      <c r="R199" s="119"/>
      <c r="S199" s="119"/>
      <c r="T199" s="119"/>
      <c r="U199" s="120"/>
      <c r="W199" s="35" t="str">
        <f>"-- "&amp;C199</f>
        <v>-- バックアップ_新旧医薬品コードマスタ取込用登録</v>
      </c>
    </row>
    <row r="200" spans="2:23" ht="18.75" customHeight="1">
      <c r="B200" s="43" t="s">
        <v>159</v>
      </c>
      <c r="C200" s="121" t="str">
        <f>C202&amp;"テーブルのレコードを"&amp;R202&amp;"テーブルに格納する。"</f>
        <v>新旧医薬品コードマスタ取込用テーブルのレコードをバックアップ_新旧医薬品コードマスタ取込用テーブルに格納する。</v>
      </c>
      <c r="D200" s="122"/>
      <c r="E200" s="122"/>
      <c r="F200" s="122"/>
      <c r="G200" s="122"/>
      <c r="H200" s="122"/>
      <c r="I200" s="122"/>
      <c r="J200" s="122"/>
      <c r="K200" s="122"/>
      <c r="L200" s="122"/>
      <c r="M200" s="122"/>
      <c r="N200" s="122"/>
      <c r="O200" s="122"/>
      <c r="P200" s="122"/>
      <c r="Q200" s="122"/>
      <c r="R200" s="122"/>
      <c r="S200" s="122"/>
      <c r="T200" s="122"/>
      <c r="U200" s="123"/>
      <c r="W200" s="35" t="str">
        <f>"-- "&amp;C200</f>
        <v>-- 新旧医薬品コードマスタ取込用テーブルのレコードをバックアップ_新旧医薬品コードマスタ取込用テーブルに格納する。</v>
      </c>
    </row>
    <row r="202" spans="2:23" ht="18.75" customHeight="1">
      <c r="C202" s="110" t="s">
        <v>3512</v>
      </c>
      <c r="D202" s="111"/>
      <c r="E202" s="116" t="s">
        <v>162</v>
      </c>
      <c r="F202" s="36"/>
      <c r="G202" s="36"/>
      <c r="H202" s="36"/>
      <c r="I202" s="36"/>
      <c r="J202" s="36"/>
      <c r="K202" s="36"/>
      <c r="L202" s="36"/>
      <c r="M202" s="36"/>
      <c r="N202" s="36"/>
      <c r="O202" s="36"/>
      <c r="P202" s="36"/>
      <c r="Q202" s="36"/>
      <c r="R202" s="110" t="str">
        <f>"バックアップ_"&amp;SUBSTITUTE(C202,"_結合","")</f>
        <v>バックアップ_新旧医薬品コードマスタ取込用</v>
      </c>
      <c r="S202" s="111"/>
      <c r="T202" s="114" t="str">
        <f>エンティティ一覧!$O$2</f>
        <v>milscm_2023_009</v>
      </c>
    </row>
    <row r="203" spans="2:23" ht="18.75" customHeight="1">
      <c r="C203" s="112"/>
      <c r="D203" s="113"/>
      <c r="E203" s="117"/>
      <c r="F203" s="37"/>
      <c r="G203" s="37"/>
      <c r="H203" s="37"/>
      <c r="I203" s="37"/>
      <c r="J203" s="37"/>
      <c r="K203" s="37"/>
      <c r="L203" s="37"/>
      <c r="M203" s="37"/>
      <c r="N203" s="37"/>
      <c r="O203" s="37"/>
      <c r="P203" s="37"/>
      <c r="Q203" s="37"/>
      <c r="R203" s="112"/>
      <c r="S203" s="113"/>
      <c r="T203" s="115"/>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3513</v>
      </c>
      <c r="D207" s="88"/>
      <c r="W207" s="35" t="str">
        <f>"-- "&amp;B207&amp;" : "&amp;C207</f>
        <v>-- SQL_ID : 01_A3-05</v>
      </c>
    </row>
    <row r="208" spans="2:23" ht="18.75" customHeight="1">
      <c r="B208" s="43" t="s">
        <v>158</v>
      </c>
      <c r="C208" s="118" t="str">
        <f>R211&amp;"登録"</f>
        <v>バックアップ_DPC6ICD10対応表マスタ取込用登録</v>
      </c>
      <c r="D208" s="119"/>
      <c r="E208" s="119"/>
      <c r="F208" s="119"/>
      <c r="G208" s="119"/>
      <c r="H208" s="119"/>
      <c r="I208" s="119"/>
      <c r="J208" s="119"/>
      <c r="K208" s="119"/>
      <c r="L208" s="119"/>
      <c r="M208" s="119"/>
      <c r="N208" s="119"/>
      <c r="O208" s="119"/>
      <c r="P208" s="119"/>
      <c r="Q208" s="119"/>
      <c r="R208" s="119"/>
      <c r="S208" s="119"/>
      <c r="T208" s="119"/>
      <c r="U208" s="120"/>
      <c r="W208" s="35" t="str">
        <f>"-- "&amp;C208</f>
        <v>-- バックアップ_DPC6ICD10対応表マスタ取込用登録</v>
      </c>
    </row>
    <row r="209" spans="2:23" ht="18.75" customHeight="1">
      <c r="B209" s="43" t="s">
        <v>159</v>
      </c>
      <c r="C209" s="121" t="str">
        <f>C211&amp;"テーブルのレコードを"&amp;R211&amp;"テーブルに格納する。"</f>
        <v>DPC6ICD10対応表マスタ取込用テーブルのレコードをバックアップ_DPC6ICD10対応表マスタ取込用テーブルに格納する。</v>
      </c>
      <c r="D209" s="122"/>
      <c r="E209" s="122"/>
      <c r="F209" s="122"/>
      <c r="G209" s="122"/>
      <c r="H209" s="122"/>
      <c r="I209" s="122"/>
      <c r="J209" s="122"/>
      <c r="K209" s="122"/>
      <c r="L209" s="122"/>
      <c r="M209" s="122"/>
      <c r="N209" s="122"/>
      <c r="O209" s="122"/>
      <c r="P209" s="122"/>
      <c r="Q209" s="122"/>
      <c r="R209" s="122"/>
      <c r="S209" s="122"/>
      <c r="T209" s="122"/>
      <c r="U209" s="123"/>
      <c r="W209" s="35" t="str">
        <f>"-- "&amp;C209</f>
        <v>-- DPC6ICD10対応表マスタ取込用テーブルのレコードをバックアップ_DPC6ICD10対応表マスタ取込用テーブルに格納する。</v>
      </c>
    </row>
    <row r="211" spans="2:23" ht="18.75" customHeight="1">
      <c r="C211" s="110" t="s">
        <v>3514</v>
      </c>
      <c r="D211" s="111"/>
      <c r="E211" s="116" t="s">
        <v>162</v>
      </c>
      <c r="F211" s="36"/>
      <c r="G211" s="36"/>
      <c r="H211" s="36"/>
      <c r="I211" s="36"/>
      <c r="J211" s="36"/>
      <c r="K211" s="36"/>
      <c r="L211" s="36"/>
      <c r="M211" s="36"/>
      <c r="N211" s="36"/>
      <c r="O211" s="36"/>
      <c r="P211" s="36"/>
      <c r="Q211" s="36"/>
      <c r="R211" s="110" t="str">
        <f>"バックアップ_"&amp;SUBSTITUTE(C211,"_結合","")</f>
        <v>バックアップ_DPC6ICD10対応表マスタ取込用</v>
      </c>
      <c r="S211" s="111"/>
      <c r="T211" s="114" t="str">
        <f>エンティティ一覧!$O$2</f>
        <v>milscm_2023_009</v>
      </c>
    </row>
    <row r="212" spans="2:23" ht="18.75" customHeight="1">
      <c r="C212" s="112"/>
      <c r="D212" s="113"/>
      <c r="E212" s="117"/>
      <c r="F212" s="37"/>
      <c r="G212" s="37"/>
      <c r="H212" s="37"/>
      <c r="I212" s="37"/>
      <c r="J212" s="37"/>
      <c r="K212" s="37"/>
      <c r="L212" s="37"/>
      <c r="M212" s="37"/>
      <c r="N212" s="37"/>
      <c r="O212" s="37"/>
      <c r="P212" s="37"/>
      <c r="Q212" s="37"/>
      <c r="R212" s="112"/>
      <c r="S212" s="113"/>
      <c r="T212" s="115"/>
    </row>
    <row r="214" spans="2:23" ht="18.75" customHeight="1" thickBot="1">
      <c r="B214" s="42"/>
      <c r="C214" s="42"/>
      <c r="D214" s="42"/>
      <c r="E214" s="42"/>
      <c r="F214" s="42"/>
      <c r="G214" s="42"/>
      <c r="H214" s="42"/>
      <c r="I214" s="42"/>
      <c r="J214" s="42"/>
      <c r="K214" s="42"/>
      <c r="L214" s="42"/>
      <c r="M214" s="42"/>
      <c r="N214" s="42"/>
      <c r="O214" s="42"/>
      <c r="P214" s="42"/>
      <c r="Q214" s="42"/>
      <c r="R214" s="42"/>
      <c r="S214" s="42"/>
      <c r="T214" s="42"/>
      <c r="U214" s="42"/>
    </row>
    <row r="216" spans="2:23" ht="18.75" customHeight="1">
      <c r="B216" s="43" t="s">
        <v>163</v>
      </c>
      <c r="C216" s="51" t="s">
        <v>3515</v>
      </c>
      <c r="D216" s="88"/>
      <c r="W216" s="35" t="str">
        <f>"-- "&amp;B216&amp;" : "&amp;C216</f>
        <v>-- SQL_ID : 01_A3-06</v>
      </c>
    </row>
    <row r="217" spans="2:23" ht="18.75" customHeight="1">
      <c r="B217" s="43" t="s">
        <v>158</v>
      </c>
      <c r="C217" s="118" t="str">
        <f>R220&amp;"登録"</f>
        <v>バックアップ_修飾語マスタ取込用登録</v>
      </c>
      <c r="D217" s="119"/>
      <c r="E217" s="119"/>
      <c r="F217" s="119"/>
      <c r="G217" s="119"/>
      <c r="H217" s="119"/>
      <c r="I217" s="119"/>
      <c r="J217" s="119"/>
      <c r="K217" s="119"/>
      <c r="L217" s="119"/>
      <c r="M217" s="119"/>
      <c r="N217" s="119"/>
      <c r="O217" s="119"/>
      <c r="P217" s="119"/>
      <c r="Q217" s="119"/>
      <c r="R217" s="119"/>
      <c r="S217" s="119"/>
      <c r="T217" s="119"/>
      <c r="U217" s="120"/>
      <c r="W217" s="35" t="str">
        <f>"-- "&amp;C217</f>
        <v>-- バックアップ_修飾語マスタ取込用登録</v>
      </c>
    </row>
    <row r="218" spans="2:23" ht="18.75" customHeight="1">
      <c r="B218" s="43" t="s">
        <v>159</v>
      </c>
      <c r="C218" s="121" t="str">
        <f>C220&amp;"テーブルのレコードを"&amp;R220&amp;"テーブルに格納する。"</f>
        <v>修飾語マスタ取込用テーブルのレコードをバックアップ_修飾語マスタ取込用テーブルに格納する。</v>
      </c>
      <c r="D218" s="122"/>
      <c r="E218" s="122"/>
      <c r="F218" s="122"/>
      <c r="G218" s="122"/>
      <c r="H218" s="122"/>
      <c r="I218" s="122"/>
      <c r="J218" s="122"/>
      <c r="K218" s="122"/>
      <c r="L218" s="122"/>
      <c r="M218" s="122"/>
      <c r="N218" s="122"/>
      <c r="O218" s="122"/>
      <c r="P218" s="122"/>
      <c r="Q218" s="122"/>
      <c r="R218" s="122"/>
      <c r="S218" s="122"/>
      <c r="T218" s="122"/>
      <c r="U218" s="123"/>
      <c r="W218" s="35" t="str">
        <f>"-- "&amp;C218</f>
        <v>-- 修飾語マスタ取込用テーブルのレコードをバックアップ_修飾語マスタ取込用テーブルに格納する。</v>
      </c>
    </row>
    <row r="220" spans="2:23" ht="18.75" customHeight="1">
      <c r="C220" s="110" t="s">
        <v>3516</v>
      </c>
      <c r="D220" s="111"/>
      <c r="E220" s="116" t="s">
        <v>162</v>
      </c>
      <c r="F220" s="36"/>
      <c r="G220" s="36"/>
      <c r="H220" s="36"/>
      <c r="I220" s="36"/>
      <c r="J220" s="36"/>
      <c r="K220" s="36"/>
      <c r="L220" s="36"/>
      <c r="M220" s="36"/>
      <c r="N220" s="36"/>
      <c r="O220" s="36"/>
      <c r="P220" s="36"/>
      <c r="Q220" s="36"/>
      <c r="R220" s="110" t="str">
        <f>"バックアップ_"&amp;SUBSTITUTE(C220,"_結合","")</f>
        <v>バックアップ_修飾語マスタ取込用</v>
      </c>
      <c r="S220" s="111"/>
      <c r="T220" s="114" t="str">
        <f>エンティティ一覧!$O$2</f>
        <v>milscm_2023_009</v>
      </c>
    </row>
    <row r="221" spans="2:23" ht="18.75" customHeight="1">
      <c r="C221" s="112"/>
      <c r="D221" s="113"/>
      <c r="E221" s="117"/>
      <c r="F221" s="37"/>
      <c r="G221" s="37"/>
      <c r="H221" s="37"/>
      <c r="I221" s="37"/>
      <c r="J221" s="37"/>
      <c r="K221" s="37"/>
      <c r="L221" s="37"/>
      <c r="M221" s="37"/>
      <c r="N221" s="37"/>
      <c r="O221" s="37"/>
      <c r="P221" s="37"/>
      <c r="Q221" s="37"/>
      <c r="R221" s="112"/>
      <c r="S221" s="113"/>
      <c r="T221" s="115"/>
    </row>
    <row r="223" spans="2:23" ht="18.75" customHeight="1" thickBot="1">
      <c r="B223" s="42"/>
      <c r="C223" s="42"/>
      <c r="D223" s="42"/>
      <c r="E223" s="42"/>
      <c r="F223" s="42"/>
      <c r="G223" s="42"/>
      <c r="H223" s="42"/>
      <c r="I223" s="42"/>
      <c r="J223" s="42"/>
      <c r="K223" s="42"/>
      <c r="L223" s="42"/>
      <c r="M223" s="42"/>
      <c r="N223" s="42"/>
      <c r="O223" s="42"/>
      <c r="P223" s="42"/>
      <c r="Q223" s="42"/>
      <c r="R223" s="42"/>
      <c r="S223" s="42"/>
      <c r="T223" s="42"/>
      <c r="U223" s="42"/>
    </row>
    <row r="225" spans="2:23" ht="18.75" customHeight="1">
      <c r="B225" s="43" t="s">
        <v>163</v>
      </c>
      <c r="C225" s="51" t="s">
        <v>3517</v>
      </c>
      <c r="D225" s="88"/>
      <c r="W225" s="35" t="str">
        <f>"-- "&amp;B225&amp;" : "&amp;C225</f>
        <v>-- SQL_ID : 01_A3-07</v>
      </c>
    </row>
    <row r="226" spans="2:23" ht="18.75" customHeight="1">
      <c r="B226" s="43" t="s">
        <v>158</v>
      </c>
      <c r="C226" s="118" t="str">
        <f>R229&amp;"登録"</f>
        <v>バックアップ_コメントマスタ取込用登録</v>
      </c>
      <c r="D226" s="119"/>
      <c r="E226" s="119"/>
      <c r="F226" s="119"/>
      <c r="G226" s="119"/>
      <c r="H226" s="119"/>
      <c r="I226" s="119"/>
      <c r="J226" s="119"/>
      <c r="K226" s="119"/>
      <c r="L226" s="119"/>
      <c r="M226" s="119"/>
      <c r="N226" s="119"/>
      <c r="O226" s="119"/>
      <c r="P226" s="119"/>
      <c r="Q226" s="119"/>
      <c r="R226" s="119"/>
      <c r="S226" s="119"/>
      <c r="T226" s="119"/>
      <c r="U226" s="120"/>
      <c r="W226" s="35" t="str">
        <f>"-- "&amp;C226</f>
        <v>-- バックアップ_コメントマスタ取込用登録</v>
      </c>
    </row>
    <row r="227" spans="2:23" ht="18.75" customHeight="1">
      <c r="B227" s="43" t="s">
        <v>159</v>
      </c>
      <c r="C227" s="121" t="str">
        <f>C229&amp;"テーブルのレコードを"&amp;R229&amp;"テーブルに格納する。"</f>
        <v>コメントマスタ取込用テーブルのレコードをバックアップ_コメントマスタ取込用テーブルに格納する。</v>
      </c>
      <c r="D227" s="122"/>
      <c r="E227" s="122"/>
      <c r="F227" s="122"/>
      <c r="G227" s="122"/>
      <c r="H227" s="122"/>
      <c r="I227" s="122"/>
      <c r="J227" s="122"/>
      <c r="K227" s="122"/>
      <c r="L227" s="122"/>
      <c r="M227" s="122"/>
      <c r="N227" s="122"/>
      <c r="O227" s="122"/>
      <c r="P227" s="122"/>
      <c r="Q227" s="122"/>
      <c r="R227" s="122"/>
      <c r="S227" s="122"/>
      <c r="T227" s="122"/>
      <c r="U227" s="123"/>
      <c r="W227" s="35" t="str">
        <f>"-- "&amp;C227</f>
        <v>-- コメントマスタ取込用テーブルのレコードをバックアップ_コメントマスタ取込用テーブルに格納する。</v>
      </c>
    </row>
    <row r="229" spans="2:23" ht="18.75" customHeight="1">
      <c r="C229" s="110" t="s">
        <v>3518</v>
      </c>
      <c r="D229" s="111"/>
      <c r="E229" s="116" t="s">
        <v>162</v>
      </c>
      <c r="F229" s="36"/>
      <c r="G229" s="36"/>
      <c r="H229" s="36"/>
      <c r="I229" s="36"/>
      <c r="J229" s="36"/>
      <c r="K229" s="36"/>
      <c r="L229" s="36"/>
      <c r="M229" s="36"/>
      <c r="N229" s="36"/>
      <c r="O229" s="36"/>
      <c r="P229" s="36"/>
      <c r="Q229" s="36"/>
      <c r="R229" s="110" t="str">
        <f>"バックアップ_"&amp;SUBSTITUTE(C229,"_結合","")</f>
        <v>バックアップ_コメントマスタ取込用</v>
      </c>
      <c r="S229" s="111"/>
      <c r="T229" s="114" t="str">
        <f>エンティティ一覧!$O$2</f>
        <v>milscm_2023_009</v>
      </c>
    </row>
    <row r="230" spans="2:23" ht="18.75" customHeight="1">
      <c r="C230" s="112"/>
      <c r="D230" s="113"/>
      <c r="E230" s="117"/>
      <c r="F230" s="37"/>
      <c r="G230" s="37"/>
      <c r="H230" s="37"/>
      <c r="I230" s="37"/>
      <c r="J230" s="37"/>
      <c r="K230" s="37"/>
      <c r="L230" s="37"/>
      <c r="M230" s="37"/>
      <c r="N230" s="37"/>
      <c r="O230" s="37"/>
      <c r="P230" s="37"/>
      <c r="Q230" s="37"/>
      <c r="R230" s="112"/>
      <c r="S230" s="113"/>
      <c r="T230" s="115"/>
    </row>
    <row r="232" spans="2:23" ht="18.75" customHeight="1" thickBot="1">
      <c r="B232" s="42"/>
      <c r="C232" s="42"/>
      <c r="D232" s="42"/>
      <c r="E232" s="42"/>
      <c r="F232" s="42"/>
      <c r="G232" s="42"/>
      <c r="H232" s="42"/>
      <c r="I232" s="42"/>
      <c r="J232" s="42"/>
      <c r="K232" s="42"/>
      <c r="L232" s="42"/>
      <c r="M232" s="42"/>
      <c r="N232" s="42"/>
      <c r="O232" s="42"/>
      <c r="P232" s="42"/>
      <c r="Q232" s="42"/>
      <c r="R232" s="42"/>
      <c r="S232" s="42"/>
      <c r="T232" s="42"/>
      <c r="U232" s="42"/>
    </row>
    <row r="234" spans="2:23" ht="18.75" customHeight="1">
      <c r="B234" s="43" t="s">
        <v>163</v>
      </c>
      <c r="C234" s="51" t="s">
        <v>3519</v>
      </c>
      <c r="D234" s="88"/>
      <c r="W234" s="35" t="str">
        <f>"-- "&amp;B234&amp;" : "&amp;C234</f>
        <v>-- SQL_ID : 01_A3-08</v>
      </c>
    </row>
    <row r="235" spans="2:23" ht="18.75" customHeight="1">
      <c r="B235" s="43" t="s">
        <v>158</v>
      </c>
      <c r="C235" s="118" t="str">
        <f>R238&amp;"登録"</f>
        <v>バックアップ_成分量マスタ取込用登録</v>
      </c>
      <c r="D235" s="119"/>
      <c r="E235" s="119"/>
      <c r="F235" s="119"/>
      <c r="G235" s="119"/>
      <c r="H235" s="119"/>
      <c r="I235" s="119"/>
      <c r="J235" s="119"/>
      <c r="K235" s="119"/>
      <c r="L235" s="119"/>
      <c r="M235" s="119"/>
      <c r="N235" s="119"/>
      <c r="O235" s="119"/>
      <c r="P235" s="119"/>
      <c r="Q235" s="119"/>
      <c r="R235" s="119"/>
      <c r="S235" s="119"/>
      <c r="T235" s="119"/>
      <c r="U235" s="120"/>
      <c r="W235" s="35" t="str">
        <f>"-- "&amp;C235</f>
        <v>-- バックアップ_成分量マスタ取込用登録</v>
      </c>
    </row>
    <row r="236" spans="2:23" ht="18.75" customHeight="1">
      <c r="B236" s="43" t="s">
        <v>159</v>
      </c>
      <c r="C236" s="121" t="str">
        <f>C238&amp;"テーブルのレコードを"&amp;R238&amp;"テーブルに格納する。"</f>
        <v>成分量マスタ取込用テーブルのレコードをバックアップ_成分量マスタ取込用テーブルに格納する。</v>
      </c>
      <c r="D236" s="122"/>
      <c r="E236" s="122"/>
      <c r="F236" s="122"/>
      <c r="G236" s="122"/>
      <c r="H236" s="122"/>
      <c r="I236" s="122"/>
      <c r="J236" s="122"/>
      <c r="K236" s="122"/>
      <c r="L236" s="122"/>
      <c r="M236" s="122"/>
      <c r="N236" s="122"/>
      <c r="O236" s="122"/>
      <c r="P236" s="122"/>
      <c r="Q236" s="122"/>
      <c r="R236" s="122"/>
      <c r="S236" s="122"/>
      <c r="T236" s="122"/>
      <c r="U236" s="123"/>
      <c r="W236" s="35" t="str">
        <f>"-- "&amp;C236</f>
        <v>-- 成分量マスタ取込用テーブルのレコードをバックアップ_成分量マスタ取込用テーブルに格納する。</v>
      </c>
    </row>
    <row r="238" spans="2:23" ht="18.75" customHeight="1">
      <c r="C238" s="110" t="s">
        <v>3520</v>
      </c>
      <c r="D238" s="111"/>
      <c r="E238" s="116" t="s">
        <v>162</v>
      </c>
      <c r="F238" s="36"/>
      <c r="G238" s="36"/>
      <c r="H238" s="36"/>
      <c r="I238" s="36"/>
      <c r="J238" s="36"/>
      <c r="K238" s="36"/>
      <c r="L238" s="36"/>
      <c r="M238" s="36"/>
      <c r="N238" s="36"/>
      <c r="O238" s="36"/>
      <c r="P238" s="36"/>
      <c r="Q238" s="36"/>
      <c r="R238" s="110" t="str">
        <f>"バックアップ_"&amp;SUBSTITUTE(C238,"_結合","")</f>
        <v>バックアップ_成分量マスタ取込用</v>
      </c>
      <c r="S238" s="111"/>
      <c r="T238" s="114" t="str">
        <f>エンティティ一覧!$O$2</f>
        <v>milscm_2023_009</v>
      </c>
    </row>
    <row r="239" spans="2:23" ht="18.75" customHeight="1">
      <c r="C239" s="112"/>
      <c r="D239" s="113"/>
      <c r="E239" s="117"/>
      <c r="F239" s="37"/>
      <c r="G239" s="37"/>
      <c r="H239" s="37"/>
      <c r="I239" s="37"/>
      <c r="J239" s="37"/>
      <c r="K239" s="37"/>
      <c r="L239" s="37"/>
      <c r="M239" s="37"/>
      <c r="N239" s="37"/>
      <c r="O239" s="37"/>
      <c r="P239" s="37"/>
      <c r="Q239" s="37"/>
      <c r="R239" s="112"/>
      <c r="S239" s="113"/>
      <c r="T239" s="115"/>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3521</v>
      </c>
      <c r="D243" s="88"/>
      <c r="W243" s="35" t="str">
        <f>"-- "&amp;B243&amp;" : "&amp;C243</f>
        <v>-- SQL_ID : 01_A3-09</v>
      </c>
    </row>
    <row r="244" spans="2:23" ht="18.75" customHeight="1">
      <c r="B244" s="43" t="s">
        <v>158</v>
      </c>
      <c r="C244" s="118" t="str">
        <f>R247&amp;"登録"</f>
        <v>バックアップ_成分名マスタ取込用登録</v>
      </c>
      <c r="D244" s="119"/>
      <c r="E244" s="119"/>
      <c r="F244" s="119"/>
      <c r="G244" s="119"/>
      <c r="H244" s="119"/>
      <c r="I244" s="119"/>
      <c r="J244" s="119"/>
      <c r="K244" s="119"/>
      <c r="L244" s="119"/>
      <c r="M244" s="119"/>
      <c r="N244" s="119"/>
      <c r="O244" s="119"/>
      <c r="P244" s="119"/>
      <c r="Q244" s="119"/>
      <c r="R244" s="119"/>
      <c r="S244" s="119"/>
      <c r="T244" s="119"/>
      <c r="U244" s="120"/>
      <c r="W244" s="35" t="str">
        <f>"-- "&amp;C244</f>
        <v>-- バックアップ_成分名マスタ取込用登録</v>
      </c>
    </row>
    <row r="245" spans="2:23" ht="18.75" customHeight="1">
      <c r="B245" s="43" t="s">
        <v>159</v>
      </c>
      <c r="C245" s="121" t="str">
        <f>C247&amp;"テーブルのレコードを"&amp;R247&amp;"テーブルに格納する。"</f>
        <v>成分名マスタ取込用テーブルのレコードをバックアップ_成分名マスタ取込用テーブルに格納する。</v>
      </c>
      <c r="D245" s="122"/>
      <c r="E245" s="122"/>
      <c r="F245" s="122"/>
      <c r="G245" s="122"/>
      <c r="H245" s="122"/>
      <c r="I245" s="122"/>
      <c r="J245" s="122"/>
      <c r="K245" s="122"/>
      <c r="L245" s="122"/>
      <c r="M245" s="122"/>
      <c r="N245" s="122"/>
      <c r="O245" s="122"/>
      <c r="P245" s="122"/>
      <c r="Q245" s="122"/>
      <c r="R245" s="122"/>
      <c r="S245" s="122"/>
      <c r="T245" s="122"/>
      <c r="U245" s="123"/>
      <c r="W245" s="35" t="str">
        <f>"-- "&amp;C245</f>
        <v>-- 成分名マスタ取込用テーブルのレコードをバックアップ_成分名マスタ取込用テーブルに格納する。</v>
      </c>
    </row>
    <row r="247" spans="2:23" ht="18.75" customHeight="1">
      <c r="C247" s="110" t="s">
        <v>3522</v>
      </c>
      <c r="D247" s="111"/>
      <c r="E247" s="116" t="s">
        <v>162</v>
      </c>
      <c r="F247" s="36"/>
      <c r="G247" s="36"/>
      <c r="H247" s="36"/>
      <c r="I247" s="36"/>
      <c r="J247" s="36"/>
      <c r="K247" s="36"/>
      <c r="L247" s="36"/>
      <c r="M247" s="36"/>
      <c r="N247" s="36"/>
      <c r="O247" s="36"/>
      <c r="P247" s="36"/>
      <c r="Q247" s="36"/>
      <c r="R247" s="110" t="str">
        <f>"バックアップ_"&amp;SUBSTITUTE(C247,"_結合","")</f>
        <v>バックアップ_成分名マスタ取込用</v>
      </c>
      <c r="S247" s="111"/>
      <c r="T247" s="114" t="str">
        <f>エンティティ一覧!$O$2</f>
        <v>milscm_2023_009</v>
      </c>
    </row>
    <row r="248" spans="2:23" ht="18.75" customHeight="1">
      <c r="C248" s="112"/>
      <c r="D248" s="113"/>
      <c r="E248" s="117"/>
      <c r="F248" s="37"/>
      <c r="G248" s="37"/>
      <c r="H248" s="37"/>
      <c r="I248" s="37"/>
      <c r="J248" s="37"/>
      <c r="K248" s="37"/>
      <c r="L248" s="37"/>
      <c r="M248" s="37"/>
      <c r="N248" s="37"/>
      <c r="O248" s="37"/>
      <c r="P248" s="37"/>
      <c r="Q248" s="37"/>
      <c r="R248" s="112"/>
      <c r="S248" s="113"/>
      <c r="T248" s="115"/>
    </row>
    <row r="250" spans="2:23" ht="18.75" customHeight="1" thickBot="1">
      <c r="B250" s="42"/>
      <c r="C250" s="42"/>
      <c r="D250" s="42"/>
      <c r="E250" s="42"/>
      <c r="F250" s="42"/>
      <c r="G250" s="42"/>
      <c r="H250" s="42"/>
      <c r="I250" s="42"/>
      <c r="J250" s="42"/>
      <c r="K250" s="42"/>
      <c r="L250" s="42"/>
      <c r="M250" s="42"/>
      <c r="N250" s="42"/>
      <c r="O250" s="42"/>
      <c r="P250" s="42"/>
      <c r="Q250" s="42"/>
      <c r="R250" s="42"/>
      <c r="S250" s="42"/>
      <c r="T250" s="42"/>
      <c r="U250" s="42"/>
    </row>
    <row r="252" spans="2:23" ht="18.75" customHeight="1">
      <c r="B252" s="43" t="s">
        <v>163</v>
      </c>
      <c r="C252" s="51" t="s">
        <v>3523</v>
      </c>
      <c r="D252" s="88"/>
      <c r="W252" s="35" t="str">
        <f>"-- "&amp;B252&amp;" : "&amp;C252</f>
        <v>-- SQL_ID : 01_A3-10</v>
      </c>
    </row>
    <row r="253" spans="2:23" ht="18.75" customHeight="1">
      <c r="B253" s="43" t="s">
        <v>158</v>
      </c>
      <c r="C253" s="118" t="str">
        <f>R256&amp;"登録"</f>
        <v>バックアップ_単位マスタ取込用登録</v>
      </c>
      <c r="D253" s="119"/>
      <c r="E253" s="119"/>
      <c r="F253" s="119"/>
      <c r="G253" s="119"/>
      <c r="H253" s="119"/>
      <c r="I253" s="119"/>
      <c r="J253" s="119"/>
      <c r="K253" s="119"/>
      <c r="L253" s="119"/>
      <c r="M253" s="119"/>
      <c r="N253" s="119"/>
      <c r="O253" s="119"/>
      <c r="P253" s="119"/>
      <c r="Q253" s="119"/>
      <c r="R253" s="119"/>
      <c r="S253" s="119"/>
      <c r="T253" s="119"/>
      <c r="U253" s="120"/>
      <c r="W253" s="35" t="str">
        <f>"-- "&amp;C253</f>
        <v>-- バックアップ_単位マスタ取込用登録</v>
      </c>
    </row>
    <row r="254" spans="2:23" ht="18.75" customHeight="1">
      <c r="B254" s="43" t="s">
        <v>159</v>
      </c>
      <c r="C254" s="121" t="str">
        <f>C256&amp;"テーブルのレコードを"&amp;R256&amp;"テーブルに格納する。"</f>
        <v>単位マスタ取込用テーブルのレコードをバックアップ_単位マスタ取込用テーブルに格納する。</v>
      </c>
      <c r="D254" s="122"/>
      <c r="E254" s="122"/>
      <c r="F254" s="122"/>
      <c r="G254" s="122"/>
      <c r="H254" s="122"/>
      <c r="I254" s="122"/>
      <c r="J254" s="122"/>
      <c r="K254" s="122"/>
      <c r="L254" s="122"/>
      <c r="M254" s="122"/>
      <c r="N254" s="122"/>
      <c r="O254" s="122"/>
      <c r="P254" s="122"/>
      <c r="Q254" s="122"/>
      <c r="R254" s="122"/>
      <c r="S254" s="122"/>
      <c r="T254" s="122"/>
      <c r="U254" s="123"/>
      <c r="W254" s="35" t="str">
        <f>"-- "&amp;C254</f>
        <v>-- 単位マスタ取込用テーブルのレコードをバックアップ_単位マスタ取込用テーブルに格納する。</v>
      </c>
    </row>
    <row r="256" spans="2:23" ht="18.75" customHeight="1">
      <c r="C256" s="110" t="s">
        <v>3524</v>
      </c>
      <c r="D256" s="111"/>
      <c r="E256" s="116" t="s">
        <v>162</v>
      </c>
      <c r="F256" s="36"/>
      <c r="G256" s="36"/>
      <c r="H256" s="36"/>
      <c r="I256" s="36"/>
      <c r="J256" s="36"/>
      <c r="K256" s="36"/>
      <c r="L256" s="36"/>
      <c r="M256" s="36"/>
      <c r="N256" s="36"/>
      <c r="O256" s="36"/>
      <c r="P256" s="36"/>
      <c r="Q256" s="36"/>
      <c r="R256" s="110" t="str">
        <f>"バックアップ_"&amp;SUBSTITUTE(C256,"_結合","")</f>
        <v>バックアップ_単位マスタ取込用</v>
      </c>
      <c r="S256" s="111"/>
      <c r="T256" s="114" t="str">
        <f>エンティティ一覧!$O$2</f>
        <v>milscm_2023_009</v>
      </c>
    </row>
    <row r="257" spans="2:23" ht="18.75" customHeight="1">
      <c r="C257" s="112"/>
      <c r="D257" s="113"/>
      <c r="E257" s="117"/>
      <c r="F257" s="37"/>
      <c r="G257" s="37"/>
      <c r="H257" s="37"/>
      <c r="I257" s="37"/>
      <c r="J257" s="37"/>
      <c r="K257" s="37"/>
      <c r="L257" s="37"/>
      <c r="M257" s="37"/>
      <c r="N257" s="37"/>
      <c r="O257" s="37"/>
      <c r="P257" s="37"/>
      <c r="Q257" s="37"/>
      <c r="R257" s="112"/>
      <c r="S257" s="113"/>
      <c r="T257" s="115"/>
    </row>
    <row r="259" spans="2:23" ht="18.75" customHeight="1" thickBot="1">
      <c r="B259" s="42"/>
      <c r="C259" s="42"/>
      <c r="D259" s="42"/>
      <c r="E259" s="42"/>
      <c r="F259" s="42"/>
      <c r="G259" s="42"/>
      <c r="H259" s="42"/>
      <c r="I259" s="42"/>
      <c r="J259" s="42"/>
      <c r="K259" s="42"/>
      <c r="L259" s="42"/>
      <c r="M259" s="42"/>
      <c r="N259" s="42"/>
      <c r="O259" s="42"/>
      <c r="P259" s="42"/>
      <c r="Q259" s="42"/>
      <c r="R259" s="42"/>
      <c r="S259" s="42"/>
      <c r="T259" s="42"/>
      <c r="U259" s="42"/>
    </row>
    <row r="261" spans="2:23" ht="18.75" customHeight="1">
      <c r="B261" s="43" t="s">
        <v>163</v>
      </c>
      <c r="C261" s="51" t="s">
        <v>3525</v>
      </c>
      <c r="D261" s="88"/>
      <c r="W261" s="35" t="str">
        <f>"-- "&amp;B261&amp;" : "&amp;C261</f>
        <v>-- SQL_ID : 01_A3-11</v>
      </c>
    </row>
    <row r="262" spans="2:23" ht="18.75" customHeight="1">
      <c r="B262" s="43" t="s">
        <v>158</v>
      </c>
      <c r="C262" s="118" t="str">
        <f>R265&amp;"登録"</f>
        <v>バックアップ_適応病名レセ病名組み合わせ関係リンクマスタ取込用登録</v>
      </c>
      <c r="D262" s="119"/>
      <c r="E262" s="119"/>
      <c r="F262" s="119"/>
      <c r="G262" s="119"/>
      <c r="H262" s="119"/>
      <c r="I262" s="119"/>
      <c r="J262" s="119"/>
      <c r="K262" s="119"/>
      <c r="L262" s="119"/>
      <c r="M262" s="119"/>
      <c r="N262" s="119"/>
      <c r="O262" s="119"/>
      <c r="P262" s="119"/>
      <c r="Q262" s="119"/>
      <c r="R262" s="119"/>
      <c r="S262" s="119"/>
      <c r="T262" s="119"/>
      <c r="U262" s="120"/>
      <c r="W262" s="35" t="str">
        <f>"-- "&amp;C262</f>
        <v>-- バックアップ_適応病名レセ病名組み合わせ関係リンクマスタ取込用登録</v>
      </c>
    </row>
    <row r="263" spans="2:23" ht="18.75" customHeight="1">
      <c r="B263" s="43" t="s">
        <v>159</v>
      </c>
      <c r="C263" s="121" t="str">
        <f>C265&amp;"テーブルのレコードを"&amp;R265&amp;"テーブルに格納する。"</f>
        <v>適応病名レセ病名組み合わせ関係リンクマスタ取込用テーブルのレコードをバックアップ_適応病名レセ病名組み合わせ関係リンクマスタ取込用テーブルに格納する。</v>
      </c>
      <c r="D263" s="122"/>
      <c r="E263" s="122"/>
      <c r="F263" s="122"/>
      <c r="G263" s="122"/>
      <c r="H263" s="122"/>
      <c r="I263" s="122"/>
      <c r="J263" s="122"/>
      <c r="K263" s="122"/>
      <c r="L263" s="122"/>
      <c r="M263" s="122"/>
      <c r="N263" s="122"/>
      <c r="O263" s="122"/>
      <c r="P263" s="122"/>
      <c r="Q263" s="122"/>
      <c r="R263" s="122"/>
      <c r="S263" s="122"/>
      <c r="T263" s="122"/>
      <c r="U263" s="123"/>
      <c r="W263" s="35" t="str">
        <f>"-- "&amp;C263</f>
        <v>-- 適応病名レセ病名組み合わせ関係リンクマスタ取込用テーブルのレコードをバックアップ_適応病名レセ病名組み合わせ関係リンクマスタ取込用テーブルに格納する。</v>
      </c>
    </row>
    <row r="265" spans="2:23" ht="18.75" customHeight="1">
      <c r="C265" s="110" t="s">
        <v>3526</v>
      </c>
      <c r="D265" s="111"/>
      <c r="E265" s="116" t="s">
        <v>162</v>
      </c>
      <c r="F265" s="36"/>
      <c r="G265" s="36"/>
      <c r="H265" s="36"/>
      <c r="I265" s="36"/>
      <c r="J265" s="36"/>
      <c r="K265" s="36"/>
      <c r="L265" s="36"/>
      <c r="M265" s="36"/>
      <c r="N265" s="36"/>
      <c r="O265" s="36"/>
      <c r="P265" s="36"/>
      <c r="Q265" s="36"/>
      <c r="R265" s="132" t="str">
        <f>"バックアップ_"&amp;SUBSTITUTE(C265,"_結合","")</f>
        <v>バックアップ_適応病名レセ病名組み合わせ関係リンクマスタ取込用</v>
      </c>
      <c r="S265" s="133"/>
      <c r="T265" s="114" t="str">
        <f>エンティティ一覧!$O$2</f>
        <v>milscm_2023_009</v>
      </c>
    </row>
    <row r="266" spans="2:23" ht="18.75" customHeight="1">
      <c r="C266" s="112"/>
      <c r="D266" s="113"/>
      <c r="E266" s="117"/>
      <c r="F266" s="37"/>
      <c r="G266" s="37"/>
      <c r="H266" s="37"/>
      <c r="I266" s="37"/>
      <c r="J266" s="37"/>
      <c r="K266" s="37"/>
      <c r="L266" s="37"/>
      <c r="M266" s="37"/>
      <c r="N266" s="37"/>
      <c r="O266" s="37"/>
      <c r="P266" s="37"/>
      <c r="Q266" s="37"/>
      <c r="R266" s="134"/>
      <c r="S266" s="135"/>
      <c r="T266" s="115"/>
    </row>
    <row r="268" spans="2:23" ht="18.75" customHeight="1" thickBot="1">
      <c r="B268" s="42"/>
      <c r="C268" s="42"/>
      <c r="D268" s="42"/>
      <c r="E268" s="42"/>
      <c r="F268" s="42"/>
      <c r="G268" s="42"/>
      <c r="H268" s="42"/>
      <c r="I268" s="42"/>
      <c r="J268" s="42"/>
      <c r="K268" s="42"/>
      <c r="L268" s="42"/>
      <c r="M268" s="42"/>
      <c r="N268" s="42"/>
      <c r="O268" s="42"/>
      <c r="P268" s="42"/>
      <c r="Q268" s="42"/>
      <c r="R268" s="42"/>
      <c r="S268" s="42"/>
      <c r="T268" s="42"/>
      <c r="U268" s="42"/>
    </row>
    <row r="270" spans="2:23" ht="18.75" customHeight="1">
      <c r="B270" s="43" t="s">
        <v>163</v>
      </c>
      <c r="C270" s="51" t="s">
        <v>3527</v>
      </c>
      <c r="D270" s="88"/>
      <c r="W270" s="35" t="str">
        <f>"-- "&amp;B270&amp;" : "&amp;C270</f>
        <v>-- SQL_ID : 01_A3-12</v>
      </c>
    </row>
    <row r="271" spans="2:23" ht="18.75" customHeight="1">
      <c r="B271" s="43" t="s">
        <v>158</v>
      </c>
      <c r="C271" s="118" t="str">
        <f>R274&amp;"登録"</f>
        <v>バックアップ_適応病名レセ病名組み合わせ関係リンク親子マスタ取込用登録</v>
      </c>
      <c r="D271" s="119"/>
      <c r="E271" s="119"/>
      <c r="F271" s="119"/>
      <c r="G271" s="119"/>
      <c r="H271" s="119"/>
      <c r="I271" s="119"/>
      <c r="J271" s="119"/>
      <c r="K271" s="119"/>
      <c r="L271" s="119"/>
      <c r="M271" s="119"/>
      <c r="N271" s="119"/>
      <c r="O271" s="119"/>
      <c r="P271" s="119"/>
      <c r="Q271" s="119"/>
      <c r="R271" s="119"/>
      <c r="S271" s="119"/>
      <c r="T271" s="119"/>
      <c r="U271" s="120"/>
      <c r="W271" s="35" t="str">
        <f>"-- "&amp;C271</f>
        <v>-- バックアップ_適応病名レセ病名組み合わせ関係リンク親子マスタ取込用登録</v>
      </c>
    </row>
    <row r="272" spans="2:23" ht="18.75" customHeight="1">
      <c r="B272" s="43" t="s">
        <v>159</v>
      </c>
      <c r="C272" s="121" t="str">
        <f>C274&amp;"テーブルのレコードを"&amp;R274&amp;"テーブルに格納する。"</f>
        <v>適応病名レセ病名組み合わせ関係リンク親子マスタ取込用テーブルのレコードをバックアップ_適応病名レセ病名組み合わせ関係リンク親子マスタ取込用テーブルに格納する。</v>
      </c>
      <c r="D272" s="122"/>
      <c r="E272" s="122"/>
      <c r="F272" s="122"/>
      <c r="G272" s="122"/>
      <c r="H272" s="122"/>
      <c r="I272" s="122"/>
      <c r="J272" s="122"/>
      <c r="K272" s="122"/>
      <c r="L272" s="122"/>
      <c r="M272" s="122"/>
      <c r="N272" s="122"/>
      <c r="O272" s="122"/>
      <c r="P272" s="122"/>
      <c r="Q272" s="122"/>
      <c r="R272" s="122"/>
      <c r="S272" s="122"/>
      <c r="T272" s="122"/>
      <c r="U272" s="123"/>
      <c r="W272" s="35" t="str">
        <f>"-- "&amp;C272</f>
        <v>-- 適応病名レセ病名組み合わせ関係リンク親子マスタ取込用テーブルのレコードをバックアップ_適応病名レセ病名組み合わせ関係リンク親子マスタ取込用テーブルに格納する。</v>
      </c>
    </row>
    <row r="274" spans="2:23" ht="18.75" customHeight="1">
      <c r="C274" s="124" t="s">
        <v>3528</v>
      </c>
      <c r="D274" s="125"/>
      <c r="E274" s="116" t="s">
        <v>162</v>
      </c>
      <c r="F274" s="36"/>
      <c r="G274" s="36"/>
      <c r="H274" s="36"/>
      <c r="I274" s="36"/>
      <c r="J274" s="36"/>
      <c r="K274" s="36"/>
      <c r="L274" s="36"/>
      <c r="M274" s="36"/>
      <c r="N274" s="36"/>
      <c r="O274" s="36"/>
      <c r="P274" s="36"/>
      <c r="Q274" s="36"/>
      <c r="R274" s="132" t="str">
        <f>"バックアップ_"&amp;SUBSTITUTE(C274,"_結合","")</f>
        <v>バックアップ_適応病名レセ病名組み合わせ関係リンク親子マスタ取込用</v>
      </c>
      <c r="S274" s="133"/>
      <c r="T274" s="114" t="str">
        <f>エンティティ一覧!$O$2</f>
        <v>milscm_2023_009</v>
      </c>
    </row>
    <row r="275" spans="2:23" ht="18.75" customHeight="1">
      <c r="C275" s="126"/>
      <c r="D275" s="127"/>
      <c r="E275" s="117"/>
      <c r="F275" s="37"/>
      <c r="G275" s="37"/>
      <c r="H275" s="37"/>
      <c r="I275" s="37"/>
      <c r="J275" s="37"/>
      <c r="K275" s="37"/>
      <c r="L275" s="37"/>
      <c r="M275" s="37"/>
      <c r="N275" s="37"/>
      <c r="O275" s="37"/>
      <c r="P275" s="37"/>
      <c r="Q275" s="37"/>
      <c r="R275" s="134"/>
      <c r="S275" s="135"/>
      <c r="T275" s="115"/>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3529</v>
      </c>
      <c r="D279" s="88"/>
      <c r="W279" s="35" t="str">
        <f>"-- "&amp;B279&amp;" : "&amp;C279</f>
        <v>-- SQL_ID : 01_A3-13</v>
      </c>
    </row>
    <row r="280" spans="2:23" ht="18.75" customHeight="1">
      <c r="B280" s="43" t="s">
        <v>158</v>
      </c>
      <c r="C280" s="118" t="str">
        <f>R283&amp;"登録"</f>
        <v>バックアップ_適用病名マスタ取込用登録</v>
      </c>
      <c r="D280" s="119"/>
      <c r="E280" s="119"/>
      <c r="F280" s="119"/>
      <c r="G280" s="119"/>
      <c r="H280" s="119"/>
      <c r="I280" s="119"/>
      <c r="J280" s="119"/>
      <c r="K280" s="119"/>
      <c r="L280" s="119"/>
      <c r="M280" s="119"/>
      <c r="N280" s="119"/>
      <c r="O280" s="119"/>
      <c r="P280" s="119"/>
      <c r="Q280" s="119"/>
      <c r="R280" s="119"/>
      <c r="S280" s="119"/>
      <c r="T280" s="119"/>
      <c r="U280" s="120"/>
      <c r="W280" s="35" t="str">
        <f>"-- "&amp;C280</f>
        <v>-- バックアップ_適用病名マスタ取込用登録</v>
      </c>
    </row>
    <row r="281" spans="2:23" ht="18.75" customHeight="1">
      <c r="B281" s="43" t="s">
        <v>159</v>
      </c>
      <c r="C281" s="121" t="str">
        <f>C283&amp;"テーブルのレコードを"&amp;R283&amp;"テーブルに格納する。"</f>
        <v>適用病名マスタ取込用テーブルのレコードをバックアップ_適用病名マスタ取込用テーブルに格納する。</v>
      </c>
      <c r="D281" s="122"/>
      <c r="E281" s="122"/>
      <c r="F281" s="122"/>
      <c r="G281" s="122"/>
      <c r="H281" s="122"/>
      <c r="I281" s="122"/>
      <c r="J281" s="122"/>
      <c r="K281" s="122"/>
      <c r="L281" s="122"/>
      <c r="M281" s="122"/>
      <c r="N281" s="122"/>
      <c r="O281" s="122"/>
      <c r="P281" s="122"/>
      <c r="Q281" s="122"/>
      <c r="R281" s="122"/>
      <c r="S281" s="122"/>
      <c r="T281" s="122"/>
      <c r="U281" s="123"/>
      <c r="W281" s="35" t="str">
        <f>"-- "&amp;C281</f>
        <v>-- 適用病名マスタ取込用テーブルのレコードをバックアップ_適用病名マスタ取込用テーブルに格納する。</v>
      </c>
    </row>
    <row r="283" spans="2:23" ht="18.75" customHeight="1">
      <c r="C283" s="110" t="s">
        <v>3530</v>
      </c>
      <c r="D283" s="111"/>
      <c r="E283" s="116" t="s">
        <v>162</v>
      </c>
      <c r="F283" s="36"/>
      <c r="G283" s="36"/>
      <c r="H283" s="36"/>
      <c r="I283" s="36"/>
      <c r="J283" s="36"/>
      <c r="K283" s="36"/>
      <c r="L283" s="36"/>
      <c r="M283" s="36"/>
      <c r="N283" s="36"/>
      <c r="O283" s="36"/>
      <c r="P283" s="36"/>
      <c r="Q283" s="36"/>
      <c r="R283" s="110" t="str">
        <f>"バックアップ_"&amp;SUBSTITUTE(C283,"_結合","")</f>
        <v>バックアップ_適用病名マスタ取込用</v>
      </c>
      <c r="S283" s="111"/>
      <c r="T283" s="114" t="str">
        <f>エンティティ一覧!$O$2</f>
        <v>milscm_2023_009</v>
      </c>
    </row>
    <row r="284" spans="2:23" ht="18.75" customHeight="1">
      <c r="C284" s="112"/>
      <c r="D284" s="113"/>
      <c r="E284" s="117"/>
      <c r="F284" s="37"/>
      <c r="G284" s="37"/>
      <c r="H284" s="37"/>
      <c r="I284" s="37"/>
      <c r="J284" s="37"/>
      <c r="K284" s="37"/>
      <c r="L284" s="37"/>
      <c r="M284" s="37"/>
      <c r="N284" s="37"/>
      <c r="O284" s="37"/>
      <c r="P284" s="37"/>
      <c r="Q284" s="37"/>
      <c r="R284" s="112"/>
      <c r="S284" s="113"/>
      <c r="T284" s="115"/>
    </row>
    <row r="286" spans="2:23" ht="18.75" customHeight="1" thickBot="1">
      <c r="B286" s="42"/>
      <c r="C286" s="42"/>
      <c r="D286" s="42"/>
      <c r="E286" s="42"/>
      <c r="F286" s="42"/>
      <c r="G286" s="42"/>
      <c r="H286" s="42"/>
      <c r="I286" s="42"/>
      <c r="J286" s="42"/>
      <c r="K286" s="42"/>
      <c r="L286" s="42"/>
      <c r="M286" s="42"/>
      <c r="N286" s="42"/>
      <c r="O286" s="42"/>
      <c r="P286" s="42"/>
      <c r="Q286" s="42"/>
      <c r="R286" s="42"/>
      <c r="S286" s="42"/>
      <c r="T286" s="42"/>
      <c r="U286" s="42"/>
    </row>
    <row r="288" spans="2:23" ht="18.75" customHeight="1">
      <c r="B288" s="43" t="s">
        <v>163</v>
      </c>
      <c r="C288" s="51" t="s">
        <v>3531</v>
      </c>
      <c r="D288" s="88"/>
      <c r="W288" s="35" t="str">
        <f>"-- "&amp;B288&amp;" : "&amp;C288</f>
        <v>-- SQL_ID : 01_A3-14</v>
      </c>
    </row>
    <row r="289" spans="2:23" ht="18.75" customHeight="1">
      <c r="B289" s="43" t="s">
        <v>158</v>
      </c>
      <c r="C289" s="118" t="str">
        <f>R292&amp;"登録"</f>
        <v>バックアップ_ＹＪコード医薬品コードリンクマスタ取込用登録</v>
      </c>
      <c r="D289" s="119"/>
      <c r="E289" s="119"/>
      <c r="F289" s="119"/>
      <c r="G289" s="119"/>
      <c r="H289" s="119"/>
      <c r="I289" s="119"/>
      <c r="J289" s="119"/>
      <c r="K289" s="119"/>
      <c r="L289" s="119"/>
      <c r="M289" s="119"/>
      <c r="N289" s="119"/>
      <c r="O289" s="119"/>
      <c r="P289" s="119"/>
      <c r="Q289" s="119"/>
      <c r="R289" s="119"/>
      <c r="S289" s="119"/>
      <c r="T289" s="119"/>
      <c r="U289" s="120"/>
      <c r="W289" s="35" t="str">
        <f>"-- "&amp;C289</f>
        <v>-- バックアップ_ＹＪコード医薬品コードリンクマスタ取込用登録</v>
      </c>
    </row>
    <row r="290" spans="2:23" ht="18.75" customHeight="1">
      <c r="B290" s="43" t="s">
        <v>159</v>
      </c>
      <c r="C290" s="121" t="str">
        <f>C292&amp;"テーブルのレコードを"&amp;R292&amp;"テーブルに格納する。"</f>
        <v>ＹＪコード医薬品コードリンクマスタ取込用テーブルのレコードをバックアップ_ＹＪコード医薬品コードリンクマスタ取込用テーブルに格納する。</v>
      </c>
      <c r="D290" s="122"/>
      <c r="E290" s="122"/>
      <c r="F290" s="122"/>
      <c r="G290" s="122"/>
      <c r="H290" s="122"/>
      <c r="I290" s="122"/>
      <c r="J290" s="122"/>
      <c r="K290" s="122"/>
      <c r="L290" s="122"/>
      <c r="M290" s="122"/>
      <c r="N290" s="122"/>
      <c r="O290" s="122"/>
      <c r="P290" s="122"/>
      <c r="Q290" s="122"/>
      <c r="R290" s="122"/>
      <c r="S290" s="122"/>
      <c r="T290" s="122"/>
      <c r="U290" s="123"/>
      <c r="W290" s="35" t="str">
        <f>"-- "&amp;C290</f>
        <v>-- ＹＪコード医薬品コードリンクマスタ取込用テーブルのレコードをバックアップ_ＹＪコード医薬品コードリンクマスタ取込用テーブルに格納する。</v>
      </c>
    </row>
    <row r="292" spans="2:23" ht="18.75" customHeight="1">
      <c r="C292" s="110" t="s">
        <v>3532</v>
      </c>
      <c r="D292" s="111"/>
      <c r="E292" s="116" t="s">
        <v>162</v>
      </c>
      <c r="F292" s="36"/>
      <c r="G292" s="36"/>
      <c r="H292" s="36"/>
      <c r="I292" s="36"/>
      <c r="J292" s="36"/>
      <c r="K292" s="36"/>
      <c r="L292" s="36"/>
      <c r="M292" s="36"/>
      <c r="N292" s="36"/>
      <c r="O292" s="36"/>
      <c r="P292" s="36"/>
      <c r="Q292" s="36"/>
      <c r="R292" s="124" t="str">
        <f>"バックアップ_"&amp;SUBSTITUTE(C292,"_結合","")</f>
        <v>バックアップ_ＹＪコード医薬品コードリンクマスタ取込用</v>
      </c>
      <c r="S292" s="125"/>
      <c r="T292" s="114" t="str">
        <f>エンティティ一覧!$O$2</f>
        <v>milscm_2023_009</v>
      </c>
    </row>
    <row r="293" spans="2:23" ht="18.75" customHeight="1">
      <c r="C293" s="112"/>
      <c r="D293" s="113"/>
      <c r="E293" s="117"/>
      <c r="F293" s="37"/>
      <c r="G293" s="37"/>
      <c r="H293" s="37"/>
      <c r="I293" s="37"/>
      <c r="J293" s="37"/>
      <c r="K293" s="37"/>
      <c r="L293" s="37"/>
      <c r="M293" s="37"/>
      <c r="N293" s="37"/>
      <c r="O293" s="37"/>
      <c r="P293" s="37"/>
      <c r="Q293" s="37"/>
      <c r="R293" s="126"/>
      <c r="S293" s="127"/>
      <c r="T293" s="115"/>
    </row>
    <row r="295" spans="2:23" ht="18.75" customHeight="1" thickBot="1">
      <c r="B295" s="42"/>
      <c r="C295" s="42"/>
      <c r="D295" s="42"/>
      <c r="E295" s="42"/>
      <c r="F295" s="42"/>
      <c r="G295" s="42"/>
      <c r="H295" s="42"/>
      <c r="I295" s="42"/>
      <c r="J295" s="42"/>
      <c r="K295" s="42"/>
      <c r="L295" s="42"/>
      <c r="M295" s="42"/>
      <c r="N295" s="42"/>
      <c r="O295" s="42"/>
      <c r="P295" s="42"/>
      <c r="Q295" s="42"/>
      <c r="R295" s="42"/>
      <c r="S295" s="42"/>
      <c r="T295" s="42"/>
      <c r="U295" s="42"/>
    </row>
    <row r="297" spans="2:23" ht="18.75" customHeight="1">
      <c r="B297" s="43" t="s">
        <v>163</v>
      </c>
      <c r="C297" s="51" t="s">
        <v>3533</v>
      </c>
      <c r="D297" s="88"/>
      <c r="W297" s="35" t="str">
        <f>"-- "&amp;B297&amp;" : "&amp;C297</f>
        <v>-- SQL_ID : 01_A3-15</v>
      </c>
    </row>
    <row r="298" spans="2:23" ht="18.75" customHeight="1">
      <c r="B298" s="43" t="s">
        <v>158</v>
      </c>
      <c r="C298" s="118" t="str">
        <f>R301&amp;"登録"</f>
        <v>バックアップ_診療行為付加情報マスタ取込用登録</v>
      </c>
      <c r="D298" s="119"/>
      <c r="E298" s="119"/>
      <c r="F298" s="119"/>
      <c r="G298" s="119"/>
      <c r="H298" s="119"/>
      <c r="I298" s="119"/>
      <c r="J298" s="119"/>
      <c r="K298" s="119"/>
      <c r="L298" s="119"/>
      <c r="M298" s="119"/>
      <c r="N298" s="119"/>
      <c r="O298" s="119"/>
      <c r="P298" s="119"/>
      <c r="Q298" s="119"/>
      <c r="R298" s="119"/>
      <c r="S298" s="119"/>
      <c r="T298" s="119"/>
      <c r="U298" s="120"/>
      <c r="W298" s="35" t="str">
        <f>"-- "&amp;C298</f>
        <v>-- バックアップ_診療行為付加情報マスタ取込用登録</v>
      </c>
    </row>
    <row r="299" spans="2:23" ht="18.75" customHeight="1">
      <c r="B299" s="43" t="s">
        <v>159</v>
      </c>
      <c r="C299" s="121" t="str">
        <f>C301&amp;"テーブルのレコードを"&amp;R301&amp;"テーブルに格納する。"</f>
        <v>診療行為付加情報マスタ取込用テーブルのレコードをバックアップ_診療行為付加情報マスタ取込用テーブルに格納する。</v>
      </c>
      <c r="D299" s="122"/>
      <c r="E299" s="122"/>
      <c r="F299" s="122"/>
      <c r="G299" s="122"/>
      <c r="H299" s="122"/>
      <c r="I299" s="122"/>
      <c r="J299" s="122"/>
      <c r="K299" s="122"/>
      <c r="L299" s="122"/>
      <c r="M299" s="122"/>
      <c r="N299" s="122"/>
      <c r="O299" s="122"/>
      <c r="P299" s="122"/>
      <c r="Q299" s="122"/>
      <c r="R299" s="122"/>
      <c r="S299" s="122"/>
      <c r="T299" s="122"/>
      <c r="U299" s="123"/>
      <c r="W299" s="35" t="str">
        <f>"-- "&amp;C299</f>
        <v>-- 診療行為付加情報マスタ取込用テーブルのレコードをバックアップ_診療行為付加情報マスタ取込用テーブルに格納する。</v>
      </c>
    </row>
    <row r="301" spans="2:23" ht="18.75" customHeight="1">
      <c r="C301" s="110" t="s">
        <v>3534</v>
      </c>
      <c r="D301" s="111"/>
      <c r="E301" s="116" t="s">
        <v>162</v>
      </c>
      <c r="F301" s="36"/>
      <c r="G301" s="36"/>
      <c r="H301" s="36"/>
      <c r="I301" s="36"/>
      <c r="J301" s="36"/>
      <c r="K301" s="36"/>
      <c r="L301" s="36"/>
      <c r="M301" s="36"/>
      <c r="N301" s="36"/>
      <c r="O301" s="36"/>
      <c r="P301" s="36"/>
      <c r="Q301" s="36"/>
      <c r="R301" s="110" t="str">
        <f>"バックアップ_"&amp;SUBSTITUTE(C301,"_結合","")</f>
        <v>バックアップ_診療行為付加情報マスタ取込用</v>
      </c>
      <c r="S301" s="111"/>
      <c r="T301" s="114" t="str">
        <f>エンティティ一覧!$O$2</f>
        <v>milscm_2023_009</v>
      </c>
    </row>
    <row r="302" spans="2:23" ht="18.75" customHeight="1">
      <c r="C302" s="112"/>
      <c r="D302" s="113"/>
      <c r="E302" s="117"/>
      <c r="F302" s="37"/>
      <c r="G302" s="37"/>
      <c r="H302" s="37"/>
      <c r="I302" s="37"/>
      <c r="J302" s="37"/>
      <c r="K302" s="37"/>
      <c r="L302" s="37"/>
      <c r="M302" s="37"/>
      <c r="N302" s="37"/>
      <c r="O302" s="37"/>
      <c r="P302" s="37"/>
      <c r="Q302" s="37"/>
      <c r="R302" s="112"/>
      <c r="S302" s="113"/>
      <c r="T302" s="115"/>
    </row>
    <row r="304" spans="2:23" ht="18.75" customHeight="1" thickBot="1">
      <c r="B304" s="42"/>
      <c r="C304" s="42"/>
      <c r="D304" s="42"/>
      <c r="E304" s="42"/>
      <c r="F304" s="42"/>
      <c r="G304" s="42"/>
      <c r="H304" s="42"/>
      <c r="I304" s="42"/>
      <c r="J304" s="42"/>
      <c r="K304" s="42"/>
      <c r="L304" s="42"/>
      <c r="M304" s="42"/>
      <c r="N304" s="42"/>
      <c r="O304" s="42"/>
      <c r="P304" s="42"/>
      <c r="Q304" s="42"/>
      <c r="R304" s="42"/>
      <c r="S304" s="42"/>
      <c r="T304" s="42"/>
      <c r="U304" s="42"/>
    </row>
    <row r="306" spans="2:23" ht="18.75" customHeight="1">
      <c r="B306" s="43" t="s">
        <v>163</v>
      </c>
      <c r="C306" s="51" t="s">
        <v>3535</v>
      </c>
      <c r="D306" s="88"/>
      <c r="W306" s="35" t="str">
        <f>"-- "&amp;B306&amp;" : "&amp;C306</f>
        <v>-- SQL_ID : 01_A3-16</v>
      </c>
    </row>
    <row r="307" spans="2:23" ht="18.75" customHeight="1">
      <c r="B307" s="43" t="s">
        <v>158</v>
      </c>
      <c r="C307" s="118" t="str">
        <f>R310&amp;"登録"</f>
        <v>バックアップ_処理対象施設マスタ登録</v>
      </c>
      <c r="D307" s="119"/>
      <c r="E307" s="119"/>
      <c r="F307" s="119"/>
      <c r="G307" s="119"/>
      <c r="H307" s="119"/>
      <c r="I307" s="119"/>
      <c r="J307" s="119"/>
      <c r="K307" s="119"/>
      <c r="L307" s="119"/>
      <c r="M307" s="119"/>
      <c r="N307" s="119"/>
      <c r="O307" s="119"/>
      <c r="P307" s="119"/>
      <c r="Q307" s="119"/>
      <c r="R307" s="119"/>
      <c r="S307" s="119"/>
      <c r="T307" s="119"/>
      <c r="U307" s="120"/>
      <c r="W307" s="35" t="str">
        <f>"-- "&amp;C307</f>
        <v>-- バックアップ_処理対象施設マスタ登録</v>
      </c>
    </row>
    <row r="308" spans="2:23" ht="18.75" customHeight="1">
      <c r="B308" s="43" t="s">
        <v>159</v>
      </c>
      <c r="C308" s="121" t="str">
        <f>C310&amp;"テーブルのレコードを"&amp;R310&amp;"テーブルに格納する。"</f>
        <v>処理対象施設マスタテーブルのレコードをバックアップ_処理対象施設マスタテーブルに格納する。</v>
      </c>
      <c r="D308" s="122"/>
      <c r="E308" s="122"/>
      <c r="F308" s="122"/>
      <c r="G308" s="122"/>
      <c r="H308" s="122"/>
      <c r="I308" s="122"/>
      <c r="J308" s="122"/>
      <c r="K308" s="122"/>
      <c r="L308" s="122"/>
      <c r="M308" s="122"/>
      <c r="N308" s="122"/>
      <c r="O308" s="122"/>
      <c r="P308" s="122"/>
      <c r="Q308" s="122"/>
      <c r="R308" s="122"/>
      <c r="S308" s="122"/>
      <c r="T308" s="122"/>
      <c r="U308" s="123"/>
      <c r="W308" s="35" t="str">
        <f>"-- "&amp;C308</f>
        <v>-- 処理対象施設マスタテーブルのレコードをバックアップ_処理対象施設マスタテーブルに格納する。</v>
      </c>
    </row>
    <row r="310" spans="2:23" ht="18.75" customHeight="1">
      <c r="C310" s="110" t="s">
        <v>3536</v>
      </c>
      <c r="D310" s="111"/>
      <c r="E310" s="116" t="s">
        <v>162</v>
      </c>
      <c r="F310" s="36"/>
      <c r="G310" s="36"/>
      <c r="H310" s="36"/>
      <c r="I310" s="36"/>
      <c r="J310" s="36"/>
      <c r="K310" s="36"/>
      <c r="L310" s="36"/>
      <c r="M310" s="36"/>
      <c r="N310" s="36"/>
      <c r="O310" s="36"/>
      <c r="P310" s="36"/>
      <c r="Q310" s="36"/>
      <c r="R310" s="110" t="str">
        <f>"バックアップ_"&amp;SUBSTITUTE(C310,"_結合","")</f>
        <v>バックアップ_処理対象施設マスタ</v>
      </c>
      <c r="S310" s="111"/>
      <c r="T310" s="114" t="str">
        <f>エンティティ一覧!$O$2</f>
        <v>milscm_2023_009</v>
      </c>
    </row>
    <row r="311" spans="2:23" ht="18.75" customHeight="1">
      <c r="C311" s="112"/>
      <c r="D311" s="113"/>
      <c r="E311" s="117"/>
      <c r="F311" s="37"/>
      <c r="G311" s="37"/>
      <c r="H311" s="37"/>
      <c r="I311" s="37"/>
      <c r="J311" s="37"/>
      <c r="K311" s="37"/>
      <c r="L311" s="37"/>
      <c r="M311" s="37"/>
      <c r="N311" s="37"/>
      <c r="O311" s="37"/>
      <c r="P311" s="37"/>
      <c r="Q311" s="37"/>
      <c r="R311" s="112"/>
      <c r="S311" s="113"/>
      <c r="T311" s="115"/>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3537</v>
      </c>
      <c r="D315" s="88"/>
      <c r="W315" s="35" t="str">
        <f>"-- "&amp;B315&amp;" : "&amp;C315</f>
        <v>-- SQL_ID : 01_A3-17</v>
      </c>
    </row>
    <row r="316" spans="2:23" ht="18.75" customHeight="1">
      <c r="B316" s="43" t="s">
        <v>158</v>
      </c>
      <c r="C316" s="118" t="str">
        <f>R319&amp;"登録"</f>
        <v>バックアップ_処理対象施設マスタ管理登録</v>
      </c>
      <c r="D316" s="119"/>
      <c r="E316" s="119"/>
      <c r="F316" s="119"/>
      <c r="G316" s="119"/>
      <c r="H316" s="119"/>
      <c r="I316" s="119"/>
      <c r="J316" s="119"/>
      <c r="K316" s="119"/>
      <c r="L316" s="119"/>
      <c r="M316" s="119"/>
      <c r="N316" s="119"/>
      <c r="O316" s="119"/>
      <c r="P316" s="119"/>
      <c r="Q316" s="119"/>
      <c r="R316" s="119"/>
      <c r="S316" s="119"/>
      <c r="T316" s="119"/>
      <c r="U316" s="120"/>
      <c r="W316" s="35" t="str">
        <f>"-- "&amp;C316</f>
        <v>-- バックアップ_処理対象施設マスタ管理登録</v>
      </c>
    </row>
    <row r="317" spans="2:23" ht="18.75" customHeight="1">
      <c r="B317" s="43" t="s">
        <v>159</v>
      </c>
      <c r="C317" s="121" t="str">
        <f>C319&amp;"テーブルのレコードを"&amp;R319&amp;"テーブルに格納する。"</f>
        <v>処理対象施設マスタ管理テーブルのレコードをバックアップ_処理対象施設マスタ管理テーブルに格納する。</v>
      </c>
      <c r="D317" s="122"/>
      <c r="E317" s="122"/>
      <c r="F317" s="122"/>
      <c r="G317" s="122"/>
      <c r="H317" s="122"/>
      <c r="I317" s="122"/>
      <c r="J317" s="122"/>
      <c r="K317" s="122"/>
      <c r="L317" s="122"/>
      <c r="M317" s="122"/>
      <c r="N317" s="122"/>
      <c r="O317" s="122"/>
      <c r="P317" s="122"/>
      <c r="Q317" s="122"/>
      <c r="R317" s="122"/>
      <c r="S317" s="122"/>
      <c r="T317" s="122"/>
      <c r="U317" s="123"/>
      <c r="W317" s="35" t="str">
        <f>"-- "&amp;C317</f>
        <v>-- 処理対象施設マスタ管理テーブルのレコードをバックアップ_処理対象施設マスタ管理テーブルに格納する。</v>
      </c>
    </row>
    <row r="319" spans="2:23" ht="18.75" customHeight="1">
      <c r="C319" s="110" t="s">
        <v>3538</v>
      </c>
      <c r="D319" s="111"/>
      <c r="E319" s="116" t="s">
        <v>162</v>
      </c>
      <c r="F319" s="36"/>
      <c r="G319" s="36"/>
      <c r="H319" s="36"/>
      <c r="I319" s="36"/>
      <c r="J319" s="36"/>
      <c r="K319" s="36"/>
      <c r="L319" s="36"/>
      <c r="M319" s="36"/>
      <c r="N319" s="36"/>
      <c r="O319" s="36"/>
      <c r="P319" s="36"/>
      <c r="Q319" s="36"/>
      <c r="R319" s="110" t="str">
        <f>"バックアップ_"&amp;SUBSTITUTE(C319,"_結合","")</f>
        <v>バックアップ_処理対象施設マスタ管理</v>
      </c>
      <c r="S319" s="111"/>
      <c r="T319" s="114" t="str">
        <f>エンティティ一覧!$O$2</f>
        <v>milscm_2023_009</v>
      </c>
    </row>
    <row r="320" spans="2:23" ht="18.75" customHeight="1">
      <c r="C320" s="112"/>
      <c r="D320" s="113"/>
      <c r="E320" s="117"/>
      <c r="F320" s="37"/>
      <c r="G320" s="37"/>
      <c r="H320" s="37"/>
      <c r="I320" s="37"/>
      <c r="J320" s="37"/>
      <c r="K320" s="37"/>
      <c r="L320" s="37"/>
      <c r="M320" s="37"/>
      <c r="N320" s="37"/>
      <c r="O320" s="37"/>
      <c r="P320" s="37"/>
      <c r="Q320" s="37"/>
      <c r="R320" s="112"/>
      <c r="S320" s="113"/>
      <c r="T320" s="115"/>
    </row>
    <row r="322" spans="2:23" ht="18.75" customHeight="1" thickBot="1">
      <c r="B322" s="42"/>
      <c r="C322" s="42"/>
      <c r="D322" s="42"/>
      <c r="E322" s="42"/>
      <c r="F322" s="42"/>
      <c r="G322" s="42"/>
      <c r="H322" s="42"/>
      <c r="I322" s="42"/>
      <c r="J322" s="42"/>
      <c r="K322" s="42"/>
      <c r="L322" s="42"/>
      <c r="M322" s="42"/>
      <c r="N322" s="42"/>
      <c r="O322" s="42"/>
      <c r="P322" s="42"/>
      <c r="Q322" s="42"/>
      <c r="R322" s="42"/>
      <c r="S322" s="42"/>
      <c r="T322" s="42"/>
      <c r="U322" s="42"/>
    </row>
    <row r="324" spans="2:23" ht="18.75" customHeight="1">
      <c r="B324" s="43" t="s">
        <v>163</v>
      </c>
      <c r="C324" s="51" t="s">
        <v>3539</v>
      </c>
      <c r="D324" s="88"/>
      <c r="W324" s="35" t="str">
        <f>"-- "&amp;B324&amp;" : "&amp;C324</f>
        <v>-- SQL_ID : 01_A3-18</v>
      </c>
    </row>
    <row r="325" spans="2:23" ht="18.75" customHeight="1">
      <c r="B325" s="43" t="s">
        <v>158</v>
      </c>
      <c r="C325" s="118" t="str">
        <f>R328&amp;"登録"</f>
        <v>バックアップ_医薬品マスタ登録</v>
      </c>
      <c r="D325" s="119"/>
      <c r="E325" s="119"/>
      <c r="F325" s="119"/>
      <c r="G325" s="119"/>
      <c r="H325" s="119"/>
      <c r="I325" s="119"/>
      <c r="J325" s="119"/>
      <c r="K325" s="119"/>
      <c r="L325" s="119"/>
      <c r="M325" s="119"/>
      <c r="N325" s="119"/>
      <c r="O325" s="119"/>
      <c r="P325" s="119"/>
      <c r="Q325" s="119"/>
      <c r="R325" s="119"/>
      <c r="S325" s="119"/>
      <c r="T325" s="119"/>
      <c r="U325" s="120"/>
      <c r="W325" s="35" t="str">
        <f>"-- "&amp;C325</f>
        <v>-- バックアップ_医薬品マスタ登録</v>
      </c>
    </row>
    <row r="326" spans="2:23" ht="18.75" customHeight="1">
      <c r="B326" s="43" t="s">
        <v>159</v>
      </c>
      <c r="C326" s="121" t="str">
        <f>C328&amp;"テーブルのレコードを"&amp;R328&amp;"テーブルに格納する。"</f>
        <v>医薬品マスタテーブルのレコードをバックアップ_医薬品マスタテーブルに格納する。</v>
      </c>
      <c r="D326" s="122"/>
      <c r="E326" s="122"/>
      <c r="F326" s="122"/>
      <c r="G326" s="122"/>
      <c r="H326" s="122"/>
      <c r="I326" s="122"/>
      <c r="J326" s="122"/>
      <c r="K326" s="122"/>
      <c r="L326" s="122"/>
      <c r="M326" s="122"/>
      <c r="N326" s="122"/>
      <c r="O326" s="122"/>
      <c r="P326" s="122"/>
      <c r="Q326" s="122"/>
      <c r="R326" s="122"/>
      <c r="S326" s="122"/>
      <c r="T326" s="122"/>
      <c r="U326" s="123"/>
      <c r="W326" s="35" t="str">
        <f>"-- "&amp;C326</f>
        <v>-- 医薬品マスタテーブルのレコードをバックアップ_医薬品マスタテーブルに格納する。</v>
      </c>
    </row>
    <row r="328" spans="2:23" ht="18.75" customHeight="1">
      <c r="C328" s="110" t="s">
        <v>3540</v>
      </c>
      <c r="D328" s="111"/>
      <c r="E328" s="116" t="s">
        <v>162</v>
      </c>
      <c r="F328" s="36"/>
      <c r="G328" s="36"/>
      <c r="H328" s="36"/>
      <c r="I328" s="36"/>
      <c r="J328" s="36"/>
      <c r="K328" s="36"/>
      <c r="L328" s="36"/>
      <c r="M328" s="36"/>
      <c r="N328" s="36"/>
      <c r="O328" s="36"/>
      <c r="P328" s="36"/>
      <c r="Q328" s="36"/>
      <c r="R328" s="110" t="str">
        <f>"バックアップ_"&amp;SUBSTITUTE(C328,"_結合","")</f>
        <v>バックアップ_医薬品マスタ</v>
      </c>
      <c r="S328" s="111"/>
      <c r="T328" s="114" t="str">
        <f>エンティティ一覧!$O$2</f>
        <v>milscm_2023_009</v>
      </c>
    </row>
    <row r="329" spans="2:23" ht="18.75" customHeight="1">
      <c r="C329" s="112"/>
      <c r="D329" s="113"/>
      <c r="E329" s="117"/>
      <c r="F329" s="37"/>
      <c r="G329" s="37"/>
      <c r="H329" s="37"/>
      <c r="I329" s="37"/>
      <c r="J329" s="37"/>
      <c r="K329" s="37"/>
      <c r="L329" s="37"/>
      <c r="M329" s="37"/>
      <c r="N329" s="37"/>
      <c r="O329" s="37"/>
      <c r="P329" s="37"/>
      <c r="Q329" s="37"/>
      <c r="R329" s="112"/>
      <c r="S329" s="113"/>
      <c r="T329" s="115"/>
    </row>
    <row r="331" spans="2:23" ht="18.75" customHeight="1" thickBot="1">
      <c r="B331" s="42"/>
      <c r="C331" s="42"/>
      <c r="D331" s="42"/>
      <c r="E331" s="42"/>
      <c r="F331" s="42"/>
      <c r="G331" s="42"/>
      <c r="H331" s="42"/>
      <c r="I331" s="42"/>
      <c r="J331" s="42"/>
      <c r="K331" s="42"/>
      <c r="L331" s="42"/>
      <c r="M331" s="42"/>
      <c r="N331" s="42"/>
      <c r="O331" s="42"/>
      <c r="P331" s="42"/>
      <c r="Q331" s="42"/>
      <c r="R331" s="42"/>
      <c r="S331" s="42"/>
      <c r="T331" s="42"/>
      <c r="U331" s="42"/>
    </row>
    <row r="333" spans="2:23" ht="18.75" customHeight="1">
      <c r="B333" s="43" t="s">
        <v>163</v>
      </c>
      <c r="C333" s="51" t="s">
        <v>3541</v>
      </c>
      <c r="D333" s="88"/>
      <c r="W333" s="35" t="str">
        <f>"-- "&amp;B333&amp;" : "&amp;C333</f>
        <v>-- SQL_ID : 01_A3-19</v>
      </c>
    </row>
    <row r="334" spans="2:23" ht="18.75" customHeight="1">
      <c r="B334" s="43" t="s">
        <v>158</v>
      </c>
      <c r="C334" s="118" t="str">
        <f>R337&amp;"登録"</f>
        <v>バックアップ_医薬品ブランドマスタ登録</v>
      </c>
      <c r="D334" s="119"/>
      <c r="E334" s="119"/>
      <c r="F334" s="119"/>
      <c r="G334" s="119"/>
      <c r="H334" s="119"/>
      <c r="I334" s="119"/>
      <c r="J334" s="119"/>
      <c r="K334" s="119"/>
      <c r="L334" s="119"/>
      <c r="M334" s="119"/>
      <c r="N334" s="119"/>
      <c r="O334" s="119"/>
      <c r="P334" s="119"/>
      <c r="Q334" s="119"/>
      <c r="R334" s="119"/>
      <c r="S334" s="119"/>
      <c r="T334" s="119"/>
      <c r="U334" s="120"/>
      <c r="W334" s="35" t="str">
        <f>"-- "&amp;C334</f>
        <v>-- バックアップ_医薬品ブランドマスタ登録</v>
      </c>
    </row>
    <row r="335" spans="2:23" ht="18.75" customHeight="1">
      <c r="B335" s="43" t="s">
        <v>159</v>
      </c>
      <c r="C335" s="121" t="str">
        <f>C337&amp;"テーブルのレコードを"&amp;R337&amp;"テーブルに格納する。"</f>
        <v>医薬品ブランドマスタテーブルのレコードをバックアップ_医薬品ブランドマスタテーブルに格納する。</v>
      </c>
      <c r="D335" s="122"/>
      <c r="E335" s="122"/>
      <c r="F335" s="122"/>
      <c r="G335" s="122"/>
      <c r="H335" s="122"/>
      <c r="I335" s="122"/>
      <c r="J335" s="122"/>
      <c r="K335" s="122"/>
      <c r="L335" s="122"/>
      <c r="M335" s="122"/>
      <c r="N335" s="122"/>
      <c r="O335" s="122"/>
      <c r="P335" s="122"/>
      <c r="Q335" s="122"/>
      <c r="R335" s="122"/>
      <c r="S335" s="122"/>
      <c r="T335" s="122"/>
      <c r="U335" s="123"/>
      <c r="W335" s="35" t="str">
        <f>"-- "&amp;C335</f>
        <v>-- 医薬品ブランドマスタテーブルのレコードをバックアップ_医薬品ブランドマスタテーブルに格納する。</v>
      </c>
    </row>
    <row r="337" spans="2:23" ht="18.75" customHeight="1">
      <c r="C337" s="110" t="s">
        <v>3542</v>
      </c>
      <c r="D337" s="111"/>
      <c r="E337" s="116" t="s">
        <v>162</v>
      </c>
      <c r="F337" s="36"/>
      <c r="G337" s="36"/>
      <c r="H337" s="36"/>
      <c r="I337" s="36"/>
      <c r="J337" s="36"/>
      <c r="K337" s="36"/>
      <c r="L337" s="36"/>
      <c r="M337" s="36"/>
      <c r="N337" s="36"/>
      <c r="O337" s="36"/>
      <c r="P337" s="36"/>
      <c r="Q337" s="36"/>
      <c r="R337" s="110" t="str">
        <f>"バックアップ_"&amp;SUBSTITUTE(C337,"_結合","")</f>
        <v>バックアップ_医薬品ブランドマスタ</v>
      </c>
      <c r="S337" s="111"/>
      <c r="T337" s="114" t="str">
        <f>エンティティ一覧!$O$2</f>
        <v>milscm_2023_009</v>
      </c>
    </row>
    <row r="338" spans="2:23" ht="18.75" customHeight="1">
      <c r="C338" s="112"/>
      <c r="D338" s="113"/>
      <c r="E338" s="117"/>
      <c r="F338" s="37"/>
      <c r="G338" s="37"/>
      <c r="H338" s="37"/>
      <c r="I338" s="37"/>
      <c r="J338" s="37"/>
      <c r="K338" s="37"/>
      <c r="L338" s="37"/>
      <c r="M338" s="37"/>
      <c r="N338" s="37"/>
      <c r="O338" s="37"/>
      <c r="P338" s="37"/>
      <c r="Q338" s="37"/>
      <c r="R338" s="112"/>
      <c r="S338" s="113"/>
      <c r="T338" s="115"/>
    </row>
    <row r="340" spans="2:23" ht="18.75" customHeight="1" thickBot="1">
      <c r="B340" s="42"/>
      <c r="C340" s="42"/>
      <c r="D340" s="42"/>
      <c r="E340" s="42"/>
      <c r="F340" s="42"/>
      <c r="G340" s="42"/>
      <c r="H340" s="42"/>
      <c r="I340" s="42"/>
      <c r="J340" s="42"/>
      <c r="K340" s="42"/>
      <c r="L340" s="42"/>
      <c r="M340" s="42"/>
      <c r="N340" s="42"/>
      <c r="O340" s="42"/>
      <c r="P340" s="42"/>
      <c r="Q340" s="42"/>
      <c r="R340" s="42"/>
      <c r="S340" s="42"/>
      <c r="T340" s="42"/>
      <c r="U340" s="42"/>
    </row>
    <row r="342" spans="2:23" ht="18.75" customHeight="1">
      <c r="B342" s="43" t="s">
        <v>163</v>
      </c>
      <c r="C342" s="51" t="s">
        <v>3543</v>
      </c>
      <c r="D342" s="88"/>
      <c r="W342" s="35" t="str">
        <f>"-- "&amp;B342&amp;" : "&amp;C342</f>
        <v>-- SQL_ID : 01_A3-20</v>
      </c>
    </row>
    <row r="343" spans="2:23" ht="18.75" customHeight="1">
      <c r="B343" s="43" t="s">
        <v>158</v>
      </c>
      <c r="C343" s="118" t="str">
        <f>R346&amp;"登録"</f>
        <v>バックアップ_医薬品一般名マスタ登録</v>
      </c>
      <c r="D343" s="119"/>
      <c r="E343" s="119"/>
      <c r="F343" s="119"/>
      <c r="G343" s="119"/>
      <c r="H343" s="119"/>
      <c r="I343" s="119"/>
      <c r="J343" s="119"/>
      <c r="K343" s="119"/>
      <c r="L343" s="119"/>
      <c r="M343" s="119"/>
      <c r="N343" s="119"/>
      <c r="O343" s="119"/>
      <c r="P343" s="119"/>
      <c r="Q343" s="119"/>
      <c r="R343" s="119"/>
      <c r="S343" s="119"/>
      <c r="T343" s="119"/>
      <c r="U343" s="120"/>
      <c r="W343" s="35" t="str">
        <f>"-- "&amp;C343</f>
        <v>-- バックアップ_医薬品一般名マスタ登録</v>
      </c>
    </row>
    <row r="344" spans="2:23" ht="18.75" customHeight="1">
      <c r="B344" s="43" t="s">
        <v>159</v>
      </c>
      <c r="C344" s="121" t="str">
        <f>C346&amp;"テーブルのレコードを"&amp;R346&amp;"テーブルに格納する。"</f>
        <v>医薬品一般名マスタテーブルのレコードをバックアップ_医薬品一般名マスタテーブルに格納する。</v>
      </c>
      <c r="D344" s="122"/>
      <c r="E344" s="122"/>
      <c r="F344" s="122"/>
      <c r="G344" s="122"/>
      <c r="H344" s="122"/>
      <c r="I344" s="122"/>
      <c r="J344" s="122"/>
      <c r="K344" s="122"/>
      <c r="L344" s="122"/>
      <c r="M344" s="122"/>
      <c r="N344" s="122"/>
      <c r="O344" s="122"/>
      <c r="P344" s="122"/>
      <c r="Q344" s="122"/>
      <c r="R344" s="122"/>
      <c r="S344" s="122"/>
      <c r="T344" s="122"/>
      <c r="U344" s="123"/>
      <c r="W344" s="35" t="str">
        <f>"-- "&amp;C344</f>
        <v>-- 医薬品一般名マスタテーブルのレコードをバックアップ_医薬品一般名マスタテーブルに格納する。</v>
      </c>
    </row>
    <row r="346" spans="2:23" ht="18.75" customHeight="1">
      <c r="C346" s="110" t="s">
        <v>3544</v>
      </c>
      <c r="D346" s="111"/>
      <c r="E346" s="116" t="s">
        <v>162</v>
      </c>
      <c r="F346" s="36"/>
      <c r="G346" s="36"/>
      <c r="H346" s="36"/>
      <c r="I346" s="36"/>
      <c r="J346" s="36"/>
      <c r="K346" s="36"/>
      <c r="L346" s="36"/>
      <c r="M346" s="36"/>
      <c r="N346" s="36"/>
      <c r="O346" s="36"/>
      <c r="P346" s="36"/>
      <c r="Q346" s="36"/>
      <c r="R346" s="110" t="str">
        <f>"バックアップ_"&amp;SUBSTITUTE(C346,"_結合","")</f>
        <v>バックアップ_医薬品一般名マスタ</v>
      </c>
      <c r="S346" s="111"/>
      <c r="T346" s="114" t="str">
        <f>エンティティ一覧!$O$2</f>
        <v>milscm_2023_009</v>
      </c>
    </row>
    <row r="347" spans="2:23" ht="18.75" customHeight="1">
      <c r="C347" s="112"/>
      <c r="D347" s="113"/>
      <c r="E347" s="117"/>
      <c r="F347" s="37"/>
      <c r="G347" s="37"/>
      <c r="H347" s="37"/>
      <c r="I347" s="37"/>
      <c r="J347" s="37"/>
      <c r="K347" s="37"/>
      <c r="L347" s="37"/>
      <c r="M347" s="37"/>
      <c r="N347" s="37"/>
      <c r="O347" s="37"/>
      <c r="P347" s="37"/>
      <c r="Q347" s="37"/>
      <c r="R347" s="112"/>
      <c r="S347" s="113"/>
      <c r="T347" s="115"/>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3545</v>
      </c>
      <c r="D351" s="88"/>
      <c r="W351" s="35" t="str">
        <f>"-- "&amp;B351&amp;" : "&amp;C351</f>
        <v>-- SQL_ID : 01_A3-21</v>
      </c>
    </row>
    <row r="352" spans="2:23" ht="18.75" customHeight="1">
      <c r="B352" s="43" t="s">
        <v>158</v>
      </c>
      <c r="C352" s="118" t="str">
        <f>R355&amp;"登録"</f>
        <v>バックアップ_医薬品販売会社マスタ登録</v>
      </c>
      <c r="D352" s="119"/>
      <c r="E352" s="119"/>
      <c r="F352" s="119"/>
      <c r="G352" s="119"/>
      <c r="H352" s="119"/>
      <c r="I352" s="119"/>
      <c r="J352" s="119"/>
      <c r="K352" s="119"/>
      <c r="L352" s="119"/>
      <c r="M352" s="119"/>
      <c r="N352" s="119"/>
      <c r="O352" s="119"/>
      <c r="P352" s="119"/>
      <c r="Q352" s="119"/>
      <c r="R352" s="119"/>
      <c r="S352" s="119"/>
      <c r="T352" s="119"/>
      <c r="U352" s="120"/>
      <c r="W352" s="35" t="str">
        <f>"-- "&amp;C352</f>
        <v>-- バックアップ_医薬品販売会社マスタ登録</v>
      </c>
    </row>
    <row r="353" spans="2:23" ht="18.75" customHeight="1">
      <c r="B353" s="43" t="s">
        <v>159</v>
      </c>
      <c r="C353" s="121" t="str">
        <f>C355&amp;"テーブルのレコードを"&amp;R355&amp;"テーブルに格納する。"</f>
        <v>医薬品販売会社マスタテーブルのレコードをバックアップ_医薬品販売会社マスタテーブルに格納する。</v>
      </c>
      <c r="D353" s="122"/>
      <c r="E353" s="122"/>
      <c r="F353" s="122"/>
      <c r="G353" s="122"/>
      <c r="H353" s="122"/>
      <c r="I353" s="122"/>
      <c r="J353" s="122"/>
      <c r="K353" s="122"/>
      <c r="L353" s="122"/>
      <c r="M353" s="122"/>
      <c r="N353" s="122"/>
      <c r="O353" s="122"/>
      <c r="P353" s="122"/>
      <c r="Q353" s="122"/>
      <c r="R353" s="122"/>
      <c r="S353" s="122"/>
      <c r="T353" s="122"/>
      <c r="U353" s="123"/>
      <c r="W353" s="35" t="str">
        <f>"-- "&amp;C353</f>
        <v>-- 医薬品販売会社マスタテーブルのレコードをバックアップ_医薬品販売会社マスタテーブルに格納する。</v>
      </c>
    </row>
    <row r="355" spans="2:23" ht="18.75" customHeight="1">
      <c r="C355" s="110" t="s">
        <v>3546</v>
      </c>
      <c r="D355" s="111"/>
      <c r="E355" s="116" t="s">
        <v>162</v>
      </c>
      <c r="F355" s="36"/>
      <c r="G355" s="36"/>
      <c r="H355" s="36"/>
      <c r="I355" s="36"/>
      <c r="J355" s="36"/>
      <c r="K355" s="36"/>
      <c r="L355" s="36"/>
      <c r="M355" s="36"/>
      <c r="N355" s="36"/>
      <c r="O355" s="36"/>
      <c r="P355" s="36"/>
      <c r="Q355" s="36"/>
      <c r="R355" s="110" t="str">
        <f>"バックアップ_"&amp;SUBSTITUTE(C355,"_結合","")</f>
        <v>バックアップ_医薬品販売会社マスタ</v>
      </c>
      <c r="S355" s="111"/>
      <c r="T355" s="114" t="str">
        <f>エンティティ一覧!$O$2</f>
        <v>milscm_2023_009</v>
      </c>
    </row>
    <row r="356" spans="2:23" ht="18.75" customHeight="1">
      <c r="C356" s="112"/>
      <c r="D356" s="113"/>
      <c r="E356" s="117"/>
      <c r="F356" s="37"/>
      <c r="G356" s="37"/>
      <c r="H356" s="37"/>
      <c r="I356" s="37"/>
      <c r="J356" s="37"/>
      <c r="K356" s="37"/>
      <c r="L356" s="37"/>
      <c r="M356" s="37"/>
      <c r="N356" s="37"/>
      <c r="O356" s="37"/>
      <c r="P356" s="37"/>
      <c r="Q356" s="37"/>
      <c r="R356" s="112"/>
      <c r="S356" s="113"/>
      <c r="T356" s="115"/>
    </row>
    <row r="358" spans="2:23" ht="18.75" customHeight="1" thickBot="1">
      <c r="B358" s="42"/>
      <c r="C358" s="42"/>
      <c r="D358" s="42"/>
      <c r="E358" s="42"/>
      <c r="F358" s="42"/>
      <c r="G358" s="42"/>
      <c r="H358" s="42"/>
      <c r="I358" s="42"/>
      <c r="J358" s="42"/>
      <c r="K358" s="42"/>
      <c r="L358" s="42"/>
      <c r="M358" s="42"/>
      <c r="N358" s="42"/>
      <c r="O358" s="42"/>
      <c r="P358" s="42"/>
      <c r="Q358" s="42"/>
      <c r="R358" s="42"/>
      <c r="S358" s="42"/>
      <c r="T358" s="42"/>
      <c r="U358" s="42"/>
    </row>
    <row r="360" spans="2:23" ht="18.75" customHeight="1">
      <c r="B360" s="43" t="s">
        <v>163</v>
      </c>
      <c r="C360" s="51" t="s">
        <v>3547</v>
      </c>
      <c r="D360" s="88"/>
      <c r="W360" s="35" t="str">
        <f>"-- "&amp;B360&amp;" : "&amp;C360</f>
        <v>-- SQL_ID : 01_A3-22</v>
      </c>
    </row>
    <row r="361" spans="2:23" ht="18.75" customHeight="1">
      <c r="B361" s="43" t="s">
        <v>158</v>
      </c>
      <c r="C361" s="118" t="str">
        <f>R364&amp;"登録"</f>
        <v>バックアップ_メーカマスタ登録</v>
      </c>
      <c r="D361" s="119"/>
      <c r="E361" s="119"/>
      <c r="F361" s="119"/>
      <c r="G361" s="119"/>
      <c r="H361" s="119"/>
      <c r="I361" s="119"/>
      <c r="J361" s="119"/>
      <c r="K361" s="119"/>
      <c r="L361" s="119"/>
      <c r="M361" s="119"/>
      <c r="N361" s="119"/>
      <c r="O361" s="119"/>
      <c r="P361" s="119"/>
      <c r="Q361" s="119"/>
      <c r="R361" s="119"/>
      <c r="S361" s="119"/>
      <c r="T361" s="119"/>
      <c r="U361" s="120"/>
      <c r="W361" s="35" t="str">
        <f>"-- "&amp;C361</f>
        <v>-- バックアップ_メーカマスタ登録</v>
      </c>
    </row>
    <row r="362" spans="2:23" ht="18.75" customHeight="1">
      <c r="B362" s="43" t="s">
        <v>159</v>
      </c>
      <c r="C362" s="121" t="str">
        <f>C364&amp;"テーブルのレコードを"&amp;R364&amp;"テーブルに格納する。"</f>
        <v>メーカマスタテーブルのレコードをバックアップ_メーカマスタテーブルに格納する。</v>
      </c>
      <c r="D362" s="122"/>
      <c r="E362" s="122"/>
      <c r="F362" s="122"/>
      <c r="G362" s="122"/>
      <c r="H362" s="122"/>
      <c r="I362" s="122"/>
      <c r="J362" s="122"/>
      <c r="K362" s="122"/>
      <c r="L362" s="122"/>
      <c r="M362" s="122"/>
      <c r="N362" s="122"/>
      <c r="O362" s="122"/>
      <c r="P362" s="122"/>
      <c r="Q362" s="122"/>
      <c r="R362" s="122"/>
      <c r="S362" s="122"/>
      <c r="T362" s="122"/>
      <c r="U362" s="123"/>
      <c r="W362" s="35" t="str">
        <f>"-- "&amp;C362</f>
        <v>-- メーカマスタテーブルのレコードをバックアップ_メーカマスタテーブルに格納する。</v>
      </c>
    </row>
    <row r="364" spans="2:23" ht="18.75" customHeight="1">
      <c r="C364" s="110" t="s">
        <v>3548</v>
      </c>
      <c r="D364" s="111"/>
      <c r="E364" s="116" t="s">
        <v>162</v>
      </c>
      <c r="F364" s="36"/>
      <c r="G364" s="36"/>
      <c r="H364" s="36"/>
      <c r="I364" s="36"/>
      <c r="J364" s="36"/>
      <c r="K364" s="36"/>
      <c r="L364" s="36"/>
      <c r="M364" s="36"/>
      <c r="N364" s="36"/>
      <c r="O364" s="36"/>
      <c r="P364" s="36"/>
      <c r="Q364" s="36"/>
      <c r="R364" s="110" t="str">
        <f>"バックアップ_"&amp;SUBSTITUTE(C364,"_結合","")</f>
        <v>バックアップ_メーカマスタ</v>
      </c>
      <c r="S364" s="111"/>
      <c r="T364" s="114" t="str">
        <f>エンティティ一覧!$O$2</f>
        <v>milscm_2023_009</v>
      </c>
    </row>
    <row r="365" spans="2:23" ht="18.75" customHeight="1">
      <c r="C365" s="112"/>
      <c r="D365" s="113"/>
      <c r="E365" s="117"/>
      <c r="F365" s="37"/>
      <c r="G365" s="37"/>
      <c r="H365" s="37"/>
      <c r="I365" s="37"/>
      <c r="J365" s="37"/>
      <c r="K365" s="37"/>
      <c r="L365" s="37"/>
      <c r="M365" s="37"/>
      <c r="N365" s="37"/>
      <c r="O365" s="37"/>
      <c r="P365" s="37"/>
      <c r="Q365" s="37"/>
      <c r="R365" s="112"/>
      <c r="S365" s="113"/>
      <c r="T365" s="115"/>
    </row>
    <row r="367" spans="2:23" ht="18.75" customHeight="1" thickBot="1">
      <c r="B367" s="42"/>
      <c r="C367" s="42"/>
      <c r="D367" s="42"/>
      <c r="E367" s="42"/>
      <c r="F367" s="42"/>
      <c r="G367" s="42"/>
      <c r="H367" s="42"/>
      <c r="I367" s="42"/>
      <c r="J367" s="42"/>
      <c r="K367" s="42"/>
      <c r="L367" s="42"/>
      <c r="M367" s="42"/>
      <c r="N367" s="42"/>
      <c r="O367" s="42"/>
      <c r="P367" s="42"/>
      <c r="Q367" s="42"/>
      <c r="R367" s="42"/>
      <c r="S367" s="42"/>
      <c r="T367" s="42"/>
      <c r="U367" s="42"/>
    </row>
    <row r="369" spans="2:23" ht="18.75" customHeight="1">
      <c r="B369" s="43" t="s">
        <v>163</v>
      </c>
      <c r="C369" s="51" t="s">
        <v>3549</v>
      </c>
      <c r="D369" s="88"/>
      <c r="W369" s="35" t="str">
        <f>"-- "&amp;B369&amp;" : "&amp;C369</f>
        <v>-- SQL_ID : 01_A3-23</v>
      </c>
    </row>
    <row r="370" spans="2:23" ht="18.75" customHeight="1">
      <c r="B370" s="43" t="s">
        <v>158</v>
      </c>
      <c r="C370" s="118" t="str">
        <f>R373&amp;"登録"</f>
        <v>バックアップ_薬価マスタ登録</v>
      </c>
      <c r="D370" s="119"/>
      <c r="E370" s="119"/>
      <c r="F370" s="119"/>
      <c r="G370" s="119"/>
      <c r="H370" s="119"/>
      <c r="I370" s="119"/>
      <c r="J370" s="119"/>
      <c r="K370" s="119"/>
      <c r="L370" s="119"/>
      <c r="M370" s="119"/>
      <c r="N370" s="119"/>
      <c r="O370" s="119"/>
      <c r="P370" s="119"/>
      <c r="Q370" s="119"/>
      <c r="R370" s="119"/>
      <c r="S370" s="119"/>
      <c r="T370" s="119"/>
      <c r="U370" s="120"/>
      <c r="W370" s="35" t="str">
        <f>"-- "&amp;C370</f>
        <v>-- バックアップ_薬価マスタ登録</v>
      </c>
    </row>
    <row r="371" spans="2:23" ht="18.75" customHeight="1">
      <c r="B371" s="43" t="s">
        <v>159</v>
      </c>
      <c r="C371" s="121" t="str">
        <f>C373&amp;"テーブルのレコードを"&amp;R373&amp;"テーブルに格納する。"</f>
        <v>薬価マスタテーブルのレコードをバックアップ_薬価マスタテーブルに格納する。</v>
      </c>
      <c r="D371" s="122"/>
      <c r="E371" s="122"/>
      <c r="F371" s="122"/>
      <c r="G371" s="122"/>
      <c r="H371" s="122"/>
      <c r="I371" s="122"/>
      <c r="J371" s="122"/>
      <c r="K371" s="122"/>
      <c r="L371" s="122"/>
      <c r="M371" s="122"/>
      <c r="N371" s="122"/>
      <c r="O371" s="122"/>
      <c r="P371" s="122"/>
      <c r="Q371" s="122"/>
      <c r="R371" s="122"/>
      <c r="S371" s="122"/>
      <c r="T371" s="122"/>
      <c r="U371" s="123"/>
      <c r="W371" s="35" t="str">
        <f>"-- "&amp;C371</f>
        <v>-- 薬価マスタテーブルのレコードをバックアップ_薬価マスタテーブルに格納する。</v>
      </c>
    </row>
    <row r="373" spans="2:23" ht="18.75" customHeight="1">
      <c r="C373" s="110" t="s">
        <v>3550</v>
      </c>
      <c r="D373" s="111"/>
      <c r="E373" s="116" t="s">
        <v>162</v>
      </c>
      <c r="F373" s="36"/>
      <c r="G373" s="36"/>
      <c r="H373" s="36"/>
      <c r="I373" s="36"/>
      <c r="J373" s="36"/>
      <c r="K373" s="36"/>
      <c r="L373" s="36"/>
      <c r="M373" s="36"/>
      <c r="N373" s="36"/>
      <c r="O373" s="36"/>
      <c r="P373" s="36"/>
      <c r="Q373" s="36"/>
      <c r="R373" s="110" t="str">
        <f>"バックアップ_"&amp;SUBSTITUTE(C373,"_結合","")</f>
        <v>バックアップ_薬価マスタ</v>
      </c>
      <c r="S373" s="111"/>
      <c r="T373" s="114" t="str">
        <f>エンティティ一覧!$O$2</f>
        <v>milscm_2023_009</v>
      </c>
    </row>
    <row r="374" spans="2:23" ht="18.75" customHeight="1">
      <c r="C374" s="112"/>
      <c r="D374" s="113"/>
      <c r="E374" s="117"/>
      <c r="F374" s="37"/>
      <c r="G374" s="37"/>
      <c r="H374" s="37"/>
      <c r="I374" s="37"/>
      <c r="J374" s="37"/>
      <c r="K374" s="37"/>
      <c r="L374" s="37"/>
      <c r="M374" s="37"/>
      <c r="N374" s="37"/>
      <c r="O374" s="37"/>
      <c r="P374" s="37"/>
      <c r="Q374" s="37"/>
      <c r="R374" s="112"/>
      <c r="S374" s="113"/>
      <c r="T374" s="115"/>
    </row>
    <row r="376" spans="2:23" ht="18.75" customHeight="1" thickBot="1">
      <c r="B376" s="42"/>
      <c r="C376" s="42"/>
      <c r="D376" s="42"/>
      <c r="E376" s="42"/>
      <c r="F376" s="42"/>
      <c r="G376" s="42"/>
      <c r="H376" s="42"/>
      <c r="I376" s="42"/>
      <c r="J376" s="42"/>
      <c r="K376" s="42"/>
      <c r="L376" s="42"/>
      <c r="M376" s="42"/>
      <c r="N376" s="42"/>
      <c r="O376" s="42"/>
      <c r="P376" s="42"/>
      <c r="Q376" s="42"/>
      <c r="R376" s="42"/>
      <c r="S376" s="42"/>
      <c r="T376" s="42"/>
      <c r="U376" s="42"/>
    </row>
    <row r="378" spans="2:23" ht="18.75" customHeight="1">
      <c r="B378" s="43" t="s">
        <v>163</v>
      </c>
      <c r="C378" s="51" t="s">
        <v>3551</v>
      </c>
      <c r="D378" s="88"/>
      <c r="W378" s="35" t="str">
        <f>"-- "&amp;B378&amp;" : "&amp;C378</f>
        <v>-- SQL_ID : 01_A3-24</v>
      </c>
    </row>
    <row r="379" spans="2:23" ht="18.75" customHeight="1">
      <c r="B379" s="43" t="s">
        <v>158</v>
      </c>
      <c r="C379" s="118" t="str">
        <f>R382&amp;"登録"</f>
        <v>バックアップ_薬効ATC分類1マスタ登録</v>
      </c>
      <c r="D379" s="119"/>
      <c r="E379" s="119"/>
      <c r="F379" s="119"/>
      <c r="G379" s="119"/>
      <c r="H379" s="119"/>
      <c r="I379" s="119"/>
      <c r="J379" s="119"/>
      <c r="K379" s="119"/>
      <c r="L379" s="119"/>
      <c r="M379" s="119"/>
      <c r="N379" s="119"/>
      <c r="O379" s="119"/>
      <c r="P379" s="119"/>
      <c r="Q379" s="119"/>
      <c r="R379" s="119"/>
      <c r="S379" s="119"/>
      <c r="T379" s="119"/>
      <c r="U379" s="120"/>
      <c r="W379" s="35" t="str">
        <f>"-- "&amp;C379</f>
        <v>-- バックアップ_薬効ATC分類1マスタ登録</v>
      </c>
    </row>
    <row r="380" spans="2:23" ht="18.75" customHeight="1">
      <c r="B380" s="43" t="s">
        <v>159</v>
      </c>
      <c r="C380" s="121" t="str">
        <f>C382&amp;"テーブルのレコードを"&amp;R382&amp;"テーブルに格納する。"</f>
        <v>薬効ATC分類1マスタテーブルのレコードをバックアップ_薬効ATC分類1マスタテーブルに格納する。</v>
      </c>
      <c r="D380" s="122"/>
      <c r="E380" s="122"/>
      <c r="F380" s="122"/>
      <c r="G380" s="122"/>
      <c r="H380" s="122"/>
      <c r="I380" s="122"/>
      <c r="J380" s="122"/>
      <c r="K380" s="122"/>
      <c r="L380" s="122"/>
      <c r="M380" s="122"/>
      <c r="N380" s="122"/>
      <c r="O380" s="122"/>
      <c r="P380" s="122"/>
      <c r="Q380" s="122"/>
      <c r="R380" s="122"/>
      <c r="S380" s="122"/>
      <c r="T380" s="122"/>
      <c r="U380" s="123"/>
      <c r="W380" s="35" t="str">
        <f>"-- "&amp;C380</f>
        <v>-- 薬効ATC分類1マスタテーブルのレコードをバックアップ_薬効ATC分類1マスタテーブルに格納する。</v>
      </c>
    </row>
    <row r="382" spans="2:23" ht="18.75" customHeight="1">
      <c r="C382" s="110" t="s">
        <v>3552</v>
      </c>
      <c r="D382" s="111"/>
      <c r="E382" s="116" t="s">
        <v>162</v>
      </c>
      <c r="F382" s="36"/>
      <c r="G382" s="36"/>
      <c r="H382" s="36"/>
      <c r="I382" s="36"/>
      <c r="J382" s="36"/>
      <c r="K382" s="36"/>
      <c r="L382" s="36"/>
      <c r="M382" s="36"/>
      <c r="N382" s="36"/>
      <c r="O382" s="36"/>
      <c r="P382" s="36"/>
      <c r="Q382" s="36"/>
      <c r="R382" s="110" t="str">
        <f>"バックアップ_"&amp;SUBSTITUTE(C382,"_結合","")</f>
        <v>バックアップ_薬効ATC分類1マスタ</v>
      </c>
      <c r="S382" s="111"/>
      <c r="T382" s="114" t="str">
        <f>エンティティ一覧!$O$2</f>
        <v>milscm_2023_009</v>
      </c>
    </row>
    <row r="383" spans="2:23" ht="18.75" customHeight="1">
      <c r="C383" s="112"/>
      <c r="D383" s="113"/>
      <c r="E383" s="117"/>
      <c r="F383" s="37"/>
      <c r="G383" s="37"/>
      <c r="H383" s="37"/>
      <c r="I383" s="37"/>
      <c r="J383" s="37"/>
      <c r="K383" s="37"/>
      <c r="L383" s="37"/>
      <c r="M383" s="37"/>
      <c r="N383" s="37"/>
      <c r="O383" s="37"/>
      <c r="P383" s="37"/>
      <c r="Q383" s="37"/>
      <c r="R383" s="112"/>
      <c r="S383" s="113"/>
      <c r="T383" s="115"/>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3553</v>
      </c>
      <c r="D387" s="88"/>
      <c r="W387" s="35" t="str">
        <f>"-- "&amp;B387&amp;" : "&amp;C387</f>
        <v>-- SQL_ID : 01_A3-25</v>
      </c>
    </row>
    <row r="388" spans="2:23" ht="18.75" customHeight="1">
      <c r="B388" s="43" t="s">
        <v>158</v>
      </c>
      <c r="C388" s="118" t="str">
        <f>R391&amp;"登録"</f>
        <v>バックアップ_薬効ATC分類2マスタ登録</v>
      </c>
      <c r="D388" s="119"/>
      <c r="E388" s="119"/>
      <c r="F388" s="119"/>
      <c r="G388" s="119"/>
      <c r="H388" s="119"/>
      <c r="I388" s="119"/>
      <c r="J388" s="119"/>
      <c r="K388" s="119"/>
      <c r="L388" s="119"/>
      <c r="M388" s="119"/>
      <c r="N388" s="119"/>
      <c r="O388" s="119"/>
      <c r="P388" s="119"/>
      <c r="Q388" s="119"/>
      <c r="R388" s="119"/>
      <c r="S388" s="119"/>
      <c r="T388" s="119"/>
      <c r="U388" s="120"/>
      <c r="W388" s="35" t="str">
        <f>"-- "&amp;C388</f>
        <v>-- バックアップ_薬効ATC分類2マスタ登録</v>
      </c>
    </row>
    <row r="389" spans="2:23" ht="18.75" customHeight="1">
      <c r="B389" s="43" t="s">
        <v>159</v>
      </c>
      <c r="C389" s="121" t="str">
        <f>C391&amp;"テーブルのレコードを"&amp;R391&amp;"テーブルに格納する。"</f>
        <v>薬効ATC分類2マスタテーブルのレコードをバックアップ_薬効ATC分類2マスタテーブルに格納する。</v>
      </c>
      <c r="D389" s="122"/>
      <c r="E389" s="122"/>
      <c r="F389" s="122"/>
      <c r="G389" s="122"/>
      <c r="H389" s="122"/>
      <c r="I389" s="122"/>
      <c r="J389" s="122"/>
      <c r="K389" s="122"/>
      <c r="L389" s="122"/>
      <c r="M389" s="122"/>
      <c r="N389" s="122"/>
      <c r="O389" s="122"/>
      <c r="P389" s="122"/>
      <c r="Q389" s="122"/>
      <c r="R389" s="122"/>
      <c r="S389" s="122"/>
      <c r="T389" s="122"/>
      <c r="U389" s="123"/>
      <c r="W389" s="35" t="str">
        <f>"-- "&amp;C389</f>
        <v>-- 薬効ATC分類2マスタテーブルのレコードをバックアップ_薬効ATC分類2マスタテーブルに格納する。</v>
      </c>
    </row>
    <row r="391" spans="2:23" ht="18.75" customHeight="1">
      <c r="C391" s="110" t="s">
        <v>3554</v>
      </c>
      <c r="D391" s="111"/>
      <c r="E391" s="116" t="s">
        <v>162</v>
      </c>
      <c r="F391" s="36"/>
      <c r="G391" s="36"/>
      <c r="H391" s="36"/>
      <c r="I391" s="36"/>
      <c r="J391" s="36"/>
      <c r="K391" s="36"/>
      <c r="L391" s="36"/>
      <c r="M391" s="36"/>
      <c r="N391" s="36"/>
      <c r="O391" s="36"/>
      <c r="P391" s="36"/>
      <c r="Q391" s="36"/>
      <c r="R391" s="110" t="str">
        <f>"バックアップ_"&amp;SUBSTITUTE(C391,"_結合","")</f>
        <v>バックアップ_薬効ATC分類2マスタ</v>
      </c>
      <c r="S391" s="111"/>
      <c r="T391" s="114" t="str">
        <f>エンティティ一覧!$O$2</f>
        <v>milscm_2023_009</v>
      </c>
    </row>
    <row r="392" spans="2:23" ht="18.75" customHeight="1">
      <c r="C392" s="112"/>
      <c r="D392" s="113"/>
      <c r="E392" s="117"/>
      <c r="F392" s="37"/>
      <c r="G392" s="37"/>
      <c r="H392" s="37"/>
      <c r="I392" s="37"/>
      <c r="J392" s="37"/>
      <c r="K392" s="37"/>
      <c r="L392" s="37"/>
      <c r="M392" s="37"/>
      <c r="N392" s="37"/>
      <c r="O392" s="37"/>
      <c r="P392" s="37"/>
      <c r="Q392" s="37"/>
      <c r="R392" s="112"/>
      <c r="S392" s="113"/>
      <c r="T392" s="115"/>
    </row>
    <row r="394" spans="2:23" ht="18.75" customHeight="1" thickBot="1">
      <c r="B394" s="42"/>
      <c r="C394" s="42"/>
      <c r="D394" s="42"/>
      <c r="E394" s="42"/>
      <c r="F394" s="42"/>
      <c r="G394" s="42"/>
      <c r="H394" s="42"/>
      <c r="I394" s="42"/>
      <c r="J394" s="42"/>
      <c r="K394" s="42"/>
      <c r="L394" s="42"/>
      <c r="M394" s="42"/>
      <c r="N394" s="42"/>
      <c r="O394" s="42"/>
      <c r="P394" s="42"/>
      <c r="Q394" s="42"/>
      <c r="R394" s="42"/>
      <c r="S394" s="42"/>
      <c r="T394" s="42"/>
      <c r="U394" s="42"/>
    </row>
    <row r="396" spans="2:23" ht="18.75" customHeight="1">
      <c r="B396" s="43" t="s">
        <v>163</v>
      </c>
      <c r="C396" s="51" t="s">
        <v>3555</v>
      </c>
      <c r="D396" s="88"/>
      <c r="W396" s="35" t="str">
        <f>"-- "&amp;B396&amp;" : "&amp;C396</f>
        <v>-- SQL_ID : 01_A3-26</v>
      </c>
    </row>
    <row r="397" spans="2:23" ht="18.75" customHeight="1">
      <c r="B397" s="43" t="s">
        <v>158</v>
      </c>
      <c r="C397" s="118" t="str">
        <f>R400&amp;"登録"</f>
        <v>バックアップ_薬効ATC分類3マスタ登録</v>
      </c>
      <c r="D397" s="119"/>
      <c r="E397" s="119"/>
      <c r="F397" s="119"/>
      <c r="G397" s="119"/>
      <c r="H397" s="119"/>
      <c r="I397" s="119"/>
      <c r="J397" s="119"/>
      <c r="K397" s="119"/>
      <c r="L397" s="119"/>
      <c r="M397" s="119"/>
      <c r="N397" s="119"/>
      <c r="O397" s="119"/>
      <c r="P397" s="119"/>
      <c r="Q397" s="119"/>
      <c r="R397" s="119"/>
      <c r="S397" s="119"/>
      <c r="T397" s="119"/>
      <c r="U397" s="120"/>
      <c r="W397" s="35" t="str">
        <f>"-- "&amp;C397</f>
        <v>-- バックアップ_薬効ATC分類3マスタ登録</v>
      </c>
    </row>
    <row r="398" spans="2:23" ht="18.75" customHeight="1">
      <c r="B398" s="43" t="s">
        <v>159</v>
      </c>
      <c r="C398" s="121" t="str">
        <f>C400&amp;"テーブルのレコードを"&amp;R400&amp;"テーブルに格納する。"</f>
        <v>薬効ATC分類3マスタテーブルのレコードをバックアップ_薬効ATC分類3マスタテーブルに格納する。</v>
      </c>
      <c r="D398" s="122"/>
      <c r="E398" s="122"/>
      <c r="F398" s="122"/>
      <c r="G398" s="122"/>
      <c r="H398" s="122"/>
      <c r="I398" s="122"/>
      <c r="J398" s="122"/>
      <c r="K398" s="122"/>
      <c r="L398" s="122"/>
      <c r="M398" s="122"/>
      <c r="N398" s="122"/>
      <c r="O398" s="122"/>
      <c r="P398" s="122"/>
      <c r="Q398" s="122"/>
      <c r="R398" s="122"/>
      <c r="S398" s="122"/>
      <c r="T398" s="122"/>
      <c r="U398" s="123"/>
      <c r="W398" s="35" t="str">
        <f>"-- "&amp;C398</f>
        <v>-- 薬効ATC分類3マスタテーブルのレコードをバックアップ_薬効ATC分類3マスタテーブルに格納する。</v>
      </c>
    </row>
    <row r="400" spans="2:23" ht="18.75" customHeight="1">
      <c r="C400" s="110" t="s">
        <v>3556</v>
      </c>
      <c r="D400" s="111"/>
      <c r="E400" s="116" t="s">
        <v>162</v>
      </c>
      <c r="F400" s="36"/>
      <c r="G400" s="36"/>
      <c r="H400" s="36"/>
      <c r="I400" s="36"/>
      <c r="J400" s="36"/>
      <c r="K400" s="36"/>
      <c r="L400" s="36"/>
      <c r="M400" s="36"/>
      <c r="N400" s="36"/>
      <c r="O400" s="36"/>
      <c r="P400" s="36"/>
      <c r="Q400" s="36"/>
      <c r="R400" s="110" t="str">
        <f>"バックアップ_"&amp;SUBSTITUTE(C400,"_結合","")</f>
        <v>バックアップ_薬効ATC分類3マスタ</v>
      </c>
      <c r="S400" s="111"/>
      <c r="T400" s="114" t="str">
        <f>エンティティ一覧!$O$2</f>
        <v>milscm_2023_009</v>
      </c>
    </row>
    <row r="401" spans="2:23" ht="18.75" customHeight="1">
      <c r="C401" s="112"/>
      <c r="D401" s="113"/>
      <c r="E401" s="117"/>
      <c r="F401" s="37"/>
      <c r="G401" s="37"/>
      <c r="H401" s="37"/>
      <c r="I401" s="37"/>
      <c r="J401" s="37"/>
      <c r="K401" s="37"/>
      <c r="L401" s="37"/>
      <c r="M401" s="37"/>
      <c r="N401" s="37"/>
      <c r="O401" s="37"/>
      <c r="P401" s="37"/>
      <c r="Q401" s="37"/>
      <c r="R401" s="112"/>
      <c r="S401" s="113"/>
      <c r="T401" s="115"/>
    </row>
    <row r="403" spans="2:23" ht="18.75" customHeight="1" thickBot="1">
      <c r="B403" s="42"/>
      <c r="C403" s="42"/>
      <c r="D403" s="42"/>
      <c r="E403" s="42"/>
      <c r="F403" s="42"/>
      <c r="G403" s="42"/>
      <c r="H403" s="42"/>
      <c r="I403" s="42"/>
      <c r="J403" s="42"/>
      <c r="K403" s="42"/>
      <c r="L403" s="42"/>
      <c r="M403" s="42"/>
      <c r="N403" s="42"/>
      <c r="O403" s="42"/>
      <c r="P403" s="42"/>
      <c r="Q403" s="42"/>
      <c r="R403" s="42"/>
      <c r="S403" s="42"/>
      <c r="T403" s="42"/>
      <c r="U403" s="42"/>
    </row>
    <row r="405" spans="2:23" ht="18.75" customHeight="1">
      <c r="B405" s="43" t="s">
        <v>163</v>
      </c>
      <c r="C405" s="51" t="s">
        <v>3557</v>
      </c>
      <c r="D405" s="88"/>
      <c r="W405" s="35" t="str">
        <f>"-- "&amp;B405&amp;" : "&amp;C405</f>
        <v>-- SQL_ID : 01_A3-27</v>
      </c>
    </row>
    <row r="406" spans="2:23" ht="18.75" customHeight="1">
      <c r="B406" s="43" t="s">
        <v>158</v>
      </c>
      <c r="C406" s="118" t="str">
        <f>R409&amp;"登録"</f>
        <v>バックアップ_薬効ATC分類4マスタ登録</v>
      </c>
      <c r="D406" s="119"/>
      <c r="E406" s="119"/>
      <c r="F406" s="119"/>
      <c r="G406" s="119"/>
      <c r="H406" s="119"/>
      <c r="I406" s="119"/>
      <c r="J406" s="119"/>
      <c r="K406" s="119"/>
      <c r="L406" s="119"/>
      <c r="M406" s="119"/>
      <c r="N406" s="119"/>
      <c r="O406" s="119"/>
      <c r="P406" s="119"/>
      <c r="Q406" s="119"/>
      <c r="R406" s="119"/>
      <c r="S406" s="119"/>
      <c r="T406" s="119"/>
      <c r="U406" s="120"/>
      <c r="W406" s="35" t="str">
        <f>"-- "&amp;C406</f>
        <v>-- バックアップ_薬効ATC分類4マスタ登録</v>
      </c>
    </row>
    <row r="407" spans="2:23" ht="18.75" customHeight="1">
      <c r="B407" s="43" t="s">
        <v>159</v>
      </c>
      <c r="C407" s="121" t="str">
        <f>C409&amp;"テーブルのレコードを"&amp;R409&amp;"テーブルに格納する。"</f>
        <v>薬効ATC分類4マスタテーブルのレコードをバックアップ_薬効ATC分類4マスタテーブルに格納する。</v>
      </c>
      <c r="D407" s="122"/>
      <c r="E407" s="122"/>
      <c r="F407" s="122"/>
      <c r="G407" s="122"/>
      <c r="H407" s="122"/>
      <c r="I407" s="122"/>
      <c r="J407" s="122"/>
      <c r="K407" s="122"/>
      <c r="L407" s="122"/>
      <c r="M407" s="122"/>
      <c r="N407" s="122"/>
      <c r="O407" s="122"/>
      <c r="P407" s="122"/>
      <c r="Q407" s="122"/>
      <c r="R407" s="122"/>
      <c r="S407" s="122"/>
      <c r="T407" s="122"/>
      <c r="U407" s="123"/>
      <c r="W407" s="35" t="str">
        <f>"-- "&amp;C407</f>
        <v>-- 薬効ATC分類4マスタテーブルのレコードをバックアップ_薬効ATC分類4マスタテーブルに格納する。</v>
      </c>
    </row>
    <row r="409" spans="2:23" ht="18.75" customHeight="1">
      <c r="C409" s="110" t="s">
        <v>3558</v>
      </c>
      <c r="D409" s="111"/>
      <c r="E409" s="116" t="s">
        <v>162</v>
      </c>
      <c r="F409" s="36"/>
      <c r="G409" s="36"/>
      <c r="H409" s="36"/>
      <c r="I409" s="36"/>
      <c r="J409" s="36"/>
      <c r="K409" s="36"/>
      <c r="L409" s="36"/>
      <c r="M409" s="36"/>
      <c r="N409" s="36"/>
      <c r="O409" s="36"/>
      <c r="P409" s="36"/>
      <c r="Q409" s="36"/>
      <c r="R409" s="110" t="str">
        <f>"バックアップ_"&amp;SUBSTITUTE(C409,"_結合","")</f>
        <v>バックアップ_薬効ATC分類4マスタ</v>
      </c>
      <c r="S409" s="111"/>
      <c r="T409" s="114" t="str">
        <f>エンティティ一覧!$O$2</f>
        <v>milscm_2023_009</v>
      </c>
    </row>
    <row r="410" spans="2:23" ht="18.75" customHeight="1">
      <c r="C410" s="112"/>
      <c r="D410" s="113"/>
      <c r="E410" s="117"/>
      <c r="F410" s="37"/>
      <c r="G410" s="37"/>
      <c r="H410" s="37"/>
      <c r="I410" s="37"/>
      <c r="J410" s="37"/>
      <c r="K410" s="37"/>
      <c r="L410" s="37"/>
      <c r="M410" s="37"/>
      <c r="N410" s="37"/>
      <c r="O410" s="37"/>
      <c r="P410" s="37"/>
      <c r="Q410" s="37"/>
      <c r="R410" s="112"/>
      <c r="S410" s="113"/>
      <c r="T410" s="115"/>
    </row>
    <row r="412" spans="2:23" ht="18.75" customHeight="1" thickBot="1">
      <c r="B412" s="42"/>
      <c r="C412" s="42"/>
      <c r="D412" s="42"/>
      <c r="E412" s="42"/>
      <c r="F412" s="42"/>
      <c r="G412" s="42"/>
      <c r="H412" s="42"/>
      <c r="I412" s="42"/>
      <c r="J412" s="42"/>
      <c r="K412" s="42"/>
      <c r="L412" s="42"/>
      <c r="M412" s="42"/>
      <c r="N412" s="42"/>
      <c r="O412" s="42"/>
      <c r="P412" s="42"/>
      <c r="Q412" s="42"/>
      <c r="R412" s="42"/>
      <c r="S412" s="42"/>
      <c r="T412" s="42"/>
      <c r="U412" s="42"/>
    </row>
    <row r="414" spans="2:23" ht="18.75" customHeight="1">
      <c r="B414" s="43" t="s">
        <v>163</v>
      </c>
      <c r="C414" s="51" t="s">
        <v>3559</v>
      </c>
      <c r="D414" s="88"/>
      <c r="W414" s="35" t="str">
        <f>"-- "&amp;B414&amp;" : "&amp;C414</f>
        <v>-- SQL_ID : 01_A3-28</v>
      </c>
    </row>
    <row r="415" spans="2:23" ht="18.75" customHeight="1">
      <c r="B415" s="43" t="s">
        <v>158</v>
      </c>
      <c r="C415" s="118" t="str">
        <f>R418&amp;"登録"</f>
        <v>バックアップ_薬効ATC分類5マスタ登録</v>
      </c>
      <c r="D415" s="119"/>
      <c r="E415" s="119"/>
      <c r="F415" s="119"/>
      <c r="G415" s="119"/>
      <c r="H415" s="119"/>
      <c r="I415" s="119"/>
      <c r="J415" s="119"/>
      <c r="K415" s="119"/>
      <c r="L415" s="119"/>
      <c r="M415" s="119"/>
      <c r="N415" s="119"/>
      <c r="O415" s="119"/>
      <c r="P415" s="119"/>
      <c r="Q415" s="119"/>
      <c r="R415" s="119"/>
      <c r="S415" s="119"/>
      <c r="T415" s="119"/>
      <c r="U415" s="120"/>
      <c r="W415" s="35" t="str">
        <f>"-- "&amp;C415</f>
        <v>-- バックアップ_薬効ATC分類5マスタ登録</v>
      </c>
    </row>
    <row r="416" spans="2:23" ht="18.75" customHeight="1">
      <c r="B416" s="43" t="s">
        <v>159</v>
      </c>
      <c r="C416" s="121" t="str">
        <f>C418&amp;"テーブルのレコードを"&amp;R418&amp;"テーブルに格納する。"</f>
        <v>薬効ATC分類5マスタテーブルのレコードをバックアップ_薬効ATC分類5マスタテーブルに格納する。</v>
      </c>
      <c r="D416" s="122"/>
      <c r="E416" s="122"/>
      <c r="F416" s="122"/>
      <c r="G416" s="122"/>
      <c r="H416" s="122"/>
      <c r="I416" s="122"/>
      <c r="J416" s="122"/>
      <c r="K416" s="122"/>
      <c r="L416" s="122"/>
      <c r="M416" s="122"/>
      <c r="N416" s="122"/>
      <c r="O416" s="122"/>
      <c r="P416" s="122"/>
      <c r="Q416" s="122"/>
      <c r="R416" s="122"/>
      <c r="S416" s="122"/>
      <c r="T416" s="122"/>
      <c r="U416" s="123"/>
      <c r="W416" s="35" t="str">
        <f>"-- "&amp;C416</f>
        <v>-- 薬効ATC分類5マスタテーブルのレコードをバックアップ_薬効ATC分類5マスタテーブルに格納する。</v>
      </c>
    </row>
    <row r="418" spans="2:23" ht="18.75" customHeight="1">
      <c r="C418" s="110" t="s">
        <v>3560</v>
      </c>
      <c r="D418" s="111"/>
      <c r="E418" s="116" t="s">
        <v>162</v>
      </c>
      <c r="F418" s="36"/>
      <c r="G418" s="36"/>
      <c r="H418" s="36"/>
      <c r="I418" s="36"/>
      <c r="J418" s="36"/>
      <c r="K418" s="36"/>
      <c r="L418" s="36"/>
      <c r="M418" s="36"/>
      <c r="N418" s="36"/>
      <c r="O418" s="36"/>
      <c r="P418" s="36"/>
      <c r="Q418" s="36"/>
      <c r="R418" s="110" t="str">
        <f>"バックアップ_"&amp;SUBSTITUTE(C418,"_結合","")</f>
        <v>バックアップ_薬効ATC分類5マスタ</v>
      </c>
      <c r="S418" s="111"/>
      <c r="T418" s="114" t="str">
        <f>エンティティ一覧!$O$2</f>
        <v>milscm_2023_009</v>
      </c>
    </row>
    <row r="419" spans="2:23" ht="18.75" customHeight="1">
      <c r="C419" s="112"/>
      <c r="D419" s="113"/>
      <c r="E419" s="117"/>
      <c r="F419" s="37"/>
      <c r="G419" s="37"/>
      <c r="H419" s="37"/>
      <c r="I419" s="37"/>
      <c r="J419" s="37"/>
      <c r="K419" s="37"/>
      <c r="L419" s="37"/>
      <c r="M419" s="37"/>
      <c r="N419" s="37"/>
      <c r="O419" s="37"/>
      <c r="P419" s="37"/>
      <c r="Q419" s="37"/>
      <c r="R419" s="112"/>
      <c r="S419" s="113"/>
      <c r="T419" s="115"/>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3561</v>
      </c>
      <c r="D423" s="88"/>
      <c r="W423" s="35" t="str">
        <f>"-- "&amp;B423&amp;" : "&amp;C423</f>
        <v>-- SQL_ID : 01_A3-29</v>
      </c>
    </row>
    <row r="424" spans="2:23" ht="18.75" customHeight="1">
      <c r="B424" s="43" t="s">
        <v>158</v>
      </c>
      <c r="C424" s="118" t="str">
        <f>R427&amp;"登録"</f>
        <v>バックアップ_疾病マスタ登録</v>
      </c>
      <c r="D424" s="119"/>
      <c r="E424" s="119"/>
      <c r="F424" s="119"/>
      <c r="G424" s="119"/>
      <c r="H424" s="119"/>
      <c r="I424" s="119"/>
      <c r="J424" s="119"/>
      <c r="K424" s="119"/>
      <c r="L424" s="119"/>
      <c r="M424" s="119"/>
      <c r="N424" s="119"/>
      <c r="O424" s="119"/>
      <c r="P424" s="119"/>
      <c r="Q424" s="119"/>
      <c r="R424" s="119"/>
      <c r="S424" s="119"/>
      <c r="T424" s="119"/>
      <c r="U424" s="120"/>
      <c r="W424" s="35" t="str">
        <f>"-- "&amp;C424</f>
        <v>-- バックアップ_疾病マスタ登録</v>
      </c>
    </row>
    <row r="425" spans="2:23" ht="18.75" customHeight="1">
      <c r="B425" s="43" t="s">
        <v>159</v>
      </c>
      <c r="C425" s="121" t="str">
        <f>C427&amp;"テーブルのレコードを"&amp;R427&amp;"テーブルに格納する。"</f>
        <v>疾病マスタテーブルのレコードをバックアップ_疾病マスタテーブルに格納する。</v>
      </c>
      <c r="D425" s="122"/>
      <c r="E425" s="122"/>
      <c r="F425" s="122"/>
      <c r="G425" s="122"/>
      <c r="H425" s="122"/>
      <c r="I425" s="122"/>
      <c r="J425" s="122"/>
      <c r="K425" s="122"/>
      <c r="L425" s="122"/>
      <c r="M425" s="122"/>
      <c r="N425" s="122"/>
      <c r="O425" s="122"/>
      <c r="P425" s="122"/>
      <c r="Q425" s="122"/>
      <c r="R425" s="122"/>
      <c r="S425" s="122"/>
      <c r="T425" s="122"/>
      <c r="U425" s="123"/>
      <c r="W425" s="35" t="str">
        <f>"-- "&amp;C425</f>
        <v>-- 疾病マスタテーブルのレコードをバックアップ_疾病マスタテーブルに格納する。</v>
      </c>
    </row>
    <row r="427" spans="2:23" ht="18.75" customHeight="1">
      <c r="C427" s="110" t="s">
        <v>3562</v>
      </c>
      <c r="D427" s="111"/>
      <c r="E427" s="116" t="s">
        <v>162</v>
      </c>
      <c r="F427" s="36"/>
      <c r="G427" s="36"/>
      <c r="H427" s="36"/>
      <c r="I427" s="36"/>
      <c r="J427" s="36"/>
      <c r="K427" s="36"/>
      <c r="L427" s="36"/>
      <c r="M427" s="36"/>
      <c r="N427" s="36"/>
      <c r="O427" s="36"/>
      <c r="P427" s="36"/>
      <c r="Q427" s="36"/>
      <c r="R427" s="110" t="str">
        <f>"バックアップ_"&amp;SUBSTITUTE(C427,"_結合","")</f>
        <v>バックアップ_疾病マスタ</v>
      </c>
      <c r="S427" s="111"/>
      <c r="T427" s="114" t="str">
        <f>エンティティ一覧!$O$2</f>
        <v>milscm_2023_009</v>
      </c>
    </row>
    <row r="428" spans="2:23" ht="18.75" customHeight="1">
      <c r="C428" s="112"/>
      <c r="D428" s="113"/>
      <c r="E428" s="117"/>
      <c r="F428" s="37"/>
      <c r="G428" s="37"/>
      <c r="H428" s="37"/>
      <c r="I428" s="37"/>
      <c r="J428" s="37"/>
      <c r="K428" s="37"/>
      <c r="L428" s="37"/>
      <c r="M428" s="37"/>
      <c r="N428" s="37"/>
      <c r="O428" s="37"/>
      <c r="P428" s="37"/>
      <c r="Q428" s="37"/>
      <c r="R428" s="112"/>
      <c r="S428" s="113"/>
      <c r="T428" s="115"/>
    </row>
    <row r="430" spans="2:23" ht="18.75" customHeight="1" thickBot="1">
      <c r="B430" s="42"/>
      <c r="C430" s="42"/>
      <c r="D430" s="42"/>
      <c r="E430" s="42"/>
      <c r="F430" s="42"/>
      <c r="G430" s="42"/>
      <c r="H430" s="42"/>
      <c r="I430" s="42"/>
      <c r="J430" s="42"/>
      <c r="K430" s="42"/>
      <c r="L430" s="42"/>
      <c r="M430" s="42"/>
      <c r="N430" s="42"/>
      <c r="O430" s="42"/>
      <c r="P430" s="42"/>
      <c r="Q430" s="42"/>
      <c r="R430" s="42"/>
      <c r="S430" s="42"/>
      <c r="T430" s="42"/>
      <c r="U430" s="42"/>
    </row>
    <row r="432" spans="2:23" ht="18.75" customHeight="1">
      <c r="B432" s="43" t="s">
        <v>163</v>
      </c>
      <c r="C432" s="51" t="s">
        <v>3563</v>
      </c>
      <c r="D432" s="88"/>
      <c r="W432" s="35" t="str">
        <f>"-- "&amp;B432&amp;" : "&amp;C432</f>
        <v>-- SQL_ID : 01_A3-30</v>
      </c>
    </row>
    <row r="433" spans="2:23" ht="18.75" customHeight="1">
      <c r="B433" s="43" t="s">
        <v>158</v>
      </c>
      <c r="C433" s="118" t="str">
        <f>R436&amp;"登録"</f>
        <v>バックアップ_ICD10大分類マスタ登録</v>
      </c>
      <c r="D433" s="119"/>
      <c r="E433" s="119"/>
      <c r="F433" s="119"/>
      <c r="G433" s="119"/>
      <c r="H433" s="119"/>
      <c r="I433" s="119"/>
      <c r="J433" s="119"/>
      <c r="K433" s="119"/>
      <c r="L433" s="119"/>
      <c r="M433" s="119"/>
      <c r="N433" s="119"/>
      <c r="O433" s="119"/>
      <c r="P433" s="119"/>
      <c r="Q433" s="119"/>
      <c r="R433" s="119"/>
      <c r="S433" s="119"/>
      <c r="T433" s="119"/>
      <c r="U433" s="120"/>
      <c r="W433" s="35" t="str">
        <f>"-- "&amp;C433</f>
        <v>-- バックアップ_ICD10大分類マスタ登録</v>
      </c>
    </row>
    <row r="434" spans="2:23" ht="18.75" customHeight="1">
      <c r="B434" s="43" t="s">
        <v>159</v>
      </c>
      <c r="C434" s="121" t="str">
        <f>C436&amp;"テーブルのレコードを"&amp;R436&amp;"テーブルに格納する。"</f>
        <v>ICD10大分類マスタテーブルのレコードをバックアップ_ICD10大分類マスタテーブルに格納する。</v>
      </c>
      <c r="D434" s="122"/>
      <c r="E434" s="122"/>
      <c r="F434" s="122"/>
      <c r="G434" s="122"/>
      <c r="H434" s="122"/>
      <c r="I434" s="122"/>
      <c r="J434" s="122"/>
      <c r="K434" s="122"/>
      <c r="L434" s="122"/>
      <c r="M434" s="122"/>
      <c r="N434" s="122"/>
      <c r="O434" s="122"/>
      <c r="P434" s="122"/>
      <c r="Q434" s="122"/>
      <c r="R434" s="122"/>
      <c r="S434" s="122"/>
      <c r="T434" s="122"/>
      <c r="U434" s="123"/>
      <c r="W434" s="35" t="str">
        <f>"-- "&amp;C434</f>
        <v>-- ICD10大分類マスタテーブルのレコードをバックアップ_ICD10大分類マスタテーブルに格納する。</v>
      </c>
    </row>
    <row r="436" spans="2:23" ht="18.75" customHeight="1">
      <c r="C436" s="110" t="s">
        <v>3564</v>
      </c>
      <c r="D436" s="111"/>
      <c r="E436" s="116" t="s">
        <v>162</v>
      </c>
      <c r="F436" s="36"/>
      <c r="G436" s="36"/>
      <c r="H436" s="36"/>
      <c r="I436" s="36"/>
      <c r="J436" s="36"/>
      <c r="K436" s="36"/>
      <c r="L436" s="36"/>
      <c r="M436" s="36"/>
      <c r="N436" s="36"/>
      <c r="O436" s="36"/>
      <c r="P436" s="36"/>
      <c r="Q436" s="36"/>
      <c r="R436" s="110" t="str">
        <f>"バックアップ_"&amp;SUBSTITUTE(C436,"_結合","")</f>
        <v>バックアップ_ICD10大分類マスタ</v>
      </c>
      <c r="S436" s="111"/>
      <c r="T436" s="114" t="str">
        <f>エンティティ一覧!$O$2</f>
        <v>milscm_2023_009</v>
      </c>
    </row>
    <row r="437" spans="2:23" ht="18.75" customHeight="1">
      <c r="C437" s="112"/>
      <c r="D437" s="113"/>
      <c r="E437" s="117"/>
      <c r="F437" s="37"/>
      <c r="G437" s="37"/>
      <c r="H437" s="37"/>
      <c r="I437" s="37"/>
      <c r="J437" s="37"/>
      <c r="K437" s="37"/>
      <c r="L437" s="37"/>
      <c r="M437" s="37"/>
      <c r="N437" s="37"/>
      <c r="O437" s="37"/>
      <c r="P437" s="37"/>
      <c r="Q437" s="37"/>
      <c r="R437" s="112"/>
      <c r="S437" s="113"/>
      <c r="T437" s="115"/>
    </row>
    <row r="439" spans="2:23" ht="18.75" customHeight="1" thickBot="1">
      <c r="B439" s="42"/>
      <c r="C439" s="42"/>
      <c r="D439" s="42"/>
      <c r="E439" s="42"/>
      <c r="F439" s="42"/>
      <c r="G439" s="42"/>
      <c r="H439" s="42"/>
      <c r="I439" s="42"/>
      <c r="J439" s="42"/>
      <c r="K439" s="42"/>
      <c r="L439" s="42"/>
      <c r="M439" s="42"/>
      <c r="N439" s="42"/>
      <c r="O439" s="42"/>
      <c r="P439" s="42"/>
      <c r="Q439" s="42"/>
      <c r="R439" s="42"/>
      <c r="S439" s="42"/>
      <c r="T439" s="42"/>
      <c r="U439" s="42"/>
    </row>
    <row r="441" spans="2:23" ht="18.75" customHeight="1">
      <c r="B441" s="43" t="s">
        <v>163</v>
      </c>
      <c r="C441" s="51" t="s">
        <v>3565</v>
      </c>
      <c r="D441" s="88"/>
      <c r="W441" s="35" t="str">
        <f>"-- "&amp;B441&amp;" : "&amp;C441</f>
        <v>-- SQL_ID : 01_A3-31</v>
      </c>
    </row>
    <row r="442" spans="2:23" ht="18.75" customHeight="1">
      <c r="B442" s="43" t="s">
        <v>158</v>
      </c>
      <c r="C442" s="118" t="str">
        <f>R445&amp;"登録"</f>
        <v>バックアップ_ICD10中分類マスタ登録</v>
      </c>
      <c r="D442" s="119"/>
      <c r="E442" s="119"/>
      <c r="F442" s="119"/>
      <c r="G442" s="119"/>
      <c r="H442" s="119"/>
      <c r="I442" s="119"/>
      <c r="J442" s="119"/>
      <c r="K442" s="119"/>
      <c r="L442" s="119"/>
      <c r="M442" s="119"/>
      <c r="N442" s="119"/>
      <c r="O442" s="119"/>
      <c r="P442" s="119"/>
      <c r="Q442" s="119"/>
      <c r="R442" s="119"/>
      <c r="S442" s="119"/>
      <c r="T442" s="119"/>
      <c r="U442" s="120"/>
      <c r="W442" s="35" t="str">
        <f>"-- "&amp;C442</f>
        <v>-- バックアップ_ICD10中分類マスタ登録</v>
      </c>
    </row>
    <row r="443" spans="2:23" ht="18.75" customHeight="1">
      <c r="B443" s="43" t="s">
        <v>159</v>
      </c>
      <c r="C443" s="121" t="str">
        <f>C445&amp;"テーブルのレコードを"&amp;R445&amp;"テーブルに格納する。"</f>
        <v>ICD10中分類マスタテーブルのレコードをバックアップ_ICD10中分類マスタテーブルに格納する。</v>
      </c>
      <c r="D443" s="122"/>
      <c r="E443" s="122"/>
      <c r="F443" s="122"/>
      <c r="G443" s="122"/>
      <c r="H443" s="122"/>
      <c r="I443" s="122"/>
      <c r="J443" s="122"/>
      <c r="K443" s="122"/>
      <c r="L443" s="122"/>
      <c r="M443" s="122"/>
      <c r="N443" s="122"/>
      <c r="O443" s="122"/>
      <c r="P443" s="122"/>
      <c r="Q443" s="122"/>
      <c r="R443" s="122"/>
      <c r="S443" s="122"/>
      <c r="T443" s="122"/>
      <c r="U443" s="123"/>
      <c r="W443" s="35" t="str">
        <f>"-- "&amp;C443</f>
        <v>-- ICD10中分類マスタテーブルのレコードをバックアップ_ICD10中分類マスタテーブルに格納する。</v>
      </c>
    </row>
    <row r="445" spans="2:23" ht="18.75" customHeight="1">
      <c r="C445" s="110" t="s">
        <v>3566</v>
      </c>
      <c r="D445" s="111"/>
      <c r="E445" s="116" t="s">
        <v>162</v>
      </c>
      <c r="F445" s="36"/>
      <c r="G445" s="36"/>
      <c r="H445" s="36"/>
      <c r="I445" s="36"/>
      <c r="J445" s="36"/>
      <c r="K445" s="36"/>
      <c r="L445" s="36"/>
      <c r="M445" s="36"/>
      <c r="N445" s="36"/>
      <c r="O445" s="36"/>
      <c r="P445" s="36"/>
      <c r="Q445" s="36"/>
      <c r="R445" s="110" t="str">
        <f>"バックアップ_"&amp;SUBSTITUTE(C445,"_結合","")</f>
        <v>バックアップ_ICD10中分類マスタ</v>
      </c>
      <c r="S445" s="111"/>
      <c r="T445" s="114" t="str">
        <f>エンティティ一覧!$O$2</f>
        <v>milscm_2023_009</v>
      </c>
    </row>
    <row r="446" spans="2:23" ht="18.75" customHeight="1">
      <c r="C446" s="112"/>
      <c r="D446" s="113"/>
      <c r="E446" s="117"/>
      <c r="F446" s="37"/>
      <c r="G446" s="37"/>
      <c r="H446" s="37"/>
      <c r="I446" s="37"/>
      <c r="J446" s="37"/>
      <c r="K446" s="37"/>
      <c r="L446" s="37"/>
      <c r="M446" s="37"/>
      <c r="N446" s="37"/>
      <c r="O446" s="37"/>
      <c r="P446" s="37"/>
      <c r="Q446" s="37"/>
      <c r="R446" s="112"/>
      <c r="S446" s="113"/>
      <c r="T446" s="115"/>
    </row>
    <row r="448" spans="2:23" ht="18.75" customHeight="1" thickBot="1">
      <c r="B448" s="42"/>
      <c r="C448" s="42"/>
      <c r="D448" s="42"/>
      <c r="E448" s="42"/>
      <c r="F448" s="42"/>
      <c r="G448" s="42"/>
      <c r="H448" s="42"/>
      <c r="I448" s="42"/>
      <c r="J448" s="42"/>
      <c r="K448" s="42"/>
      <c r="L448" s="42"/>
      <c r="M448" s="42"/>
      <c r="N448" s="42"/>
      <c r="O448" s="42"/>
      <c r="P448" s="42"/>
      <c r="Q448" s="42"/>
      <c r="R448" s="42"/>
      <c r="S448" s="42"/>
      <c r="T448" s="42"/>
      <c r="U448" s="42"/>
    </row>
    <row r="450" spans="2:23" ht="18.75" customHeight="1">
      <c r="B450" s="43" t="s">
        <v>163</v>
      </c>
      <c r="C450" s="51" t="s">
        <v>3567</v>
      </c>
      <c r="D450" s="88"/>
      <c r="W450" s="35" t="str">
        <f>"-- "&amp;B450&amp;" : "&amp;C450</f>
        <v>-- SQL_ID : 01_A3-32</v>
      </c>
    </row>
    <row r="451" spans="2:23" ht="18.75" customHeight="1">
      <c r="B451" s="43" t="s">
        <v>158</v>
      </c>
      <c r="C451" s="118" t="str">
        <f>R454&amp;"登録"</f>
        <v>バックアップ_ICD10小分類マスタ登録</v>
      </c>
      <c r="D451" s="119"/>
      <c r="E451" s="119"/>
      <c r="F451" s="119"/>
      <c r="G451" s="119"/>
      <c r="H451" s="119"/>
      <c r="I451" s="119"/>
      <c r="J451" s="119"/>
      <c r="K451" s="119"/>
      <c r="L451" s="119"/>
      <c r="M451" s="119"/>
      <c r="N451" s="119"/>
      <c r="O451" s="119"/>
      <c r="P451" s="119"/>
      <c r="Q451" s="119"/>
      <c r="R451" s="119"/>
      <c r="S451" s="119"/>
      <c r="T451" s="119"/>
      <c r="U451" s="120"/>
      <c r="W451" s="35" t="str">
        <f>"-- "&amp;C451</f>
        <v>-- バックアップ_ICD10小分類マスタ登録</v>
      </c>
    </row>
    <row r="452" spans="2:23" ht="18.75" customHeight="1">
      <c r="B452" s="43" t="s">
        <v>159</v>
      </c>
      <c r="C452" s="121" t="str">
        <f>C454&amp;"テーブルのレコードを"&amp;R454&amp;"テーブルに格納する。"</f>
        <v>ICD10小分類マスタテーブルのレコードをバックアップ_ICD10小分類マスタテーブルに格納する。</v>
      </c>
      <c r="D452" s="122"/>
      <c r="E452" s="122"/>
      <c r="F452" s="122"/>
      <c r="G452" s="122"/>
      <c r="H452" s="122"/>
      <c r="I452" s="122"/>
      <c r="J452" s="122"/>
      <c r="K452" s="122"/>
      <c r="L452" s="122"/>
      <c r="M452" s="122"/>
      <c r="N452" s="122"/>
      <c r="O452" s="122"/>
      <c r="P452" s="122"/>
      <c r="Q452" s="122"/>
      <c r="R452" s="122"/>
      <c r="S452" s="122"/>
      <c r="T452" s="122"/>
      <c r="U452" s="123"/>
      <c r="W452" s="35" t="str">
        <f>"-- "&amp;C452</f>
        <v>-- ICD10小分類マスタテーブルのレコードをバックアップ_ICD10小分類マスタテーブルに格納する。</v>
      </c>
    </row>
    <row r="454" spans="2:23" ht="18.75" customHeight="1">
      <c r="C454" s="110" t="s">
        <v>3568</v>
      </c>
      <c r="D454" s="111"/>
      <c r="E454" s="116" t="s">
        <v>162</v>
      </c>
      <c r="F454" s="36"/>
      <c r="G454" s="36"/>
      <c r="H454" s="36"/>
      <c r="I454" s="36"/>
      <c r="J454" s="36"/>
      <c r="K454" s="36"/>
      <c r="L454" s="36"/>
      <c r="M454" s="36"/>
      <c r="N454" s="36"/>
      <c r="O454" s="36"/>
      <c r="P454" s="36"/>
      <c r="Q454" s="36"/>
      <c r="R454" s="110" t="str">
        <f>"バックアップ_"&amp;SUBSTITUTE(C454,"_結合","")</f>
        <v>バックアップ_ICD10小分類マスタ</v>
      </c>
      <c r="S454" s="111"/>
      <c r="T454" s="114" t="str">
        <f>エンティティ一覧!$O$2</f>
        <v>milscm_2023_009</v>
      </c>
    </row>
    <row r="455" spans="2:23" ht="18.75" customHeight="1">
      <c r="C455" s="112"/>
      <c r="D455" s="113"/>
      <c r="E455" s="117"/>
      <c r="F455" s="37"/>
      <c r="G455" s="37"/>
      <c r="H455" s="37"/>
      <c r="I455" s="37"/>
      <c r="J455" s="37"/>
      <c r="K455" s="37"/>
      <c r="L455" s="37"/>
      <c r="M455" s="37"/>
      <c r="N455" s="37"/>
      <c r="O455" s="37"/>
      <c r="P455" s="37"/>
      <c r="Q455" s="37"/>
      <c r="R455" s="112"/>
      <c r="S455" s="113"/>
      <c r="T455" s="115"/>
    </row>
    <row r="457" spans="2:23" ht="18.75" customHeight="1" thickBot="1">
      <c r="B457" s="42"/>
      <c r="C457" s="42"/>
      <c r="D457" s="42"/>
      <c r="E457" s="42"/>
      <c r="F457" s="42"/>
      <c r="G457" s="42"/>
      <c r="H457" s="42"/>
      <c r="I457" s="42"/>
      <c r="J457" s="42"/>
      <c r="K457" s="42"/>
      <c r="L457" s="42"/>
      <c r="M457" s="42"/>
      <c r="N457" s="42"/>
      <c r="O457" s="42"/>
      <c r="P457" s="42"/>
      <c r="Q457" s="42"/>
      <c r="R457" s="42"/>
      <c r="S457" s="42"/>
      <c r="T457" s="42"/>
      <c r="U457" s="42"/>
    </row>
    <row r="459" spans="2:23" ht="18.75" customHeight="1">
      <c r="B459" s="43" t="s">
        <v>163</v>
      </c>
      <c r="C459" s="51" t="s">
        <v>3569</v>
      </c>
      <c r="D459" s="88"/>
      <c r="W459" s="35" t="str">
        <f>"-- "&amp;B459&amp;" : "&amp;C459</f>
        <v>-- SQL_ID : 01_A3-33</v>
      </c>
    </row>
    <row r="460" spans="2:23" ht="18.75" customHeight="1">
      <c r="B460" s="43" t="s">
        <v>158</v>
      </c>
      <c r="C460" s="118" t="str">
        <f>R463&amp;"登録"</f>
        <v>バックアップ_ICD10細分類マスタ登録</v>
      </c>
      <c r="D460" s="119"/>
      <c r="E460" s="119"/>
      <c r="F460" s="119"/>
      <c r="G460" s="119"/>
      <c r="H460" s="119"/>
      <c r="I460" s="119"/>
      <c r="J460" s="119"/>
      <c r="K460" s="119"/>
      <c r="L460" s="119"/>
      <c r="M460" s="119"/>
      <c r="N460" s="119"/>
      <c r="O460" s="119"/>
      <c r="P460" s="119"/>
      <c r="Q460" s="119"/>
      <c r="R460" s="119"/>
      <c r="S460" s="119"/>
      <c r="T460" s="119"/>
      <c r="U460" s="120"/>
      <c r="W460" s="35" t="str">
        <f>"-- "&amp;C460</f>
        <v>-- バックアップ_ICD10細分類マスタ登録</v>
      </c>
    </row>
    <row r="461" spans="2:23" ht="18.75" customHeight="1">
      <c r="B461" s="43" t="s">
        <v>159</v>
      </c>
      <c r="C461" s="121" t="str">
        <f>C463&amp;"テーブルのレコードを"&amp;R463&amp;"テーブルに格納する。"</f>
        <v>ICD10細分類マスタテーブルのレコードをバックアップ_ICD10細分類マスタテーブルに格納する。</v>
      </c>
      <c r="D461" s="122"/>
      <c r="E461" s="122"/>
      <c r="F461" s="122"/>
      <c r="G461" s="122"/>
      <c r="H461" s="122"/>
      <c r="I461" s="122"/>
      <c r="J461" s="122"/>
      <c r="K461" s="122"/>
      <c r="L461" s="122"/>
      <c r="M461" s="122"/>
      <c r="N461" s="122"/>
      <c r="O461" s="122"/>
      <c r="P461" s="122"/>
      <c r="Q461" s="122"/>
      <c r="R461" s="122"/>
      <c r="S461" s="122"/>
      <c r="T461" s="122"/>
      <c r="U461" s="123"/>
      <c r="W461" s="35" t="str">
        <f>"-- "&amp;C461</f>
        <v>-- ICD10細分類マスタテーブルのレコードをバックアップ_ICD10細分類マスタテーブルに格納する。</v>
      </c>
    </row>
    <row r="463" spans="2:23" ht="18.75" customHeight="1">
      <c r="C463" s="110" t="s">
        <v>3570</v>
      </c>
      <c r="D463" s="111"/>
      <c r="E463" s="116" t="s">
        <v>162</v>
      </c>
      <c r="F463" s="36"/>
      <c r="G463" s="36"/>
      <c r="H463" s="36"/>
      <c r="I463" s="36"/>
      <c r="J463" s="36"/>
      <c r="K463" s="36"/>
      <c r="L463" s="36"/>
      <c r="M463" s="36"/>
      <c r="N463" s="36"/>
      <c r="O463" s="36"/>
      <c r="P463" s="36"/>
      <c r="Q463" s="36"/>
      <c r="R463" s="110" t="str">
        <f>"バックアップ_"&amp;SUBSTITUTE(C463,"_結合","")</f>
        <v>バックアップ_ICD10細分類マスタ</v>
      </c>
      <c r="S463" s="111"/>
      <c r="T463" s="114" t="str">
        <f>エンティティ一覧!$O$2</f>
        <v>milscm_2023_009</v>
      </c>
    </row>
    <row r="464" spans="2:23" ht="18.75" customHeight="1">
      <c r="C464" s="112"/>
      <c r="D464" s="113"/>
      <c r="E464" s="117"/>
      <c r="F464" s="37"/>
      <c r="G464" s="37"/>
      <c r="H464" s="37"/>
      <c r="I464" s="37"/>
      <c r="J464" s="37"/>
      <c r="K464" s="37"/>
      <c r="L464" s="37"/>
      <c r="M464" s="37"/>
      <c r="N464" s="37"/>
      <c r="O464" s="37"/>
      <c r="P464" s="37"/>
      <c r="Q464" s="37"/>
      <c r="R464" s="112"/>
      <c r="S464" s="113"/>
      <c r="T464" s="115"/>
    </row>
    <row r="466" spans="2:23" ht="18.75" customHeight="1" thickBot="1">
      <c r="B466" s="42"/>
      <c r="C466" s="42"/>
      <c r="D466" s="42"/>
      <c r="E466" s="42"/>
      <c r="F466" s="42"/>
      <c r="G466" s="42"/>
      <c r="H466" s="42"/>
      <c r="I466" s="42"/>
      <c r="J466" s="42"/>
      <c r="K466" s="42"/>
      <c r="L466" s="42"/>
      <c r="M466" s="42"/>
      <c r="N466" s="42"/>
      <c r="O466" s="42"/>
      <c r="P466" s="42"/>
      <c r="Q466" s="42"/>
      <c r="R466" s="42"/>
      <c r="S466" s="42"/>
      <c r="T466" s="42"/>
      <c r="U466" s="42"/>
    </row>
    <row r="468" spans="2:23" ht="18.75" customHeight="1">
      <c r="B468" s="43" t="s">
        <v>163</v>
      </c>
      <c r="C468" s="51" t="s">
        <v>3571</v>
      </c>
      <c r="D468" s="88"/>
      <c r="W468" s="35" t="str">
        <f>"-- "&amp;B468&amp;" : "&amp;C468</f>
        <v>-- SQL_ID : 01_A3-34</v>
      </c>
    </row>
    <row r="469" spans="2:23" ht="18.75" customHeight="1">
      <c r="B469" s="43" t="s">
        <v>158</v>
      </c>
      <c r="C469" s="118" t="str">
        <f>R472&amp;"登録"</f>
        <v>バックアップ_DPC2桁マスタ登録</v>
      </c>
      <c r="D469" s="119"/>
      <c r="E469" s="119"/>
      <c r="F469" s="119"/>
      <c r="G469" s="119"/>
      <c r="H469" s="119"/>
      <c r="I469" s="119"/>
      <c r="J469" s="119"/>
      <c r="K469" s="119"/>
      <c r="L469" s="119"/>
      <c r="M469" s="119"/>
      <c r="N469" s="119"/>
      <c r="O469" s="119"/>
      <c r="P469" s="119"/>
      <c r="Q469" s="119"/>
      <c r="R469" s="119"/>
      <c r="S469" s="119"/>
      <c r="T469" s="119"/>
      <c r="U469" s="120"/>
      <c r="W469" s="35" t="str">
        <f>"-- "&amp;C469</f>
        <v>-- バックアップ_DPC2桁マスタ登録</v>
      </c>
    </row>
    <row r="470" spans="2:23" ht="18.75" customHeight="1">
      <c r="B470" s="43" t="s">
        <v>159</v>
      </c>
      <c r="C470" s="121" t="str">
        <f>C472&amp;"テーブルのレコードを"&amp;R472&amp;"テーブルに格納する。"</f>
        <v>DPC2桁マスタテーブルのレコードをバックアップ_DPC2桁マスタテーブルに格納する。</v>
      </c>
      <c r="D470" s="122"/>
      <c r="E470" s="122"/>
      <c r="F470" s="122"/>
      <c r="G470" s="122"/>
      <c r="H470" s="122"/>
      <c r="I470" s="122"/>
      <c r="J470" s="122"/>
      <c r="K470" s="122"/>
      <c r="L470" s="122"/>
      <c r="M470" s="122"/>
      <c r="N470" s="122"/>
      <c r="O470" s="122"/>
      <c r="P470" s="122"/>
      <c r="Q470" s="122"/>
      <c r="R470" s="122"/>
      <c r="S470" s="122"/>
      <c r="T470" s="122"/>
      <c r="U470" s="123"/>
      <c r="W470" s="35" t="str">
        <f>"-- "&amp;C470</f>
        <v>-- DPC2桁マスタテーブルのレコードをバックアップ_DPC2桁マスタテーブルに格納する。</v>
      </c>
    </row>
    <row r="472" spans="2:23" ht="18.75" customHeight="1">
      <c r="C472" s="110" t="s">
        <v>3572</v>
      </c>
      <c r="D472" s="111"/>
      <c r="E472" s="116" t="s">
        <v>162</v>
      </c>
      <c r="F472" s="36"/>
      <c r="G472" s="36"/>
      <c r="H472" s="36"/>
      <c r="I472" s="36"/>
      <c r="J472" s="36"/>
      <c r="K472" s="36"/>
      <c r="L472" s="36"/>
      <c r="M472" s="36"/>
      <c r="N472" s="36"/>
      <c r="O472" s="36"/>
      <c r="P472" s="36"/>
      <c r="Q472" s="36"/>
      <c r="R472" s="110" t="str">
        <f>"バックアップ_"&amp;SUBSTITUTE(C472,"_結合","")</f>
        <v>バックアップ_DPC2桁マスタ</v>
      </c>
      <c r="S472" s="111"/>
      <c r="T472" s="114" t="str">
        <f>エンティティ一覧!$O$2</f>
        <v>milscm_2023_009</v>
      </c>
    </row>
    <row r="473" spans="2:23" ht="18.75" customHeight="1">
      <c r="C473" s="112"/>
      <c r="D473" s="113"/>
      <c r="E473" s="117"/>
      <c r="F473" s="37"/>
      <c r="G473" s="37"/>
      <c r="H473" s="37"/>
      <c r="I473" s="37"/>
      <c r="J473" s="37"/>
      <c r="K473" s="37"/>
      <c r="L473" s="37"/>
      <c r="M473" s="37"/>
      <c r="N473" s="37"/>
      <c r="O473" s="37"/>
      <c r="P473" s="37"/>
      <c r="Q473" s="37"/>
      <c r="R473" s="112"/>
      <c r="S473" s="113"/>
      <c r="T473" s="115"/>
    </row>
    <row r="475" spans="2:23" ht="18.75" customHeight="1" thickBot="1">
      <c r="B475" s="42"/>
      <c r="C475" s="42"/>
      <c r="D475" s="42"/>
      <c r="E475" s="42"/>
      <c r="F475" s="42"/>
      <c r="G475" s="42"/>
      <c r="H475" s="42"/>
      <c r="I475" s="42"/>
      <c r="J475" s="42"/>
      <c r="K475" s="42"/>
      <c r="L475" s="42"/>
      <c r="M475" s="42"/>
      <c r="N475" s="42"/>
      <c r="O475" s="42"/>
      <c r="P475" s="42"/>
      <c r="Q475" s="42"/>
      <c r="R475" s="42"/>
      <c r="S475" s="42"/>
      <c r="T475" s="42"/>
      <c r="U475" s="42"/>
    </row>
    <row r="477" spans="2:23" ht="18.75" customHeight="1">
      <c r="B477" s="43" t="s">
        <v>163</v>
      </c>
      <c r="C477" s="51" t="s">
        <v>3573</v>
      </c>
      <c r="D477" s="88"/>
      <c r="W477" s="35" t="str">
        <f>"-- "&amp;B477&amp;" : "&amp;C477</f>
        <v>-- SQL_ID : 01_A3-35</v>
      </c>
    </row>
    <row r="478" spans="2:23" ht="18.75" customHeight="1">
      <c r="B478" s="43" t="s">
        <v>158</v>
      </c>
      <c r="C478" s="118" t="str">
        <f>R481&amp;"登録"</f>
        <v>バックアップ_DPC6桁マスタ登録</v>
      </c>
      <c r="D478" s="119"/>
      <c r="E478" s="119"/>
      <c r="F478" s="119"/>
      <c r="G478" s="119"/>
      <c r="H478" s="119"/>
      <c r="I478" s="119"/>
      <c r="J478" s="119"/>
      <c r="K478" s="119"/>
      <c r="L478" s="119"/>
      <c r="M478" s="119"/>
      <c r="N478" s="119"/>
      <c r="O478" s="119"/>
      <c r="P478" s="119"/>
      <c r="Q478" s="119"/>
      <c r="R478" s="119"/>
      <c r="S478" s="119"/>
      <c r="T478" s="119"/>
      <c r="U478" s="120"/>
      <c r="W478" s="35" t="str">
        <f>"-- "&amp;C478</f>
        <v>-- バックアップ_DPC6桁マスタ登録</v>
      </c>
    </row>
    <row r="479" spans="2:23" ht="18.75" customHeight="1">
      <c r="B479" s="43" t="s">
        <v>159</v>
      </c>
      <c r="C479" s="121" t="str">
        <f>C481&amp;"テーブルのレコードを"&amp;R481&amp;"テーブルに格納する。"</f>
        <v>DPC6桁マスタテーブルのレコードをバックアップ_DPC6桁マスタテーブルに格納する。</v>
      </c>
      <c r="D479" s="122"/>
      <c r="E479" s="122"/>
      <c r="F479" s="122"/>
      <c r="G479" s="122"/>
      <c r="H479" s="122"/>
      <c r="I479" s="122"/>
      <c r="J479" s="122"/>
      <c r="K479" s="122"/>
      <c r="L479" s="122"/>
      <c r="M479" s="122"/>
      <c r="N479" s="122"/>
      <c r="O479" s="122"/>
      <c r="P479" s="122"/>
      <c r="Q479" s="122"/>
      <c r="R479" s="122"/>
      <c r="S479" s="122"/>
      <c r="T479" s="122"/>
      <c r="U479" s="123"/>
      <c r="W479" s="35" t="str">
        <f>"-- "&amp;C479</f>
        <v>-- DPC6桁マスタテーブルのレコードをバックアップ_DPC6桁マスタテーブルに格納する。</v>
      </c>
    </row>
    <row r="481" spans="2:23" ht="18.75" customHeight="1">
      <c r="C481" s="110" t="s">
        <v>3574</v>
      </c>
      <c r="D481" s="111"/>
      <c r="E481" s="116" t="s">
        <v>162</v>
      </c>
      <c r="F481" s="36"/>
      <c r="G481" s="36"/>
      <c r="H481" s="36"/>
      <c r="I481" s="36"/>
      <c r="J481" s="36"/>
      <c r="K481" s="36"/>
      <c r="L481" s="36"/>
      <c r="M481" s="36"/>
      <c r="N481" s="36"/>
      <c r="O481" s="36"/>
      <c r="P481" s="36"/>
      <c r="Q481" s="36"/>
      <c r="R481" s="110" t="str">
        <f>"バックアップ_"&amp;SUBSTITUTE(C481,"_結合","")</f>
        <v>バックアップ_DPC6桁マスタ</v>
      </c>
      <c r="S481" s="111"/>
      <c r="T481" s="114" t="str">
        <f>エンティティ一覧!$O$2</f>
        <v>milscm_2023_009</v>
      </c>
    </row>
    <row r="482" spans="2:23" ht="18.75" customHeight="1">
      <c r="C482" s="112"/>
      <c r="D482" s="113"/>
      <c r="E482" s="117"/>
      <c r="F482" s="37"/>
      <c r="G482" s="37"/>
      <c r="H482" s="37"/>
      <c r="I482" s="37"/>
      <c r="J482" s="37"/>
      <c r="K482" s="37"/>
      <c r="L482" s="37"/>
      <c r="M482" s="37"/>
      <c r="N482" s="37"/>
      <c r="O482" s="37"/>
      <c r="P482" s="37"/>
      <c r="Q482" s="37"/>
      <c r="R482" s="112"/>
      <c r="S482" s="113"/>
      <c r="T482" s="115"/>
    </row>
    <row r="484" spans="2:23" ht="18.75" customHeight="1" thickBot="1">
      <c r="B484" s="42"/>
      <c r="C484" s="42"/>
      <c r="D484" s="42"/>
      <c r="E484" s="42"/>
      <c r="F484" s="42"/>
      <c r="G484" s="42"/>
      <c r="H484" s="42"/>
      <c r="I484" s="42"/>
      <c r="J484" s="42"/>
      <c r="K484" s="42"/>
      <c r="L484" s="42"/>
      <c r="M484" s="42"/>
      <c r="N484" s="42"/>
      <c r="O484" s="42"/>
      <c r="P484" s="42"/>
      <c r="Q484" s="42"/>
      <c r="R484" s="42"/>
      <c r="S484" s="42"/>
      <c r="T484" s="42"/>
      <c r="U484" s="42"/>
    </row>
    <row r="486" spans="2:23" ht="18.75" customHeight="1">
      <c r="B486" s="43" t="s">
        <v>163</v>
      </c>
      <c r="C486" s="51" t="s">
        <v>3575</v>
      </c>
      <c r="D486" s="88"/>
      <c r="W486" s="35" t="str">
        <f>"-- "&amp;B486&amp;" : "&amp;C486</f>
        <v>-- SQL_ID : 01_A3-36</v>
      </c>
    </row>
    <row r="487" spans="2:23" ht="18.75" customHeight="1">
      <c r="B487" s="43" t="s">
        <v>158</v>
      </c>
      <c r="C487" s="118" t="str">
        <f>R490&amp;"登録"</f>
        <v>バックアップ_郵便番号マスタ登録</v>
      </c>
      <c r="D487" s="119"/>
      <c r="E487" s="119"/>
      <c r="F487" s="119"/>
      <c r="G487" s="119"/>
      <c r="H487" s="119"/>
      <c r="I487" s="119"/>
      <c r="J487" s="119"/>
      <c r="K487" s="119"/>
      <c r="L487" s="119"/>
      <c r="M487" s="119"/>
      <c r="N487" s="119"/>
      <c r="O487" s="119"/>
      <c r="P487" s="119"/>
      <c r="Q487" s="119"/>
      <c r="R487" s="119"/>
      <c r="S487" s="119"/>
      <c r="T487" s="119"/>
      <c r="U487" s="120"/>
      <c r="W487" s="35" t="str">
        <f>"-- "&amp;C487</f>
        <v>-- バックアップ_郵便番号マスタ登録</v>
      </c>
    </row>
    <row r="488" spans="2:23" ht="18.75" customHeight="1">
      <c r="B488" s="43" t="s">
        <v>159</v>
      </c>
      <c r="C488" s="121" t="str">
        <f>C490&amp;"テーブルのレコードを"&amp;R490&amp;"テーブルに格納する。"</f>
        <v>郵便番号マスタテーブルのレコードをバックアップ_郵便番号マスタテーブルに格納する。</v>
      </c>
      <c r="D488" s="122"/>
      <c r="E488" s="122"/>
      <c r="F488" s="122"/>
      <c r="G488" s="122"/>
      <c r="H488" s="122"/>
      <c r="I488" s="122"/>
      <c r="J488" s="122"/>
      <c r="K488" s="122"/>
      <c r="L488" s="122"/>
      <c r="M488" s="122"/>
      <c r="N488" s="122"/>
      <c r="O488" s="122"/>
      <c r="P488" s="122"/>
      <c r="Q488" s="122"/>
      <c r="R488" s="122"/>
      <c r="S488" s="122"/>
      <c r="T488" s="122"/>
      <c r="U488" s="123"/>
      <c r="W488" s="35" t="str">
        <f>"-- "&amp;C488</f>
        <v>-- 郵便番号マスタテーブルのレコードをバックアップ_郵便番号マスタテーブルに格納する。</v>
      </c>
    </row>
    <row r="490" spans="2:23" ht="18.75" customHeight="1">
      <c r="C490" s="110" t="s">
        <v>3576</v>
      </c>
      <c r="D490" s="111"/>
      <c r="E490" s="116" t="s">
        <v>162</v>
      </c>
      <c r="F490" s="36"/>
      <c r="G490" s="36"/>
      <c r="H490" s="36"/>
      <c r="I490" s="36"/>
      <c r="J490" s="36"/>
      <c r="K490" s="36"/>
      <c r="L490" s="36"/>
      <c r="M490" s="36"/>
      <c r="N490" s="36"/>
      <c r="O490" s="36"/>
      <c r="P490" s="36"/>
      <c r="Q490" s="36"/>
      <c r="R490" s="110" t="str">
        <f>"バックアップ_"&amp;SUBSTITUTE(C490,"_結合","")</f>
        <v>バックアップ_郵便番号マスタ</v>
      </c>
      <c r="S490" s="111"/>
      <c r="T490" s="114" t="str">
        <f>エンティティ一覧!$O$2</f>
        <v>milscm_2023_009</v>
      </c>
    </row>
    <row r="491" spans="2:23" ht="18.75" customHeight="1">
      <c r="C491" s="112"/>
      <c r="D491" s="113"/>
      <c r="E491" s="117"/>
      <c r="F491" s="37"/>
      <c r="G491" s="37"/>
      <c r="H491" s="37"/>
      <c r="I491" s="37"/>
      <c r="J491" s="37"/>
      <c r="K491" s="37"/>
      <c r="L491" s="37"/>
      <c r="M491" s="37"/>
      <c r="N491" s="37"/>
      <c r="O491" s="37"/>
      <c r="P491" s="37"/>
      <c r="Q491" s="37"/>
      <c r="R491" s="112"/>
      <c r="S491" s="113"/>
      <c r="T491" s="115"/>
    </row>
    <row r="493" spans="2:23" ht="18.75" customHeight="1" thickBot="1">
      <c r="B493" s="42"/>
      <c r="C493" s="42"/>
      <c r="D493" s="42"/>
      <c r="E493" s="42"/>
      <c r="F493" s="42"/>
      <c r="G493" s="42"/>
      <c r="H493" s="42"/>
      <c r="I493" s="42"/>
      <c r="J493" s="42"/>
      <c r="K493" s="42"/>
      <c r="L493" s="42"/>
      <c r="M493" s="42"/>
      <c r="N493" s="42"/>
      <c r="O493" s="42"/>
      <c r="P493" s="42"/>
      <c r="Q493" s="42"/>
      <c r="R493" s="42"/>
      <c r="S493" s="42"/>
      <c r="T493" s="42"/>
      <c r="U493" s="42"/>
    </row>
    <row r="495" spans="2:23" ht="18.75" customHeight="1">
      <c r="B495" s="43" t="s">
        <v>163</v>
      </c>
      <c r="C495" s="51" t="s">
        <v>3577</v>
      </c>
      <c r="D495" s="88"/>
      <c r="W495" s="35" t="str">
        <f>"-- "&amp;B495&amp;" : "&amp;C495</f>
        <v>-- SQL_ID : 01_A3-37</v>
      </c>
    </row>
    <row r="496" spans="2:23" ht="18.75" customHeight="1">
      <c r="B496" s="43" t="s">
        <v>158</v>
      </c>
      <c r="C496" s="118" t="str">
        <f>R499&amp;"登録"</f>
        <v>バックアップ_特定機材マスタ登録</v>
      </c>
      <c r="D496" s="119"/>
      <c r="E496" s="119"/>
      <c r="F496" s="119"/>
      <c r="G496" s="119"/>
      <c r="H496" s="119"/>
      <c r="I496" s="119"/>
      <c r="J496" s="119"/>
      <c r="K496" s="119"/>
      <c r="L496" s="119"/>
      <c r="M496" s="119"/>
      <c r="N496" s="119"/>
      <c r="O496" s="119"/>
      <c r="P496" s="119"/>
      <c r="Q496" s="119"/>
      <c r="R496" s="119"/>
      <c r="S496" s="119"/>
      <c r="T496" s="119"/>
      <c r="U496" s="120"/>
      <c r="W496" s="35" t="str">
        <f>"-- "&amp;C496</f>
        <v>-- バックアップ_特定機材マスタ登録</v>
      </c>
    </row>
    <row r="497" spans="2:23" ht="18.75" customHeight="1">
      <c r="B497" s="43" t="s">
        <v>159</v>
      </c>
      <c r="C497" s="121" t="str">
        <f>C499&amp;"テーブルのレコードを"&amp;R499&amp;"テーブルに格納する。"</f>
        <v>特定機材マスタテーブルのレコードをバックアップ_特定機材マスタテーブルに格納する。</v>
      </c>
      <c r="D497" s="122"/>
      <c r="E497" s="122"/>
      <c r="F497" s="122"/>
      <c r="G497" s="122"/>
      <c r="H497" s="122"/>
      <c r="I497" s="122"/>
      <c r="J497" s="122"/>
      <c r="K497" s="122"/>
      <c r="L497" s="122"/>
      <c r="M497" s="122"/>
      <c r="N497" s="122"/>
      <c r="O497" s="122"/>
      <c r="P497" s="122"/>
      <c r="Q497" s="122"/>
      <c r="R497" s="122"/>
      <c r="S497" s="122"/>
      <c r="T497" s="122"/>
      <c r="U497" s="123"/>
      <c r="W497" s="35" t="str">
        <f>"-- "&amp;C497</f>
        <v>-- 特定機材マスタテーブルのレコードをバックアップ_特定機材マスタテーブルに格納する。</v>
      </c>
    </row>
    <row r="499" spans="2:23" ht="18.75" customHeight="1">
      <c r="C499" s="110" t="s">
        <v>3578</v>
      </c>
      <c r="D499" s="111"/>
      <c r="E499" s="116" t="s">
        <v>162</v>
      </c>
      <c r="F499" s="36"/>
      <c r="G499" s="36"/>
      <c r="H499" s="36"/>
      <c r="I499" s="36"/>
      <c r="J499" s="36"/>
      <c r="K499" s="36"/>
      <c r="L499" s="36"/>
      <c r="M499" s="36"/>
      <c r="N499" s="36"/>
      <c r="O499" s="36"/>
      <c r="P499" s="36"/>
      <c r="Q499" s="36"/>
      <c r="R499" s="110" t="str">
        <f>"バックアップ_"&amp;SUBSTITUTE(C499,"_結合","")</f>
        <v>バックアップ_特定機材マスタ</v>
      </c>
      <c r="S499" s="111"/>
      <c r="T499" s="114" t="str">
        <f>エンティティ一覧!$O$2</f>
        <v>milscm_2023_009</v>
      </c>
    </row>
    <row r="500" spans="2:23" ht="18.75" customHeight="1">
      <c r="C500" s="112"/>
      <c r="D500" s="113"/>
      <c r="E500" s="117"/>
      <c r="F500" s="37"/>
      <c r="G500" s="37"/>
      <c r="H500" s="37"/>
      <c r="I500" s="37"/>
      <c r="J500" s="37"/>
      <c r="K500" s="37"/>
      <c r="L500" s="37"/>
      <c r="M500" s="37"/>
      <c r="N500" s="37"/>
      <c r="O500" s="37"/>
      <c r="P500" s="37"/>
      <c r="Q500" s="37"/>
      <c r="R500" s="112"/>
      <c r="S500" s="113"/>
      <c r="T500" s="115"/>
    </row>
    <row r="502" spans="2:23" ht="18.75" customHeight="1" thickBot="1">
      <c r="B502" s="42"/>
      <c r="C502" s="42"/>
      <c r="D502" s="42"/>
      <c r="E502" s="42"/>
      <c r="F502" s="42"/>
      <c r="G502" s="42"/>
      <c r="H502" s="42"/>
      <c r="I502" s="42"/>
      <c r="J502" s="42"/>
      <c r="K502" s="42"/>
      <c r="L502" s="42"/>
      <c r="M502" s="42"/>
      <c r="N502" s="42"/>
      <c r="O502" s="42"/>
      <c r="P502" s="42"/>
      <c r="Q502" s="42"/>
      <c r="R502" s="42"/>
      <c r="S502" s="42"/>
      <c r="T502" s="42"/>
      <c r="U502" s="42"/>
    </row>
    <row r="504" spans="2:23" ht="18.75" customHeight="1">
      <c r="B504" s="43" t="s">
        <v>163</v>
      </c>
      <c r="C504" s="51" t="s">
        <v>3579</v>
      </c>
      <c r="D504" s="88"/>
      <c r="W504" s="35" t="str">
        <f>"-- "&amp;B504&amp;" : "&amp;C504</f>
        <v>-- SQL_ID : 01_A4-01</v>
      </c>
    </row>
    <row r="505" spans="2:23" ht="18.75" customHeight="1">
      <c r="B505" s="43" t="s">
        <v>158</v>
      </c>
      <c r="C505" s="118" t="str">
        <f>R508&amp;"登録"</f>
        <v>バックアップ_年度マスタ登録</v>
      </c>
      <c r="D505" s="119"/>
      <c r="E505" s="119"/>
      <c r="F505" s="119"/>
      <c r="G505" s="119"/>
      <c r="H505" s="119"/>
      <c r="I505" s="119"/>
      <c r="J505" s="119"/>
      <c r="K505" s="119"/>
      <c r="L505" s="119"/>
      <c r="M505" s="119"/>
      <c r="N505" s="119"/>
      <c r="O505" s="119"/>
      <c r="P505" s="119"/>
      <c r="Q505" s="119"/>
      <c r="R505" s="119"/>
      <c r="S505" s="119"/>
      <c r="T505" s="119"/>
      <c r="U505" s="120"/>
      <c r="W505" s="35" t="str">
        <f>"-- "&amp;C505</f>
        <v>-- バックアップ_年度マスタ登録</v>
      </c>
    </row>
    <row r="506" spans="2:23" ht="18.75" customHeight="1">
      <c r="B506" s="43" t="s">
        <v>159</v>
      </c>
      <c r="C506" s="121" t="str">
        <f>C508&amp;"テーブルのレコードを"&amp;R508&amp;"テーブルに格納する。"</f>
        <v>年度マスタテーブルのレコードをバックアップ_年度マスタテーブルに格納する。</v>
      </c>
      <c r="D506" s="122"/>
      <c r="E506" s="122"/>
      <c r="F506" s="122"/>
      <c r="G506" s="122"/>
      <c r="H506" s="122"/>
      <c r="I506" s="122"/>
      <c r="J506" s="122"/>
      <c r="K506" s="122"/>
      <c r="L506" s="122"/>
      <c r="M506" s="122"/>
      <c r="N506" s="122"/>
      <c r="O506" s="122"/>
      <c r="P506" s="122"/>
      <c r="Q506" s="122"/>
      <c r="R506" s="122"/>
      <c r="S506" s="122"/>
      <c r="T506" s="122"/>
      <c r="U506" s="123"/>
      <c r="W506" s="35" t="str">
        <f>"-- "&amp;C506</f>
        <v>-- 年度マスタテーブルのレコードをバックアップ_年度マスタテーブルに格納する。</v>
      </c>
    </row>
    <row r="508" spans="2:23" ht="18.75" customHeight="1">
      <c r="C508" s="110" t="s">
        <v>3580</v>
      </c>
      <c r="D508" s="111"/>
      <c r="E508" s="116" t="s">
        <v>162</v>
      </c>
      <c r="F508" s="36"/>
      <c r="G508" s="36"/>
      <c r="H508" s="36"/>
      <c r="I508" s="36"/>
      <c r="J508" s="36"/>
      <c r="K508" s="36"/>
      <c r="L508" s="36"/>
      <c r="M508" s="36"/>
      <c r="N508" s="36"/>
      <c r="O508" s="36"/>
      <c r="P508" s="36"/>
      <c r="Q508" s="36"/>
      <c r="R508" s="110" t="str">
        <f>"バックアップ_"&amp;SUBSTITUTE(C508,"_結合","")</f>
        <v>バックアップ_年度マスタ</v>
      </c>
      <c r="S508" s="111"/>
      <c r="T508" s="114" t="str">
        <f>エンティティ一覧!$O$2</f>
        <v>milscm_2023_009</v>
      </c>
    </row>
    <row r="509" spans="2:23" ht="18.75" customHeight="1">
      <c r="C509" s="112"/>
      <c r="D509" s="113"/>
      <c r="E509" s="117"/>
      <c r="F509" s="37"/>
      <c r="G509" s="37"/>
      <c r="H509" s="37"/>
      <c r="I509" s="37"/>
      <c r="J509" s="37"/>
      <c r="K509" s="37"/>
      <c r="L509" s="37"/>
      <c r="M509" s="37"/>
      <c r="N509" s="37"/>
      <c r="O509" s="37"/>
      <c r="P509" s="37"/>
      <c r="Q509" s="37"/>
      <c r="R509" s="112"/>
      <c r="S509" s="113"/>
      <c r="T509" s="115"/>
    </row>
    <row r="511" spans="2:23" ht="18.75" customHeight="1" thickBot="1">
      <c r="B511" s="42"/>
      <c r="C511" s="42"/>
      <c r="D511" s="42"/>
      <c r="E511" s="42"/>
      <c r="F511" s="42"/>
      <c r="G511" s="42"/>
      <c r="H511" s="42"/>
      <c r="I511" s="42"/>
      <c r="J511" s="42"/>
      <c r="K511" s="42"/>
      <c r="L511" s="42"/>
      <c r="M511" s="42"/>
      <c r="N511" s="42"/>
      <c r="O511" s="42"/>
      <c r="P511" s="42"/>
      <c r="Q511" s="42"/>
      <c r="R511" s="42"/>
      <c r="S511" s="42"/>
      <c r="T511" s="42"/>
      <c r="U511" s="42"/>
    </row>
    <row r="513" spans="2:23" ht="18.75" customHeight="1">
      <c r="B513" s="43" t="s">
        <v>163</v>
      </c>
      <c r="C513" s="51" t="s">
        <v>3581</v>
      </c>
      <c r="D513" s="88"/>
      <c r="W513" s="35" t="str">
        <f>"-- "&amp;B513&amp;" : "&amp;C513</f>
        <v>-- SQL_ID : 01_A4-02</v>
      </c>
    </row>
    <row r="514" spans="2:23" ht="18.75" customHeight="1">
      <c r="B514" s="43" t="s">
        <v>158</v>
      </c>
      <c r="C514" s="118" t="str">
        <f>R517&amp;"登録"</f>
        <v>バックアップ_都道府県地方コードマスタ登録</v>
      </c>
      <c r="D514" s="119"/>
      <c r="E514" s="119"/>
      <c r="F514" s="119"/>
      <c r="G514" s="119"/>
      <c r="H514" s="119"/>
      <c r="I514" s="119"/>
      <c r="J514" s="119"/>
      <c r="K514" s="119"/>
      <c r="L514" s="119"/>
      <c r="M514" s="119"/>
      <c r="N514" s="119"/>
      <c r="O514" s="119"/>
      <c r="P514" s="119"/>
      <c r="Q514" s="119"/>
      <c r="R514" s="119"/>
      <c r="S514" s="119"/>
      <c r="T514" s="119"/>
      <c r="U514" s="120"/>
      <c r="W514" s="35" t="str">
        <f>"-- "&amp;C514</f>
        <v>-- バックアップ_都道府県地方コードマスタ登録</v>
      </c>
    </row>
    <row r="515" spans="2:23" ht="18.75" customHeight="1">
      <c r="B515" s="43" t="s">
        <v>159</v>
      </c>
      <c r="C515" s="121" t="str">
        <f>C517&amp;"テーブルのレコードを"&amp;R517&amp;"テーブルに格納する。"</f>
        <v>都道府県地方コードマスタテーブルのレコードをバックアップ_都道府県地方コードマスタテーブルに格納する。</v>
      </c>
      <c r="D515" s="122"/>
      <c r="E515" s="122"/>
      <c r="F515" s="122"/>
      <c r="G515" s="122"/>
      <c r="H515" s="122"/>
      <c r="I515" s="122"/>
      <c r="J515" s="122"/>
      <c r="K515" s="122"/>
      <c r="L515" s="122"/>
      <c r="M515" s="122"/>
      <c r="N515" s="122"/>
      <c r="O515" s="122"/>
      <c r="P515" s="122"/>
      <c r="Q515" s="122"/>
      <c r="R515" s="122"/>
      <c r="S515" s="122"/>
      <c r="T515" s="122"/>
      <c r="U515" s="123"/>
      <c r="W515" s="35" t="str">
        <f>"-- "&amp;C515</f>
        <v>-- 都道府県地方コードマスタテーブルのレコードをバックアップ_都道府県地方コードマスタテーブルに格納する。</v>
      </c>
    </row>
    <row r="517" spans="2:23" ht="18.75" customHeight="1">
      <c r="C517" s="110" t="s">
        <v>3582</v>
      </c>
      <c r="D517" s="111"/>
      <c r="E517" s="116" t="s">
        <v>162</v>
      </c>
      <c r="F517" s="36"/>
      <c r="G517" s="36"/>
      <c r="H517" s="36"/>
      <c r="I517" s="36"/>
      <c r="J517" s="36"/>
      <c r="K517" s="36"/>
      <c r="L517" s="36"/>
      <c r="M517" s="36"/>
      <c r="N517" s="36"/>
      <c r="O517" s="36"/>
      <c r="P517" s="36"/>
      <c r="Q517" s="36"/>
      <c r="R517" s="110" t="str">
        <f>"バックアップ_"&amp;SUBSTITUTE(C517,"_結合","")</f>
        <v>バックアップ_都道府県地方コードマスタ</v>
      </c>
      <c r="S517" s="111"/>
      <c r="T517" s="114" t="str">
        <f>エンティティ一覧!$O$2</f>
        <v>milscm_2023_009</v>
      </c>
    </row>
    <row r="518" spans="2:23" ht="18.75" customHeight="1">
      <c r="C518" s="112"/>
      <c r="D518" s="113"/>
      <c r="E518" s="117"/>
      <c r="F518" s="37"/>
      <c r="G518" s="37"/>
      <c r="H518" s="37"/>
      <c r="I518" s="37"/>
      <c r="J518" s="37"/>
      <c r="K518" s="37"/>
      <c r="L518" s="37"/>
      <c r="M518" s="37"/>
      <c r="N518" s="37"/>
      <c r="O518" s="37"/>
      <c r="P518" s="37"/>
      <c r="Q518" s="37"/>
      <c r="R518" s="112"/>
      <c r="S518" s="113"/>
      <c r="T518" s="115"/>
    </row>
    <row r="520" spans="2:23" ht="18.75" customHeight="1" thickBot="1">
      <c r="B520" s="42"/>
      <c r="C520" s="42"/>
      <c r="D520" s="42"/>
      <c r="E520" s="42"/>
      <c r="F520" s="42"/>
      <c r="G520" s="42"/>
      <c r="H520" s="42"/>
      <c r="I520" s="42"/>
      <c r="J520" s="42"/>
      <c r="K520" s="42"/>
      <c r="L520" s="42"/>
      <c r="M520" s="42"/>
      <c r="N520" s="42"/>
      <c r="O520" s="42"/>
      <c r="P520" s="42"/>
      <c r="Q520" s="42"/>
      <c r="R520" s="42"/>
      <c r="S520" s="42"/>
      <c r="T520" s="42"/>
      <c r="U520" s="42"/>
    </row>
    <row r="522" spans="2:23" ht="18.75" customHeight="1">
      <c r="B522" s="43" t="s">
        <v>163</v>
      </c>
      <c r="C522" s="51" t="s">
        <v>3583</v>
      </c>
      <c r="D522" s="88"/>
      <c r="W522" s="35" t="str">
        <f>"-- "&amp;B522&amp;" : "&amp;C522</f>
        <v>-- SQL_ID : 01_A4-03</v>
      </c>
    </row>
    <row r="523" spans="2:23" ht="18.75" customHeight="1">
      <c r="B523" s="43" t="s">
        <v>158</v>
      </c>
      <c r="C523" s="118" t="str">
        <f>R526&amp;"登録"</f>
        <v>バックアップ_施設属性マスタ登録</v>
      </c>
      <c r="D523" s="119"/>
      <c r="E523" s="119"/>
      <c r="F523" s="119"/>
      <c r="G523" s="119"/>
      <c r="H523" s="119"/>
      <c r="I523" s="119"/>
      <c r="J523" s="119"/>
      <c r="K523" s="119"/>
      <c r="L523" s="119"/>
      <c r="M523" s="119"/>
      <c r="N523" s="119"/>
      <c r="O523" s="119"/>
      <c r="P523" s="119"/>
      <c r="Q523" s="119"/>
      <c r="R523" s="119"/>
      <c r="S523" s="119"/>
      <c r="T523" s="119"/>
      <c r="U523" s="120"/>
      <c r="W523" s="35" t="str">
        <f>"-- "&amp;C523</f>
        <v>-- バックアップ_施設属性マスタ登録</v>
      </c>
    </row>
    <row r="524" spans="2:23" ht="18.75" customHeight="1">
      <c r="B524" s="43" t="s">
        <v>159</v>
      </c>
      <c r="C524" s="121" t="str">
        <f>C526&amp;"テーブルのレコードを"&amp;R526&amp;"テーブルに格納する。"</f>
        <v>施設属性マスタテーブルのレコードをバックアップ_施設属性マスタテーブルに格納する。</v>
      </c>
      <c r="D524" s="122"/>
      <c r="E524" s="122"/>
      <c r="F524" s="122"/>
      <c r="G524" s="122"/>
      <c r="H524" s="122"/>
      <c r="I524" s="122"/>
      <c r="J524" s="122"/>
      <c r="K524" s="122"/>
      <c r="L524" s="122"/>
      <c r="M524" s="122"/>
      <c r="N524" s="122"/>
      <c r="O524" s="122"/>
      <c r="P524" s="122"/>
      <c r="Q524" s="122"/>
      <c r="R524" s="122"/>
      <c r="S524" s="122"/>
      <c r="T524" s="122"/>
      <c r="U524" s="123"/>
      <c r="W524" s="35" t="str">
        <f>"-- "&amp;C524</f>
        <v>-- 施設属性マスタテーブルのレコードをバックアップ_施設属性マスタテーブルに格納する。</v>
      </c>
    </row>
    <row r="526" spans="2:23" ht="18.75" customHeight="1">
      <c r="C526" s="110" t="s">
        <v>3584</v>
      </c>
      <c r="D526" s="111"/>
      <c r="E526" s="116" t="s">
        <v>162</v>
      </c>
      <c r="F526" s="36"/>
      <c r="G526" s="36"/>
      <c r="H526" s="36"/>
      <c r="I526" s="36"/>
      <c r="J526" s="36"/>
      <c r="K526" s="36"/>
      <c r="L526" s="36"/>
      <c r="M526" s="36"/>
      <c r="N526" s="36"/>
      <c r="O526" s="36"/>
      <c r="P526" s="36"/>
      <c r="Q526" s="36"/>
      <c r="R526" s="110" t="str">
        <f>"バックアップ_"&amp;SUBSTITUTE(C526,"_結合","")</f>
        <v>バックアップ_施設属性マスタ</v>
      </c>
      <c r="S526" s="111"/>
      <c r="T526" s="114" t="str">
        <f>エンティティ一覧!$O$2</f>
        <v>milscm_2023_009</v>
      </c>
    </row>
    <row r="527" spans="2:23" ht="18.75" customHeight="1">
      <c r="C527" s="112"/>
      <c r="D527" s="113"/>
      <c r="E527" s="117"/>
      <c r="F527" s="37"/>
      <c r="G527" s="37"/>
      <c r="H527" s="37"/>
      <c r="I527" s="37"/>
      <c r="J527" s="37"/>
      <c r="K527" s="37"/>
      <c r="L527" s="37"/>
      <c r="M527" s="37"/>
      <c r="N527" s="37"/>
      <c r="O527" s="37"/>
      <c r="P527" s="37"/>
      <c r="Q527" s="37"/>
      <c r="R527" s="112"/>
      <c r="S527" s="113"/>
      <c r="T527" s="115"/>
    </row>
    <row r="529" spans="2:23" ht="18.75" customHeight="1" thickBot="1">
      <c r="B529" s="42"/>
      <c r="C529" s="42"/>
      <c r="D529" s="42"/>
      <c r="E529" s="42"/>
      <c r="F529" s="42"/>
      <c r="G529" s="42"/>
      <c r="H529" s="42"/>
      <c r="I529" s="42"/>
      <c r="J529" s="42"/>
      <c r="K529" s="42"/>
      <c r="L529" s="42"/>
      <c r="M529" s="42"/>
      <c r="N529" s="42"/>
      <c r="O529" s="42"/>
      <c r="P529" s="42"/>
      <c r="Q529" s="42"/>
      <c r="R529" s="42"/>
      <c r="S529" s="42"/>
      <c r="T529" s="42"/>
      <c r="U529" s="42"/>
    </row>
    <row r="531" spans="2:23" ht="18.75" customHeight="1">
      <c r="B531" s="43" t="s">
        <v>163</v>
      </c>
      <c r="C531" s="51" t="s">
        <v>3585</v>
      </c>
      <c r="D531" s="88"/>
      <c r="W531" s="35" t="str">
        <f>"-- "&amp;B531&amp;" : "&amp;C531</f>
        <v>-- SQL_ID : 01_A4-04</v>
      </c>
    </row>
    <row r="532" spans="2:23" ht="18.75" customHeight="1">
      <c r="B532" s="43" t="s">
        <v>158</v>
      </c>
      <c r="C532" s="118" t="str">
        <f>R535&amp;"登録"</f>
        <v>バックアップ_二次医療圏マスタ登録</v>
      </c>
      <c r="D532" s="119"/>
      <c r="E532" s="119"/>
      <c r="F532" s="119"/>
      <c r="G532" s="119"/>
      <c r="H532" s="119"/>
      <c r="I532" s="119"/>
      <c r="J532" s="119"/>
      <c r="K532" s="119"/>
      <c r="L532" s="119"/>
      <c r="M532" s="119"/>
      <c r="N532" s="119"/>
      <c r="O532" s="119"/>
      <c r="P532" s="119"/>
      <c r="Q532" s="119"/>
      <c r="R532" s="119"/>
      <c r="S532" s="119"/>
      <c r="T532" s="119"/>
      <c r="U532" s="120"/>
      <c r="W532" s="35" t="str">
        <f>"-- "&amp;C532</f>
        <v>-- バックアップ_二次医療圏マスタ登録</v>
      </c>
    </row>
    <row r="533" spans="2:23" ht="18.75" customHeight="1">
      <c r="B533" s="43" t="s">
        <v>159</v>
      </c>
      <c r="C533" s="121" t="str">
        <f>C535&amp;"テーブルのレコードを"&amp;R535&amp;"テーブルに格納する。"</f>
        <v>二次医療圏マスタテーブルのレコードをバックアップ_二次医療圏マスタテーブルに格納する。</v>
      </c>
      <c r="D533" s="122"/>
      <c r="E533" s="122"/>
      <c r="F533" s="122"/>
      <c r="G533" s="122"/>
      <c r="H533" s="122"/>
      <c r="I533" s="122"/>
      <c r="J533" s="122"/>
      <c r="K533" s="122"/>
      <c r="L533" s="122"/>
      <c r="M533" s="122"/>
      <c r="N533" s="122"/>
      <c r="O533" s="122"/>
      <c r="P533" s="122"/>
      <c r="Q533" s="122"/>
      <c r="R533" s="122"/>
      <c r="S533" s="122"/>
      <c r="T533" s="122"/>
      <c r="U533" s="123"/>
      <c r="W533" s="35" t="str">
        <f>"-- "&amp;C533</f>
        <v>-- 二次医療圏マスタテーブルのレコードをバックアップ_二次医療圏マスタテーブルに格納する。</v>
      </c>
    </row>
    <row r="535" spans="2:23" ht="18.75" customHeight="1">
      <c r="C535" s="110" t="s">
        <v>3586</v>
      </c>
      <c r="D535" s="111"/>
      <c r="E535" s="116" t="s">
        <v>162</v>
      </c>
      <c r="F535" s="36"/>
      <c r="G535" s="36"/>
      <c r="H535" s="36"/>
      <c r="I535" s="36"/>
      <c r="J535" s="36"/>
      <c r="K535" s="36"/>
      <c r="L535" s="36"/>
      <c r="M535" s="36"/>
      <c r="N535" s="36"/>
      <c r="O535" s="36"/>
      <c r="P535" s="36"/>
      <c r="Q535" s="36"/>
      <c r="R535" s="110" t="str">
        <f>"バックアップ_"&amp;SUBSTITUTE(C535,"_結合","")</f>
        <v>バックアップ_二次医療圏マスタ</v>
      </c>
      <c r="S535" s="111"/>
      <c r="T535" s="114" t="str">
        <f>エンティティ一覧!$O$2</f>
        <v>milscm_2023_009</v>
      </c>
    </row>
    <row r="536" spans="2:23" ht="18.75" customHeight="1">
      <c r="C536" s="112"/>
      <c r="D536" s="113"/>
      <c r="E536" s="117"/>
      <c r="F536" s="37"/>
      <c r="G536" s="37"/>
      <c r="H536" s="37"/>
      <c r="I536" s="37"/>
      <c r="J536" s="37"/>
      <c r="K536" s="37"/>
      <c r="L536" s="37"/>
      <c r="M536" s="37"/>
      <c r="N536" s="37"/>
      <c r="O536" s="37"/>
      <c r="P536" s="37"/>
      <c r="Q536" s="37"/>
      <c r="R536" s="112"/>
      <c r="S536" s="113"/>
      <c r="T536" s="115"/>
    </row>
    <row r="538" spans="2:23" ht="18.75" customHeight="1" thickBot="1">
      <c r="B538" s="42"/>
      <c r="C538" s="42"/>
      <c r="D538" s="42"/>
      <c r="E538" s="42"/>
      <c r="F538" s="42"/>
      <c r="G538" s="42"/>
      <c r="H538" s="42"/>
      <c r="I538" s="42"/>
      <c r="J538" s="42"/>
      <c r="K538" s="42"/>
      <c r="L538" s="42"/>
      <c r="M538" s="42"/>
      <c r="N538" s="42"/>
      <c r="O538" s="42"/>
      <c r="P538" s="42"/>
      <c r="Q538" s="42"/>
      <c r="R538" s="42"/>
      <c r="S538" s="42"/>
      <c r="T538" s="42"/>
      <c r="U538" s="42"/>
    </row>
    <row r="540" spans="2:23" ht="18.75" customHeight="1">
      <c r="B540" s="43" t="s">
        <v>163</v>
      </c>
      <c r="C540" s="51" t="s">
        <v>3587</v>
      </c>
      <c r="D540" s="88"/>
      <c r="W540" s="35" t="str">
        <f>"-- "&amp;B540&amp;" : "&amp;C540</f>
        <v>-- SQL_ID : 01_A4-05</v>
      </c>
    </row>
    <row r="541" spans="2:23" ht="18.75" customHeight="1">
      <c r="B541" s="43" t="s">
        <v>158</v>
      </c>
      <c r="C541" s="118" t="str">
        <f>R544&amp;"登録"</f>
        <v>バックアップ_施設ID対応マスタ登録</v>
      </c>
      <c r="D541" s="119"/>
      <c r="E541" s="119"/>
      <c r="F541" s="119"/>
      <c r="G541" s="119"/>
      <c r="H541" s="119"/>
      <c r="I541" s="119"/>
      <c r="J541" s="119"/>
      <c r="K541" s="119"/>
      <c r="L541" s="119"/>
      <c r="M541" s="119"/>
      <c r="N541" s="119"/>
      <c r="O541" s="119"/>
      <c r="P541" s="119"/>
      <c r="Q541" s="119"/>
      <c r="R541" s="119"/>
      <c r="S541" s="119"/>
      <c r="T541" s="119"/>
      <c r="U541" s="120"/>
      <c r="W541" s="35" t="str">
        <f>"-- "&amp;C541</f>
        <v>-- バックアップ_施設ID対応マスタ登録</v>
      </c>
    </row>
    <row r="542" spans="2:23" ht="18.75" customHeight="1">
      <c r="B542" s="43" t="s">
        <v>159</v>
      </c>
      <c r="C542" s="121" t="str">
        <f>C544&amp;"テーブルのレコードを"&amp;R544&amp;"テーブルに格納する。"</f>
        <v>施設ID対応マスタテーブルのレコードをバックアップ_施設ID対応マスタテーブルに格納する。</v>
      </c>
      <c r="D542" s="122"/>
      <c r="E542" s="122"/>
      <c r="F542" s="122"/>
      <c r="G542" s="122"/>
      <c r="H542" s="122"/>
      <c r="I542" s="122"/>
      <c r="J542" s="122"/>
      <c r="K542" s="122"/>
      <c r="L542" s="122"/>
      <c r="M542" s="122"/>
      <c r="N542" s="122"/>
      <c r="O542" s="122"/>
      <c r="P542" s="122"/>
      <c r="Q542" s="122"/>
      <c r="R542" s="122"/>
      <c r="S542" s="122"/>
      <c r="T542" s="122"/>
      <c r="U542" s="123"/>
      <c r="W542" s="35" t="str">
        <f>"-- "&amp;C542</f>
        <v>-- 施設ID対応マスタテーブルのレコードをバックアップ_施設ID対応マスタテーブルに格納する。</v>
      </c>
    </row>
    <row r="544" spans="2:23" ht="18.75" customHeight="1">
      <c r="C544" s="110" t="s">
        <v>3588</v>
      </c>
      <c r="D544" s="111"/>
      <c r="E544" s="116" t="s">
        <v>162</v>
      </c>
      <c r="F544" s="36"/>
      <c r="G544" s="36"/>
      <c r="H544" s="36"/>
      <c r="I544" s="36"/>
      <c r="J544" s="36"/>
      <c r="K544" s="36"/>
      <c r="L544" s="36"/>
      <c r="M544" s="36"/>
      <c r="N544" s="36"/>
      <c r="O544" s="36"/>
      <c r="P544" s="36"/>
      <c r="Q544" s="36"/>
      <c r="R544" s="110" t="str">
        <f>"バックアップ_"&amp;SUBSTITUTE(C544,"_結合","")</f>
        <v>バックアップ_施設ID対応マスタ</v>
      </c>
      <c r="S544" s="111"/>
      <c r="T544" s="114" t="str">
        <f>エンティティ一覧!$O$2</f>
        <v>milscm_2023_009</v>
      </c>
    </row>
    <row r="545" spans="2:23" ht="18.75" customHeight="1">
      <c r="C545" s="112"/>
      <c r="D545" s="113"/>
      <c r="E545" s="117"/>
      <c r="F545" s="37"/>
      <c r="G545" s="37"/>
      <c r="H545" s="37"/>
      <c r="I545" s="37"/>
      <c r="J545" s="37"/>
      <c r="K545" s="37"/>
      <c r="L545" s="37"/>
      <c r="M545" s="37"/>
      <c r="N545" s="37"/>
      <c r="O545" s="37"/>
      <c r="P545" s="37"/>
      <c r="Q545" s="37"/>
      <c r="R545" s="112"/>
      <c r="S545" s="113"/>
      <c r="T545" s="115"/>
    </row>
    <row r="547" spans="2:23" ht="18.75" customHeight="1" thickBot="1">
      <c r="B547" s="42"/>
      <c r="C547" s="42"/>
      <c r="D547" s="42"/>
      <c r="E547" s="42"/>
      <c r="F547" s="42"/>
      <c r="G547" s="42"/>
      <c r="H547" s="42"/>
      <c r="I547" s="42"/>
      <c r="J547" s="42"/>
      <c r="K547" s="42"/>
      <c r="L547" s="42"/>
      <c r="M547" s="42"/>
      <c r="N547" s="42"/>
      <c r="O547" s="42"/>
      <c r="P547" s="42"/>
      <c r="Q547" s="42"/>
      <c r="R547" s="42"/>
      <c r="S547" s="42"/>
      <c r="T547" s="42"/>
      <c r="U547" s="42"/>
    </row>
    <row r="549" spans="2:23" ht="18.75" customHeight="1">
      <c r="B549" s="43" t="s">
        <v>163</v>
      </c>
      <c r="C549" s="51" t="s">
        <v>3589</v>
      </c>
      <c r="D549" s="88"/>
      <c r="W549" s="35" t="str">
        <f>"-- "&amp;B549&amp;" : "&amp;C549</f>
        <v>-- SQL_ID : 01_A4-07</v>
      </c>
    </row>
    <row r="550" spans="2:23" ht="18.75" customHeight="1">
      <c r="B550" s="43" t="s">
        <v>158</v>
      </c>
      <c r="C550" s="118" t="str">
        <f>R553&amp;"登録"</f>
        <v>バックアップ_医薬品関連マスタ登録</v>
      </c>
      <c r="D550" s="119"/>
      <c r="E550" s="119"/>
      <c r="F550" s="119"/>
      <c r="G550" s="119"/>
      <c r="H550" s="119"/>
      <c r="I550" s="119"/>
      <c r="J550" s="119"/>
      <c r="K550" s="119"/>
      <c r="L550" s="119"/>
      <c r="M550" s="119"/>
      <c r="N550" s="119"/>
      <c r="O550" s="119"/>
      <c r="P550" s="119"/>
      <c r="Q550" s="119"/>
      <c r="R550" s="119"/>
      <c r="S550" s="119"/>
      <c r="T550" s="119"/>
      <c r="U550" s="120"/>
      <c r="W550" s="35" t="str">
        <f>"-- "&amp;C550</f>
        <v>-- バックアップ_医薬品関連マスタ登録</v>
      </c>
    </row>
    <row r="551" spans="2:23" ht="18.75" customHeight="1">
      <c r="B551" s="43" t="s">
        <v>159</v>
      </c>
      <c r="C551" s="121" t="str">
        <f>C553&amp;"テーブルのレコードを"&amp;R553&amp;"テーブルに格納する。"</f>
        <v>医薬品関連マスタテーブルのレコードをバックアップ_医薬品関連マスタテーブルに格納する。</v>
      </c>
      <c r="D551" s="122"/>
      <c r="E551" s="122"/>
      <c r="F551" s="122"/>
      <c r="G551" s="122"/>
      <c r="H551" s="122"/>
      <c r="I551" s="122"/>
      <c r="J551" s="122"/>
      <c r="K551" s="122"/>
      <c r="L551" s="122"/>
      <c r="M551" s="122"/>
      <c r="N551" s="122"/>
      <c r="O551" s="122"/>
      <c r="P551" s="122"/>
      <c r="Q551" s="122"/>
      <c r="R551" s="122"/>
      <c r="S551" s="122"/>
      <c r="T551" s="122"/>
      <c r="U551" s="123"/>
      <c r="W551" s="35" t="str">
        <f>"-- "&amp;C551</f>
        <v>-- 医薬品関連マスタテーブルのレコードをバックアップ_医薬品関連マスタテーブルに格納する。</v>
      </c>
    </row>
    <row r="553" spans="2:23" ht="18.75" customHeight="1">
      <c r="C553" s="110" t="s">
        <v>3590</v>
      </c>
      <c r="D553" s="111"/>
      <c r="E553" s="116" t="s">
        <v>162</v>
      </c>
      <c r="F553" s="36"/>
      <c r="G553" s="36"/>
      <c r="H553" s="36"/>
      <c r="I553" s="36"/>
      <c r="J553" s="36"/>
      <c r="K553" s="36"/>
      <c r="L553" s="36"/>
      <c r="M553" s="36"/>
      <c r="N553" s="36"/>
      <c r="O553" s="36"/>
      <c r="P553" s="36"/>
      <c r="Q553" s="36"/>
      <c r="R553" s="110" t="str">
        <f>"バックアップ_"&amp;SUBSTITUTE(C553,"_結合","")</f>
        <v>バックアップ_医薬品関連マスタ</v>
      </c>
      <c r="S553" s="111"/>
      <c r="T553" s="114" t="str">
        <f>エンティティ一覧!$O$2</f>
        <v>milscm_2023_009</v>
      </c>
    </row>
    <row r="554" spans="2:23" ht="18.75" customHeight="1">
      <c r="C554" s="112"/>
      <c r="D554" s="113"/>
      <c r="E554" s="117"/>
      <c r="F554" s="37"/>
      <c r="G554" s="37"/>
      <c r="H554" s="37"/>
      <c r="I554" s="37"/>
      <c r="J554" s="37"/>
      <c r="K554" s="37"/>
      <c r="L554" s="37"/>
      <c r="M554" s="37"/>
      <c r="N554" s="37"/>
      <c r="O554" s="37"/>
      <c r="P554" s="37"/>
      <c r="Q554" s="37"/>
      <c r="R554" s="112"/>
      <c r="S554" s="113"/>
      <c r="T554" s="115"/>
    </row>
    <row r="556" spans="2:23" ht="18.75" customHeight="1" thickBot="1">
      <c r="B556" s="42"/>
      <c r="C556" s="42"/>
      <c r="D556" s="42"/>
      <c r="E556" s="42"/>
      <c r="F556" s="42"/>
      <c r="G556" s="42"/>
      <c r="H556" s="42"/>
      <c r="I556" s="42"/>
      <c r="J556" s="42"/>
      <c r="K556" s="42"/>
      <c r="L556" s="42"/>
      <c r="M556" s="42"/>
      <c r="N556" s="42"/>
      <c r="O556" s="42"/>
      <c r="P556" s="42"/>
      <c r="Q556" s="42"/>
      <c r="R556" s="42"/>
      <c r="S556" s="42"/>
      <c r="T556" s="42"/>
      <c r="U556" s="42"/>
    </row>
    <row r="558" spans="2:23" ht="18.75" customHeight="1">
      <c r="B558" s="43" t="s">
        <v>163</v>
      </c>
      <c r="C558" s="51" t="s">
        <v>3591</v>
      </c>
      <c r="D558" s="88"/>
      <c r="W558" s="35" t="str">
        <f>"-- "&amp;B558&amp;" : "&amp;C558</f>
        <v>-- SQL_ID : 01_A4-08</v>
      </c>
    </row>
    <row r="559" spans="2:23" ht="18.75" customHeight="1">
      <c r="B559" s="43" t="s">
        <v>158</v>
      </c>
      <c r="C559" s="118" t="str">
        <f>R562&amp;"登録"</f>
        <v>バックアップ_薬価関連マスタ登録</v>
      </c>
      <c r="D559" s="119"/>
      <c r="E559" s="119"/>
      <c r="F559" s="119"/>
      <c r="G559" s="119"/>
      <c r="H559" s="119"/>
      <c r="I559" s="119"/>
      <c r="J559" s="119"/>
      <c r="K559" s="119"/>
      <c r="L559" s="119"/>
      <c r="M559" s="119"/>
      <c r="N559" s="119"/>
      <c r="O559" s="119"/>
      <c r="P559" s="119"/>
      <c r="Q559" s="119"/>
      <c r="R559" s="119"/>
      <c r="S559" s="119"/>
      <c r="T559" s="119"/>
      <c r="U559" s="120"/>
      <c r="W559" s="35" t="str">
        <f>"-- "&amp;C559</f>
        <v>-- バックアップ_薬価関連マスタ登録</v>
      </c>
    </row>
    <row r="560" spans="2:23" ht="18.75" customHeight="1">
      <c r="B560" s="43" t="s">
        <v>159</v>
      </c>
      <c r="C560" s="121" t="str">
        <f>C562&amp;"テーブルのレコードを"&amp;R562&amp;"テーブルに格納する。"</f>
        <v>薬価関連マスタテーブルのレコードをバックアップ_薬価関連マスタテーブルに格納する。</v>
      </c>
      <c r="D560" s="122"/>
      <c r="E560" s="122"/>
      <c r="F560" s="122"/>
      <c r="G560" s="122"/>
      <c r="H560" s="122"/>
      <c r="I560" s="122"/>
      <c r="J560" s="122"/>
      <c r="K560" s="122"/>
      <c r="L560" s="122"/>
      <c r="M560" s="122"/>
      <c r="N560" s="122"/>
      <c r="O560" s="122"/>
      <c r="P560" s="122"/>
      <c r="Q560" s="122"/>
      <c r="R560" s="122"/>
      <c r="S560" s="122"/>
      <c r="T560" s="122"/>
      <c r="U560" s="123"/>
      <c r="W560" s="35" t="str">
        <f>"-- "&amp;C560</f>
        <v>-- 薬価関連マスタテーブルのレコードをバックアップ_薬価関連マスタテーブルに格納する。</v>
      </c>
    </row>
    <row r="562" spans="2:23" ht="18.75" customHeight="1">
      <c r="C562" s="110" t="s">
        <v>3592</v>
      </c>
      <c r="D562" s="111"/>
      <c r="E562" s="116" t="s">
        <v>162</v>
      </c>
      <c r="F562" s="36"/>
      <c r="G562" s="36"/>
      <c r="H562" s="36"/>
      <c r="I562" s="36"/>
      <c r="J562" s="36"/>
      <c r="K562" s="36"/>
      <c r="L562" s="36"/>
      <c r="M562" s="36"/>
      <c r="N562" s="36"/>
      <c r="O562" s="36"/>
      <c r="P562" s="36"/>
      <c r="Q562" s="36"/>
      <c r="R562" s="110" t="str">
        <f>"バックアップ_"&amp;SUBSTITUTE(C562,"_結合","")</f>
        <v>バックアップ_薬価関連マスタ</v>
      </c>
      <c r="S562" s="111"/>
      <c r="T562" s="114" t="str">
        <f>エンティティ一覧!$O$2</f>
        <v>milscm_2023_009</v>
      </c>
    </row>
    <row r="563" spans="2:23" ht="18.75" customHeight="1">
      <c r="C563" s="112"/>
      <c r="D563" s="113"/>
      <c r="E563" s="117"/>
      <c r="F563" s="37"/>
      <c r="G563" s="37"/>
      <c r="H563" s="37"/>
      <c r="I563" s="37"/>
      <c r="J563" s="37"/>
      <c r="K563" s="37"/>
      <c r="L563" s="37"/>
      <c r="M563" s="37"/>
      <c r="N563" s="37"/>
      <c r="O563" s="37"/>
      <c r="P563" s="37"/>
      <c r="Q563" s="37"/>
      <c r="R563" s="112"/>
      <c r="S563" s="113"/>
      <c r="T563" s="115"/>
    </row>
    <row r="565" spans="2:23" ht="18.75" customHeight="1" thickBot="1">
      <c r="B565" s="42"/>
      <c r="C565" s="42"/>
      <c r="D565" s="42"/>
      <c r="E565" s="42"/>
      <c r="F565" s="42"/>
      <c r="G565" s="42"/>
      <c r="H565" s="42"/>
      <c r="I565" s="42"/>
      <c r="J565" s="42"/>
      <c r="K565" s="42"/>
      <c r="L565" s="42"/>
      <c r="M565" s="42"/>
      <c r="N565" s="42"/>
      <c r="O565" s="42"/>
      <c r="P565" s="42"/>
      <c r="Q565" s="42"/>
      <c r="R565" s="42"/>
      <c r="S565" s="42"/>
      <c r="T565" s="42"/>
      <c r="U565" s="42"/>
    </row>
    <row r="567" spans="2:23" ht="18.75" customHeight="1">
      <c r="B567" s="43" t="s">
        <v>163</v>
      </c>
      <c r="C567" s="51" t="s">
        <v>3593</v>
      </c>
      <c r="D567" s="88"/>
      <c r="W567" s="35" t="str">
        <f>"-- "&amp;B567&amp;" : "&amp;C567</f>
        <v>-- SQL_ID : 01_A4-09</v>
      </c>
    </row>
    <row r="568" spans="2:23" ht="18.75" customHeight="1">
      <c r="B568" s="43" t="s">
        <v>158</v>
      </c>
      <c r="C568" s="118" t="str">
        <f>R571&amp;"登録"</f>
        <v>バックアップ_診療行為関連マスタ登録</v>
      </c>
      <c r="D568" s="119"/>
      <c r="E568" s="119"/>
      <c r="F568" s="119"/>
      <c r="G568" s="119"/>
      <c r="H568" s="119"/>
      <c r="I568" s="119"/>
      <c r="J568" s="119"/>
      <c r="K568" s="119"/>
      <c r="L568" s="119"/>
      <c r="M568" s="119"/>
      <c r="N568" s="119"/>
      <c r="O568" s="119"/>
      <c r="P568" s="119"/>
      <c r="Q568" s="119"/>
      <c r="R568" s="119"/>
      <c r="S568" s="119"/>
      <c r="T568" s="119"/>
      <c r="U568" s="120"/>
      <c r="W568" s="35" t="str">
        <f>"-- "&amp;C568</f>
        <v>-- バックアップ_診療行為関連マスタ登録</v>
      </c>
    </row>
    <row r="569" spans="2:23" ht="18.75" customHeight="1">
      <c r="B569" s="43" t="s">
        <v>159</v>
      </c>
      <c r="C569" s="121" t="str">
        <f>C571&amp;"テーブルのレコードを"&amp;R571&amp;"テーブルに格納する。"</f>
        <v>診療行為関連マスタテーブルのレコードをバックアップ_診療行為関連マスタテーブルに格納する。</v>
      </c>
      <c r="D569" s="122"/>
      <c r="E569" s="122"/>
      <c r="F569" s="122"/>
      <c r="G569" s="122"/>
      <c r="H569" s="122"/>
      <c r="I569" s="122"/>
      <c r="J569" s="122"/>
      <c r="K569" s="122"/>
      <c r="L569" s="122"/>
      <c r="M569" s="122"/>
      <c r="N569" s="122"/>
      <c r="O569" s="122"/>
      <c r="P569" s="122"/>
      <c r="Q569" s="122"/>
      <c r="R569" s="122"/>
      <c r="S569" s="122"/>
      <c r="T569" s="122"/>
      <c r="U569" s="123"/>
      <c r="W569" s="35" t="str">
        <f>"-- "&amp;C569</f>
        <v>-- 診療行為関連マスタテーブルのレコードをバックアップ_診療行為関連マスタテーブルに格納する。</v>
      </c>
    </row>
    <row r="571" spans="2:23" ht="18.75" customHeight="1">
      <c r="C571" s="110" t="s">
        <v>3594</v>
      </c>
      <c r="D571" s="111"/>
      <c r="E571" s="116" t="s">
        <v>162</v>
      </c>
      <c r="F571" s="36"/>
      <c r="G571" s="36"/>
      <c r="H571" s="36"/>
      <c r="I571" s="36"/>
      <c r="J571" s="36"/>
      <c r="K571" s="36"/>
      <c r="L571" s="36"/>
      <c r="M571" s="36"/>
      <c r="N571" s="36"/>
      <c r="O571" s="36"/>
      <c r="P571" s="36"/>
      <c r="Q571" s="36"/>
      <c r="R571" s="110" t="str">
        <f>"バックアップ_"&amp;SUBSTITUTE(C571,"_結合","")</f>
        <v>バックアップ_診療行為関連マスタ</v>
      </c>
      <c r="S571" s="111"/>
      <c r="T571" s="114" t="str">
        <f>エンティティ一覧!$O$2</f>
        <v>milscm_2023_009</v>
      </c>
    </row>
    <row r="572" spans="2:23" ht="18.75" customHeight="1">
      <c r="C572" s="112"/>
      <c r="D572" s="113"/>
      <c r="E572" s="117"/>
      <c r="F572" s="37"/>
      <c r="G572" s="37"/>
      <c r="H572" s="37"/>
      <c r="I572" s="37"/>
      <c r="J572" s="37"/>
      <c r="K572" s="37"/>
      <c r="L572" s="37"/>
      <c r="M572" s="37"/>
      <c r="N572" s="37"/>
      <c r="O572" s="37"/>
      <c r="P572" s="37"/>
      <c r="Q572" s="37"/>
      <c r="R572" s="112"/>
      <c r="S572" s="113"/>
      <c r="T572" s="115"/>
    </row>
    <row r="574" spans="2:23" ht="18.75" customHeight="1" thickBot="1">
      <c r="B574" s="42"/>
      <c r="C574" s="42"/>
      <c r="D574" s="42"/>
      <c r="E574" s="42"/>
      <c r="F574" s="42"/>
      <c r="G574" s="42"/>
      <c r="H574" s="42"/>
      <c r="I574" s="42"/>
      <c r="J574" s="42"/>
      <c r="K574" s="42"/>
      <c r="L574" s="42"/>
      <c r="M574" s="42"/>
      <c r="N574" s="42"/>
      <c r="O574" s="42"/>
      <c r="P574" s="42"/>
      <c r="Q574" s="42"/>
      <c r="R574" s="42"/>
      <c r="S574" s="42"/>
      <c r="T574" s="42"/>
      <c r="U574" s="42"/>
    </row>
    <row r="576" spans="2:23" ht="18.75" customHeight="1">
      <c r="B576" s="43" t="s">
        <v>163</v>
      </c>
      <c r="C576" s="51" t="s">
        <v>3595</v>
      </c>
      <c r="D576" s="88"/>
      <c r="W576" s="35" t="str">
        <f>"-- "&amp;B576&amp;" : "&amp;C576</f>
        <v>-- SQL_ID : 01_A4-10</v>
      </c>
    </row>
    <row r="577" spans="2:23" ht="18.75" customHeight="1">
      <c r="B577" s="43" t="s">
        <v>158</v>
      </c>
      <c r="C577" s="118" t="str">
        <f>R580&amp;"登録"</f>
        <v>バックアップ_特定器材関連マスタ登録</v>
      </c>
      <c r="D577" s="119"/>
      <c r="E577" s="119"/>
      <c r="F577" s="119"/>
      <c r="G577" s="119"/>
      <c r="H577" s="119"/>
      <c r="I577" s="119"/>
      <c r="J577" s="119"/>
      <c r="K577" s="119"/>
      <c r="L577" s="119"/>
      <c r="M577" s="119"/>
      <c r="N577" s="119"/>
      <c r="O577" s="119"/>
      <c r="P577" s="119"/>
      <c r="Q577" s="119"/>
      <c r="R577" s="119"/>
      <c r="S577" s="119"/>
      <c r="T577" s="119"/>
      <c r="U577" s="120"/>
      <c r="W577" s="35" t="str">
        <f>"-- "&amp;C577</f>
        <v>-- バックアップ_特定器材関連マスタ登録</v>
      </c>
    </row>
    <row r="578" spans="2:23" ht="18.75" customHeight="1">
      <c r="B578" s="43" t="s">
        <v>159</v>
      </c>
      <c r="C578" s="121" t="str">
        <f>C580&amp;"テーブルのレコードを"&amp;R580&amp;"テーブルに格納する。"</f>
        <v>特定器材関連マスタテーブルのレコードをバックアップ_特定器材関連マスタテーブルに格納する。</v>
      </c>
      <c r="D578" s="122"/>
      <c r="E578" s="122"/>
      <c r="F578" s="122"/>
      <c r="G578" s="122"/>
      <c r="H578" s="122"/>
      <c r="I578" s="122"/>
      <c r="J578" s="122"/>
      <c r="K578" s="122"/>
      <c r="L578" s="122"/>
      <c r="M578" s="122"/>
      <c r="N578" s="122"/>
      <c r="O578" s="122"/>
      <c r="P578" s="122"/>
      <c r="Q578" s="122"/>
      <c r="R578" s="122"/>
      <c r="S578" s="122"/>
      <c r="T578" s="122"/>
      <c r="U578" s="123"/>
      <c r="W578" s="35" t="str">
        <f>"-- "&amp;C578</f>
        <v>-- 特定器材関連マスタテーブルのレコードをバックアップ_特定器材関連マスタテーブルに格納する。</v>
      </c>
    </row>
    <row r="580" spans="2:23" ht="18.75" customHeight="1">
      <c r="C580" s="110" t="s">
        <v>3596</v>
      </c>
      <c r="D580" s="111"/>
      <c r="E580" s="116" t="s">
        <v>162</v>
      </c>
      <c r="F580" s="36"/>
      <c r="G580" s="36"/>
      <c r="H580" s="36"/>
      <c r="I580" s="36"/>
      <c r="J580" s="36"/>
      <c r="K580" s="36"/>
      <c r="L580" s="36"/>
      <c r="M580" s="36"/>
      <c r="N580" s="36"/>
      <c r="O580" s="36"/>
      <c r="P580" s="36"/>
      <c r="Q580" s="36"/>
      <c r="R580" s="110" t="str">
        <f>"バックアップ_"&amp;SUBSTITUTE(C580,"_結合","")</f>
        <v>バックアップ_特定器材関連マスタ</v>
      </c>
      <c r="S580" s="111"/>
      <c r="T580" s="114" t="str">
        <f>エンティティ一覧!$O$2</f>
        <v>milscm_2023_009</v>
      </c>
    </row>
    <row r="581" spans="2:23" ht="18.75" customHeight="1">
      <c r="C581" s="112"/>
      <c r="D581" s="113"/>
      <c r="E581" s="117"/>
      <c r="F581" s="37"/>
      <c r="G581" s="37"/>
      <c r="H581" s="37"/>
      <c r="I581" s="37"/>
      <c r="J581" s="37"/>
      <c r="K581" s="37"/>
      <c r="L581" s="37"/>
      <c r="M581" s="37"/>
      <c r="N581" s="37"/>
      <c r="O581" s="37"/>
      <c r="P581" s="37"/>
      <c r="Q581" s="37"/>
      <c r="R581" s="112"/>
      <c r="S581" s="113"/>
      <c r="T581" s="115"/>
    </row>
    <row r="583" spans="2:23" ht="18.75" customHeight="1" thickBot="1">
      <c r="B583" s="42"/>
      <c r="C583" s="42"/>
      <c r="D583" s="42"/>
      <c r="E583" s="42"/>
      <c r="F583" s="42"/>
      <c r="G583" s="42"/>
      <c r="H583" s="42"/>
      <c r="I583" s="42"/>
      <c r="J583" s="42"/>
      <c r="K583" s="42"/>
      <c r="L583" s="42"/>
      <c r="M583" s="42"/>
      <c r="N583" s="42"/>
      <c r="O583" s="42"/>
      <c r="P583" s="42"/>
      <c r="Q583" s="42"/>
      <c r="R583" s="42"/>
      <c r="S583" s="42"/>
      <c r="T583" s="42"/>
      <c r="U583" s="42"/>
    </row>
    <row r="585" spans="2:23" ht="18.75" customHeight="1">
      <c r="B585" s="43" t="s">
        <v>163</v>
      </c>
      <c r="C585" s="51" t="s">
        <v>3597</v>
      </c>
      <c r="D585" s="88"/>
      <c r="W585" s="35" t="str">
        <f>"-- "&amp;B585&amp;" : "&amp;C585</f>
        <v>-- SQL_ID : 01_A4-11</v>
      </c>
    </row>
    <row r="586" spans="2:23" ht="18.75" customHeight="1">
      <c r="B586" s="43" t="s">
        <v>158</v>
      </c>
      <c r="C586" s="118" t="str">
        <f>R589&amp;"登録"</f>
        <v>バックアップ_DPC関連マスタ登録</v>
      </c>
      <c r="D586" s="119"/>
      <c r="E586" s="119"/>
      <c r="F586" s="119"/>
      <c r="G586" s="119"/>
      <c r="H586" s="119"/>
      <c r="I586" s="119"/>
      <c r="J586" s="119"/>
      <c r="K586" s="119"/>
      <c r="L586" s="119"/>
      <c r="M586" s="119"/>
      <c r="N586" s="119"/>
      <c r="O586" s="119"/>
      <c r="P586" s="119"/>
      <c r="Q586" s="119"/>
      <c r="R586" s="119"/>
      <c r="S586" s="119"/>
      <c r="T586" s="119"/>
      <c r="U586" s="120"/>
      <c r="W586" s="35" t="str">
        <f>"-- "&amp;C586</f>
        <v>-- バックアップ_DPC関連マスタ登録</v>
      </c>
    </row>
    <row r="587" spans="2:23" ht="18.75" customHeight="1">
      <c r="B587" s="43" t="s">
        <v>159</v>
      </c>
      <c r="C587" s="121" t="str">
        <f>C589&amp;"テーブルのレコードを"&amp;R589&amp;"テーブルに格納する。"</f>
        <v>DPC関連マスタテーブルのレコードをバックアップ_DPC関連マスタテーブルに格納する。</v>
      </c>
      <c r="D587" s="122"/>
      <c r="E587" s="122"/>
      <c r="F587" s="122"/>
      <c r="G587" s="122"/>
      <c r="H587" s="122"/>
      <c r="I587" s="122"/>
      <c r="J587" s="122"/>
      <c r="K587" s="122"/>
      <c r="L587" s="122"/>
      <c r="M587" s="122"/>
      <c r="N587" s="122"/>
      <c r="O587" s="122"/>
      <c r="P587" s="122"/>
      <c r="Q587" s="122"/>
      <c r="R587" s="122"/>
      <c r="S587" s="122"/>
      <c r="T587" s="122"/>
      <c r="U587" s="123"/>
      <c r="W587" s="35" t="str">
        <f>"-- "&amp;C587</f>
        <v>-- DPC関連マスタテーブルのレコードをバックアップ_DPC関連マスタテーブルに格納する。</v>
      </c>
    </row>
    <row r="589" spans="2:23" ht="18.75" customHeight="1">
      <c r="C589" s="110" t="s">
        <v>3598</v>
      </c>
      <c r="D589" s="111"/>
      <c r="E589" s="116" t="s">
        <v>162</v>
      </c>
      <c r="F589" s="36"/>
      <c r="G589" s="36"/>
      <c r="H589" s="36"/>
      <c r="I589" s="36"/>
      <c r="J589" s="36"/>
      <c r="K589" s="36"/>
      <c r="L589" s="36"/>
      <c r="M589" s="36"/>
      <c r="N589" s="36"/>
      <c r="O589" s="36"/>
      <c r="P589" s="36"/>
      <c r="Q589" s="36"/>
      <c r="R589" s="110" t="str">
        <f>"バックアップ_"&amp;SUBSTITUTE(C589,"_結合","")</f>
        <v>バックアップ_DPC関連マスタ</v>
      </c>
      <c r="S589" s="111"/>
      <c r="T589" s="114" t="str">
        <f>エンティティ一覧!$O$2</f>
        <v>milscm_2023_009</v>
      </c>
    </row>
    <row r="590" spans="2:23" ht="18.75" customHeight="1">
      <c r="C590" s="112"/>
      <c r="D590" s="113"/>
      <c r="E590" s="117"/>
      <c r="F590" s="37"/>
      <c r="G590" s="37"/>
      <c r="H590" s="37"/>
      <c r="I590" s="37"/>
      <c r="J590" s="37"/>
      <c r="K590" s="37"/>
      <c r="L590" s="37"/>
      <c r="M590" s="37"/>
      <c r="N590" s="37"/>
      <c r="O590" s="37"/>
      <c r="P590" s="37"/>
      <c r="Q590" s="37"/>
      <c r="R590" s="112"/>
      <c r="S590" s="113"/>
      <c r="T590" s="115"/>
    </row>
    <row r="592" spans="2:23" ht="18.75" customHeight="1" thickBot="1">
      <c r="B592" s="42"/>
      <c r="C592" s="42"/>
      <c r="D592" s="42"/>
      <c r="E592" s="42"/>
      <c r="F592" s="42"/>
      <c r="G592" s="42"/>
      <c r="H592" s="42"/>
      <c r="I592" s="42"/>
      <c r="J592" s="42"/>
      <c r="K592" s="42"/>
      <c r="L592" s="42"/>
      <c r="M592" s="42"/>
      <c r="N592" s="42"/>
      <c r="O592" s="42"/>
      <c r="P592" s="42"/>
      <c r="Q592" s="42"/>
      <c r="R592" s="42"/>
      <c r="S592" s="42"/>
      <c r="T592" s="42"/>
      <c r="U592" s="42"/>
    </row>
    <row r="594" spans="2:23" ht="18.75" customHeight="1">
      <c r="B594" s="43" t="s">
        <v>163</v>
      </c>
      <c r="C594" s="51" t="s">
        <v>3599</v>
      </c>
      <c r="D594" s="88"/>
      <c r="W594" s="35" t="str">
        <f>"-- "&amp;B594&amp;" : "&amp;C594</f>
        <v>-- SQL_ID : 01_A4-12</v>
      </c>
    </row>
    <row r="595" spans="2:23" ht="18.75" customHeight="1">
      <c r="B595" s="43" t="s">
        <v>158</v>
      </c>
      <c r="C595" s="118" t="str">
        <f>R598&amp;"登録"</f>
        <v>バックアップ_疾患関連マスタ登録</v>
      </c>
      <c r="D595" s="119"/>
      <c r="E595" s="119"/>
      <c r="F595" s="119"/>
      <c r="G595" s="119"/>
      <c r="H595" s="119"/>
      <c r="I595" s="119"/>
      <c r="J595" s="119"/>
      <c r="K595" s="119"/>
      <c r="L595" s="119"/>
      <c r="M595" s="119"/>
      <c r="N595" s="119"/>
      <c r="O595" s="119"/>
      <c r="P595" s="119"/>
      <c r="Q595" s="119"/>
      <c r="R595" s="119"/>
      <c r="S595" s="119"/>
      <c r="T595" s="119"/>
      <c r="U595" s="120"/>
      <c r="W595" s="35" t="str">
        <f>"-- "&amp;C595</f>
        <v>-- バックアップ_疾患関連マスタ登録</v>
      </c>
    </row>
    <row r="596" spans="2:23" ht="18.75" customHeight="1">
      <c r="B596" s="43" t="s">
        <v>159</v>
      </c>
      <c r="C596" s="121" t="str">
        <f>C598&amp;"テーブルのレコードを"&amp;R598&amp;"テーブルに格納する。"</f>
        <v>疾患関連マスタテーブルのレコードをバックアップ_疾患関連マスタテーブルに格納する。</v>
      </c>
      <c r="D596" s="122"/>
      <c r="E596" s="122"/>
      <c r="F596" s="122"/>
      <c r="G596" s="122"/>
      <c r="H596" s="122"/>
      <c r="I596" s="122"/>
      <c r="J596" s="122"/>
      <c r="K596" s="122"/>
      <c r="L596" s="122"/>
      <c r="M596" s="122"/>
      <c r="N596" s="122"/>
      <c r="O596" s="122"/>
      <c r="P596" s="122"/>
      <c r="Q596" s="122"/>
      <c r="R596" s="122"/>
      <c r="S596" s="122"/>
      <c r="T596" s="122"/>
      <c r="U596" s="123"/>
      <c r="W596" s="35" t="str">
        <f>"-- "&amp;C596</f>
        <v>-- 疾患関連マスタテーブルのレコードをバックアップ_疾患関連マスタテーブルに格納する。</v>
      </c>
    </row>
    <row r="598" spans="2:23" ht="18.75" customHeight="1">
      <c r="C598" s="110" t="s">
        <v>3600</v>
      </c>
      <c r="D598" s="111"/>
      <c r="E598" s="116" t="s">
        <v>162</v>
      </c>
      <c r="F598" s="36"/>
      <c r="G598" s="36"/>
      <c r="H598" s="36"/>
      <c r="I598" s="36"/>
      <c r="J598" s="36"/>
      <c r="K598" s="36"/>
      <c r="L598" s="36"/>
      <c r="M598" s="36"/>
      <c r="N598" s="36"/>
      <c r="O598" s="36"/>
      <c r="P598" s="36"/>
      <c r="Q598" s="36"/>
      <c r="R598" s="110" t="str">
        <f>"バックアップ_"&amp;SUBSTITUTE(C598,"_結合","")</f>
        <v>バックアップ_疾患関連マスタ</v>
      </c>
      <c r="S598" s="111"/>
      <c r="T598" s="114" t="str">
        <f>エンティティ一覧!$O$2</f>
        <v>milscm_2023_009</v>
      </c>
    </row>
    <row r="599" spans="2:23" ht="18.75" customHeight="1">
      <c r="C599" s="112"/>
      <c r="D599" s="113"/>
      <c r="E599" s="117"/>
      <c r="F599" s="37"/>
      <c r="G599" s="37"/>
      <c r="H599" s="37"/>
      <c r="I599" s="37"/>
      <c r="J599" s="37"/>
      <c r="K599" s="37"/>
      <c r="L599" s="37"/>
      <c r="M599" s="37"/>
      <c r="N599" s="37"/>
      <c r="O599" s="37"/>
      <c r="P599" s="37"/>
      <c r="Q599" s="37"/>
      <c r="R599" s="112"/>
      <c r="S599" s="113"/>
      <c r="T599" s="115"/>
    </row>
    <row r="601" spans="2:23" ht="18.75" customHeight="1" thickBot="1">
      <c r="B601" s="42"/>
      <c r="C601" s="42"/>
      <c r="D601" s="42"/>
      <c r="E601" s="42"/>
      <c r="F601" s="42"/>
      <c r="G601" s="42"/>
      <c r="H601" s="42"/>
      <c r="I601" s="42"/>
      <c r="J601" s="42"/>
      <c r="K601" s="42"/>
      <c r="L601" s="42"/>
      <c r="M601" s="42"/>
      <c r="N601" s="42"/>
      <c r="O601" s="42"/>
      <c r="P601" s="42"/>
      <c r="Q601" s="42"/>
      <c r="R601" s="42"/>
      <c r="S601" s="42"/>
      <c r="T601" s="42"/>
      <c r="U601" s="42"/>
    </row>
    <row r="603" spans="2:23" ht="18.75" customHeight="1">
      <c r="B603" s="43" t="s">
        <v>163</v>
      </c>
      <c r="C603" s="51" t="s">
        <v>3601</v>
      </c>
      <c r="D603" s="88"/>
      <c r="W603" s="35" t="str">
        <f>"-- "&amp;B603&amp;" : "&amp;C603</f>
        <v>-- SQL_ID : 01_A4-13</v>
      </c>
    </row>
    <row r="604" spans="2:23" ht="18.75" customHeight="1">
      <c r="B604" s="43" t="s">
        <v>158</v>
      </c>
      <c r="C604" s="118" t="str">
        <f>R607&amp;"登録"</f>
        <v>バックアップ_医薬品成分関連マスタ登録</v>
      </c>
      <c r="D604" s="119"/>
      <c r="E604" s="119"/>
      <c r="F604" s="119"/>
      <c r="G604" s="119"/>
      <c r="H604" s="119"/>
      <c r="I604" s="119"/>
      <c r="J604" s="119"/>
      <c r="K604" s="119"/>
      <c r="L604" s="119"/>
      <c r="M604" s="119"/>
      <c r="N604" s="119"/>
      <c r="O604" s="119"/>
      <c r="P604" s="119"/>
      <c r="Q604" s="119"/>
      <c r="R604" s="119"/>
      <c r="S604" s="119"/>
      <c r="T604" s="119"/>
      <c r="U604" s="120"/>
      <c r="W604" s="35" t="str">
        <f>"-- "&amp;C604</f>
        <v>-- バックアップ_医薬品成分関連マスタ登録</v>
      </c>
    </row>
    <row r="605" spans="2:23" ht="18.75" customHeight="1">
      <c r="B605" s="43" t="s">
        <v>159</v>
      </c>
      <c r="C605" s="121" t="str">
        <f>C607&amp;"テーブルのレコードを"&amp;R607&amp;"テーブルに格納する。"</f>
        <v>医薬品成分関連マスタテーブルのレコードをバックアップ_医薬品成分関連マスタテーブルに格納する。</v>
      </c>
      <c r="D605" s="122"/>
      <c r="E605" s="122"/>
      <c r="F605" s="122"/>
      <c r="G605" s="122"/>
      <c r="H605" s="122"/>
      <c r="I605" s="122"/>
      <c r="J605" s="122"/>
      <c r="K605" s="122"/>
      <c r="L605" s="122"/>
      <c r="M605" s="122"/>
      <c r="N605" s="122"/>
      <c r="O605" s="122"/>
      <c r="P605" s="122"/>
      <c r="Q605" s="122"/>
      <c r="R605" s="122"/>
      <c r="S605" s="122"/>
      <c r="T605" s="122"/>
      <c r="U605" s="123"/>
      <c r="W605" s="35" t="str">
        <f>"-- "&amp;C605</f>
        <v>-- 医薬品成分関連マスタテーブルのレコードをバックアップ_医薬品成分関連マスタテーブルに格納する。</v>
      </c>
    </row>
    <row r="607" spans="2:23" ht="18.75" customHeight="1">
      <c r="C607" s="110" t="s">
        <v>3602</v>
      </c>
      <c r="D607" s="111"/>
      <c r="E607" s="116" t="s">
        <v>162</v>
      </c>
      <c r="F607" s="36"/>
      <c r="G607" s="36"/>
      <c r="H607" s="36"/>
      <c r="I607" s="36"/>
      <c r="J607" s="36"/>
      <c r="K607" s="36"/>
      <c r="L607" s="36"/>
      <c r="M607" s="36"/>
      <c r="N607" s="36"/>
      <c r="O607" s="36"/>
      <c r="P607" s="36"/>
      <c r="Q607" s="36"/>
      <c r="R607" s="110" t="str">
        <f>"バックアップ_"&amp;SUBSTITUTE(C607,"_結合","")</f>
        <v>バックアップ_医薬品成分関連マスタ</v>
      </c>
      <c r="S607" s="111"/>
      <c r="T607" s="114" t="str">
        <f>エンティティ一覧!$O$2</f>
        <v>milscm_2023_009</v>
      </c>
    </row>
    <row r="608" spans="2:23" ht="18.75" customHeight="1">
      <c r="C608" s="112"/>
      <c r="D608" s="113"/>
      <c r="E608" s="117"/>
      <c r="F608" s="37"/>
      <c r="G608" s="37"/>
      <c r="H608" s="37"/>
      <c r="I608" s="37"/>
      <c r="J608" s="37"/>
      <c r="K608" s="37"/>
      <c r="L608" s="37"/>
      <c r="M608" s="37"/>
      <c r="N608" s="37"/>
      <c r="O608" s="37"/>
      <c r="P608" s="37"/>
      <c r="Q608" s="37"/>
      <c r="R608" s="112"/>
      <c r="S608" s="113"/>
      <c r="T608" s="115"/>
    </row>
    <row r="610" spans="2:23" ht="18.75" customHeight="1" thickBot="1">
      <c r="B610" s="42"/>
      <c r="C610" s="42"/>
      <c r="D610" s="42"/>
      <c r="E610" s="42"/>
      <c r="F610" s="42"/>
      <c r="G610" s="42"/>
      <c r="H610" s="42"/>
      <c r="I610" s="42"/>
      <c r="J610" s="42"/>
      <c r="K610" s="42"/>
      <c r="L610" s="42"/>
      <c r="M610" s="42"/>
      <c r="N610" s="42"/>
      <c r="O610" s="42"/>
      <c r="P610" s="42"/>
      <c r="Q610" s="42"/>
      <c r="R610" s="42"/>
      <c r="S610" s="42"/>
      <c r="T610" s="42"/>
      <c r="U610" s="42"/>
    </row>
    <row r="612" spans="2:23" ht="18.75" customHeight="1">
      <c r="B612" s="43" t="s">
        <v>163</v>
      </c>
      <c r="C612" s="51" t="s">
        <v>3603</v>
      </c>
      <c r="D612" s="88"/>
      <c r="W612" s="35" t="str">
        <f>"-- "&amp;B612&amp;" : "&amp;C612</f>
        <v>-- SQL_ID : 01_A4-14</v>
      </c>
    </row>
    <row r="613" spans="2:23" ht="18.75" customHeight="1">
      <c r="B613" s="43" t="s">
        <v>158</v>
      </c>
      <c r="C613" s="118" t="str">
        <f>R616&amp;"登録"</f>
        <v>バックアップ_医薬品適用病名関連マスタ登録</v>
      </c>
      <c r="D613" s="119"/>
      <c r="E613" s="119"/>
      <c r="F613" s="119"/>
      <c r="G613" s="119"/>
      <c r="H613" s="119"/>
      <c r="I613" s="119"/>
      <c r="J613" s="119"/>
      <c r="K613" s="119"/>
      <c r="L613" s="119"/>
      <c r="M613" s="119"/>
      <c r="N613" s="119"/>
      <c r="O613" s="119"/>
      <c r="P613" s="119"/>
      <c r="Q613" s="119"/>
      <c r="R613" s="119"/>
      <c r="S613" s="119"/>
      <c r="T613" s="119"/>
      <c r="U613" s="120"/>
      <c r="W613" s="35" t="str">
        <f>"-- "&amp;C613</f>
        <v>-- バックアップ_医薬品適用病名関連マスタ登録</v>
      </c>
    </row>
    <row r="614" spans="2:23" ht="18.75" customHeight="1">
      <c r="B614" s="43" t="s">
        <v>159</v>
      </c>
      <c r="C614" s="121" t="str">
        <f>C616&amp;"テーブルのレコードを"&amp;R616&amp;"テーブルに格納する。"</f>
        <v>医薬品適用病名関連マスタテーブルのレコードをバックアップ_医薬品適用病名関連マスタテーブルに格納する。</v>
      </c>
      <c r="D614" s="122"/>
      <c r="E614" s="122"/>
      <c r="F614" s="122"/>
      <c r="G614" s="122"/>
      <c r="H614" s="122"/>
      <c r="I614" s="122"/>
      <c r="J614" s="122"/>
      <c r="K614" s="122"/>
      <c r="L614" s="122"/>
      <c r="M614" s="122"/>
      <c r="N614" s="122"/>
      <c r="O614" s="122"/>
      <c r="P614" s="122"/>
      <c r="Q614" s="122"/>
      <c r="R614" s="122"/>
      <c r="S614" s="122"/>
      <c r="T614" s="122"/>
      <c r="U614" s="123"/>
      <c r="W614" s="35" t="str">
        <f>"-- "&amp;C614</f>
        <v>-- 医薬品適用病名関連マスタテーブルのレコードをバックアップ_医薬品適用病名関連マスタテーブルに格納する。</v>
      </c>
    </row>
    <row r="616" spans="2:23" ht="18.75" customHeight="1">
      <c r="C616" s="110" t="s">
        <v>3604</v>
      </c>
      <c r="D616" s="111"/>
      <c r="E616" s="116" t="s">
        <v>162</v>
      </c>
      <c r="F616" s="36"/>
      <c r="G616" s="36"/>
      <c r="H616" s="36"/>
      <c r="I616" s="36"/>
      <c r="J616" s="36"/>
      <c r="K616" s="36"/>
      <c r="L616" s="36"/>
      <c r="M616" s="36"/>
      <c r="N616" s="36"/>
      <c r="O616" s="36"/>
      <c r="P616" s="36"/>
      <c r="Q616" s="36"/>
      <c r="R616" s="110" t="str">
        <f>"バックアップ_"&amp;SUBSTITUTE(C616,"_結合","")</f>
        <v>バックアップ_医薬品適用病名関連マスタ</v>
      </c>
      <c r="S616" s="111"/>
      <c r="T616" s="114" t="str">
        <f>エンティティ一覧!$O$2</f>
        <v>milscm_2023_009</v>
      </c>
    </row>
    <row r="617" spans="2:23" ht="18.75" customHeight="1">
      <c r="C617" s="112"/>
      <c r="D617" s="113"/>
      <c r="E617" s="117"/>
      <c r="F617" s="37"/>
      <c r="G617" s="37"/>
      <c r="H617" s="37"/>
      <c r="I617" s="37"/>
      <c r="J617" s="37"/>
      <c r="K617" s="37"/>
      <c r="L617" s="37"/>
      <c r="M617" s="37"/>
      <c r="N617" s="37"/>
      <c r="O617" s="37"/>
      <c r="P617" s="37"/>
      <c r="Q617" s="37"/>
      <c r="R617" s="112"/>
      <c r="S617" s="113"/>
      <c r="T617" s="115"/>
    </row>
    <row r="619" spans="2:23" ht="18.75" customHeight="1" thickBot="1">
      <c r="B619" s="42"/>
      <c r="C619" s="42"/>
      <c r="D619" s="42"/>
      <c r="E619" s="42"/>
      <c r="F619" s="42"/>
      <c r="G619" s="42"/>
      <c r="H619" s="42"/>
      <c r="I619" s="42"/>
      <c r="J619" s="42"/>
      <c r="K619" s="42"/>
      <c r="L619" s="42"/>
      <c r="M619" s="42"/>
      <c r="N619" s="42"/>
      <c r="O619" s="42"/>
      <c r="P619" s="42"/>
      <c r="Q619" s="42"/>
      <c r="R619" s="42"/>
      <c r="S619" s="42"/>
      <c r="T619" s="42"/>
      <c r="U619" s="42"/>
    </row>
    <row r="621" spans="2:23" ht="18.75" customHeight="1">
      <c r="B621" s="43" t="s">
        <v>163</v>
      </c>
      <c r="C621" s="51" t="s">
        <v>3605</v>
      </c>
      <c r="D621" s="88"/>
      <c r="W621" s="35" t="str">
        <f>"-- "&amp;B621&amp;" : "&amp;C621</f>
        <v>-- SQL_ID : 01_A6-02</v>
      </c>
    </row>
    <row r="622" spans="2:23" ht="18.75" customHeight="1">
      <c r="B622" s="43" t="s">
        <v>158</v>
      </c>
      <c r="C622" s="118" t="str">
        <f>R625&amp;"登録"</f>
        <v>バックアップ_MML共通登録</v>
      </c>
      <c r="D622" s="119"/>
      <c r="E622" s="119"/>
      <c r="F622" s="119"/>
      <c r="G622" s="119"/>
      <c r="H622" s="119"/>
      <c r="I622" s="119"/>
      <c r="J622" s="119"/>
      <c r="K622" s="119"/>
      <c r="L622" s="119"/>
      <c r="M622" s="119"/>
      <c r="N622" s="119"/>
      <c r="O622" s="119"/>
      <c r="P622" s="119"/>
      <c r="Q622" s="119"/>
      <c r="R622" s="119"/>
      <c r="S622" s="119"/>
      <c r="T622" s="119"/>
      <c r="U622" s="120"/>
      <c r="W622" s="35" t="str">
        <f>"-- "&amp;C622</f>
        <v>-- バックアップ_MML共通登録</v>
      </c>
    </row>
    <row r="623" spans="2:23" ht="18.75" customHeight="1">
      <c r="B623" s="43" t="s">
        <v>159</v>
      </c>
      <c r="C623" s="121" t="str">
        <f>C625&amp;"テーブルから組入れ条件の第一条件で絞り込んだ結果を"&amp;R625&amp;"テーブルに格納する。"</f>
        <v>MML共通テーブルから組入れ条件の第一条件で絞り込んだ結果をバックアップ_MML共通テーブルに格納する。</v>
      </c>
      <c r="D623" s="122"/>
      <c r="E623" s="122"/>
      <c r="F623" s="122"/>
      <c r="G623" s="122"/>
      <c r="H623" s="122"/>
      <c r="I623" s="122"/>
      <c r="J623" s="122"/>
      <c r="K623" s="122"/>
      <c r="L623" s="122"/>
      <c r="M623" s="122"/>
      <c r="N623" s="122"/>
      <c r="O623" s="122"/>
      <c r="P623" s="122"/>
      <c r="Q623" s="122"/>
      <c r="R623" s="122"/>
      <c r="S623" s="122"/>
      <c r="T623" s="122"/>
      <c r="U623" s="123"/>
      <c r="W623" s="35" t="str">
        <f>"-- "&amp;C623</f>
        <v>-- MML共通テーブルから組入れ条件の第一条件で絞り込んだ結果をバックアップ_MML共通テーブルに格納する。</v>
      </c>
    </row>
    <row r="625" spans="2:23" ht="18.75" customHeight="1">
      <c r="C625" s="110" t="s">
        <v>3606</v>
      </c>
      <c r="D625" s="111"/>
      <c r="E625" s="116" t="s">
        <v>162</v>
      </c>
      <c r="F625" s="36"/>
      <c r="G625" s="36"/>
      <c r="H625" s="36"/>
      <c r="I625" s="36"/>
      <c r="J625" s="36"/>
      <c r="M625" s="36"/>
      <c r="N625" s="36"/>
      <c r="O625" s="36"/>
      <c r="P625" s="36"/>
      <c r="Q625" s="36"/>
      <c r="R625" s="110" t="str">
        <f>"バックアップ_"&amp;SUBSTITUTE(C625,"_結合","")</f>
        <v>バックアップ_MML共通</v>
      </c>
      <c r="S625" s="111"/>
      <c r="T625" s="114" t="str">
        <f>エンティティ一覧!$O$2</f>
        <v>milscm_2023_009</v>
      </c>
    </row>
    <row r="626" spans="2:23" ht="18.75" customHeight="1">
      <c r="C626" s="112"/>
      <c r="D626" s="113"/>
      <c r="E626" s="117"/>
      <c r="F626" s="37"/>
      <c r="G626" s="37"/>
      <c r="H626" s="37"/>
      <c r="I626" s="37"/>
      <c r="J626" s="37"/>
      <c r="K626" s="37"/>
      <c r="L626" s="38"/>
      <c r="M626" s="37"/>
      <c r="N626" s="37"/>
      <c r="O626" s="37"/>
      <c r="P626" s="37"/>
      <c r="Q626" s="37"/>
      <c r="R626" s="112"/>
      <c r="S626" s="113"/>
      <c r="T626" s="115"/>
    </row>
    <row r="627" spans="2:23" ht="18.75" customHeight="1">
      <c r="K627" s="39"/>
      <c r="L627" s="40"/>
    </row>
    <row r="628" spans="2:23" ht="18.75" customHeight="1">
      <c r="C628" s="110" t="s">
        <v>3185</v>
      </c>
      <c r="D628" s="111"/>
      <c r="E628" s="114" t="str">
        <f>エンティティ一覧!$O$2</f>
        <v>milscm_2023_009</v>
      </c>
      <c r="F628" s="36"/>
      <c r="G628" s="36"/>
      <c r="H628" s="36"/>
      <c r="I628" s="36"/>
      <c r="J628" s="36"/>
      <c r="L628" s="41"/>
    </row>
    <row r="629" spans="2:23" ht="18.75" customHeight="1">
      <c r="C629" s="112"/>
      <c r="D629" s="113"/>
      <c r="E629" s="115"/>
      <c r="F629" s="37"/>
      <c r="G629" s="37"/>
      <c r="H629" s="37"/>
      <c r="I629" s="37"/>
      <c r="J629" s="37"/>
      <c r="K629" s="37"/>
    </row>
    <row r="631" spans="2:23" ht="18.75" customHeight="1" thickBot="1">
      <c r="B631" s="42"/>
      <c r="C631" s="42"/>
      <c r="D631" s="42"/>
      <c r="E631" s="42"/>
      <c r="F631" s="42"/>
      <c r="G631" s="42"/>
      <c r="H631" s="42"/>
      <c r="I631" s="42"/>
      <c r="J631" s="42"/>
      <c r="K631" s="42"/>
      <c r="L631" s="42"/>
      <c r="M631" s="42"/>
      <c r="N631" s="42"/>
      <c r="O631" s="42"/>
      <c r="P631" s="42"/>
      <c r="Q631" s="42"/>
      <c r="R631" s="42"/>
      <c r="S631" s="42"/>
      <c r="T631" s="42"/>
      <c r="U631" s="42"/>
    </row>
    <row r="633" spans="2:23" ht="18.75" customHeight="1">
      <c r="B633" s="43" t="s">
        <v>163</v>
      </c>
      <c r="C633" s="51" t="s">
        <v>3973</v>
      </c>
      <c r="D633" s="100"/>
      <c r="W633" s="35" t="str">
        <f>"-- "&amp;B633&amp;" : "&amp;C633</f>
        <v>-- SQL_ID : 01_A6-02-01</v>
      </c>
    </row>
    <row r="634" spans="2:23" ht="18.75" customHeight="1">
      <c r="B634" s="43" t="s">
        <v>158</v>
      </c>
      <c r="C634" s="118" t="s">
        <v>3974</v>
      </c>
      <c r="D634" s="119"/>
      <c r="E634" s="119"/>
      <c r="F634" s="119"/>
      <c r="G634" s="119"/>
      <c r="H634" s="119"/>
      <c r="I634" s="119"/>
      <c r="J634" s="119"/>
      <c r="K634" s="119"/>
      <c r="L634" s="119"/>
      <c r="M634" s="119"/>
      <c r="N634" s="119"/>
      <c r="O634" s="119"/>
      <c r="P634" s="119"/>
      <c r="Q634" s="119"/>
      <c r="R634" s="119"/>
      <c r="S634" s="119"/>
      <c r="T634" s="119"/>
      <c r="U634" s="120"/>
      <c r="W634" s="35" t="str">
        <f>"-- "&amp;C634</f>
        <v>-- バックアップ_MML共通_名古屋第一_Lb登録</v>
      </c>
    </row>
    <row r="635" spans="2:23" ht="18.75" customHeight="1">
      <c r="B635" s="43" t="s">
        <v>159</v>
      </c>
      <c r="C635" s="121" t="str">
        <f>C637&amp;"テーブルから名古屋第一、Lbモジュールの条件で絞り込んだ結果を"&amp;R637&amp;"テーブルに格納する。"</f>
        <v>MML共通テーブルから名古屋第一、Lbモジュールの条件で絞り込んだ結果をバックアップ_MML共通テーブルに格納する。</v>
      </c>
      <c r="D635" s="122"/>
      <c r="E635" s="122"/>
      <c r="F635" s="122"/>
      <c r="G635" s="122"/>
      <c r="H635" s="122"/>
      <c r="I635" s="122"/>
      <c r="J635" s="122"/>
      <c r="K635" s="122"/>
      <c r="L635" s="122"/>
      <c r="M635" s="122"/>
      <c r="N635" s="122"/>
      <c r="O635" s="122"/>
      <c r="P635" s="122"/>
      <c r="Q635" s="122"/>
      <c r="R635" s="122"/>
      <c r="S635" s="122"/>
      <c r="T635" s="122"/>
      <c r="U635" s="123"/>
      <c r="W635" s="35" t="str">
        <f>"-- "&amp;C635</f>
        <v>-- MML共通テーブルから名古屋第一、Lbモジュールの条件で絞り込んだ結果をバックアップ_MML共通テーブルに格納する。</v>
      </c>
    </row>
    <row r="637" spans="2:23" ht="18.75" customHeight="1">
      <c r="C637" s="110" t="s">
        <v>3606</v>
      </c>
      <c r="D637" s="111"/>
      <c r="E637" s="116" t="s">
        <v>162</v>
      </c>
      <c r="F637" s="36"/>
      <c r="G637" s="36"/>
      <c r="H637" s="36"/>
      <c r="I637" s="36"/>
      <c r="J637" s="36"/>
      <c r="M637" s="36"/>
      <c r="N637" s="36"/>
      <c r="O637" s="36"/>
      <c r="P637" s="36"/>
      <c r="Q637" s="36"/>
      <c r="R637" s="110" t="str">
        <f>"バックアップ_"&amp;SUBSTITUTE(C637,"_結合","")</f>
        <v>バックアップ_MML共通</v>
      </c>
      <c r="S637" s="111"/>
      <c r="T637" s="114" t="str">
        <f>エンティティ一覧!$O$2</f>
        <v>milscm_2023_009</v>
      </c>
    </row>
    <row r="638" spans="2:23" ht="18.75" customHeight="1">
      <c r="C638" s="112"/>
      <c r="D638" s="113"/>
      <c r="E638" s="117"/>
      <c r="F638" s="37"/>
      <c r="G638" s="37"/>
      <c r="H638" s="37"/>
      <c r="I638" s="37"/>
      <c r="J638" s="37"/>
      <c r="K638" s="37"/>
      <c r="L638" s="37"/>
      <c r="M638" s="37"/>
      <c r="N638" s="37"/>
      <c r="O638" s="37"/>
      <c r="P638" s="37"/>
      <c r="Q638" s="37"/>
      <c r="R638" s="112"/>
      <c r="S638" s="113"/>
      <c r="T638" s="115"/>
    </row>
    <row r="639" spans="2:23" ht="18.75" customHeight="1">
      <c r="K639" s="39"/>
      <c r="L639" s="101"/>
    </row>
    <row r="640" spans="2:23" ht="18.75" customHeight="1" thickBot="1">
      <c r="B640" s="42"/>
      <c r="C640" s="42"/>
      <c r="D640" s="42"/>
      <c r="E640" s="42"/>
      <c r="F640" s="42"/>
      <c r="G640" s="42"/>
      <c r="H640" s="42"/>
      <c r="I640" s="42"/>
      <c r="J640" s="42"/>
      <c r="K640" s="42"/>
      <c r="L640" s="42"/>
      <c r="M640" s="42"/>
      <c r="N640" s="42"/>
      <c r="O640" s="42"/>
      <c r="P640" s="42"/>
      <c r="Q640" s="42"/>
      <c r="R640" s="42"/>
      <c r="S640" s="42"/>
      <c r="T640" s="42"/>
      <c r="U640" s="42"/>
    </row>
    <row r="642" spans="2:23" ht="18.75" customHeight="1">
      <c r="B642" s="43" t="s">
        <v>163</v>
      </c>
      <c r="C642" s="51" t="s">
        <v>3607</v>
      </c>
      <c r="D642" s="88"/>
      <c r="W642" s="35" t="str">
        <f>"-- "&amp;B642&amp;" : "&amp;C642</f>
        <v>-- SQL_ID : 01_A6-03</v>
      </c>
    </row>
    <row r="643" spans="2:23" ht="18.75" customHeight="1">
      <c r="B643" s="43" t="s">
        <v>158</v>
      </c>
      <c r="C643" s="118" t="str">
        <f>R646&amp;"登録"</f>
        <v>バックアップ_MML_診断履歴情報モジュール_本文登録</v>
      </c>
      <c r="D643" s="119"/>
      <c r="E643" s="119"/>
      <c r="F643" s="119"/>
      <c r="G643" s="119"/>
      <c r="H643" s="119"/>
      <c r="I643" s="119"/>
      <c r="J643" s="119"/>
      <c r="K643" s="119"/>
      <c r="L643" s="119"/>
      <c r="M643" s="119"/>
      <c r="N643" s="119"/>
      <c r="O643" s="119"/>
      <c r="P643" s="119"/>
      <c r="Q643" s="119"/>
      <c r="R643" s="119"/>
      <c r="S643" s="119"/>
      <c r="T643" s="119"/>
      <c r="U643" s="120"/>
      <c r="W643" s="35" t="str">
        <f>"-- "&amp;C643</f>
        <v>-- バックアップ_MML_診断履歴情報モジュール_本文登録</v>
      </c>
    </row>
    <row r="644" spans="2:23" ht="18.75" customHeight="1">
      <c r="B644" s="43" t="s">
        <v>159</v>
      </c>
      <c r="C644" s="121" t="str">
        <f>C646&amp;"テーブルから組入れ条件の第一条件で絞り込んだ結果を"&amp;R646&amp;"テーブルに格納する。"</f>
        <v>MML_診断履歴情報モジュール_本文テーブルから組入れ条件の第一条件で絞り込んだ結果をバックアップ_MML_診断履歴情報モジュール_本文テーブルに格納する。</v>
      </c>
      <c r="D644" s="122"/>
      <c r="E644" s="122"/>
      <c r="F644" s="122"/>
      <c r="G644" s="122"/>
      <c r="H644" s="122"/>
      <c r="I644" s="122"/>
      <c r="J644" s="122"/>
      <c r="K644" s="122"/>
      <c r="L644" s="122"/>
      <c r="M644" s="122"/>
      <c r="N644" s="122"/>
      <c r="O644" s="122"/>
      <c r="P644" s="122"/>
      <c r="Q644" s="122"/>
      <c r="R644" s="122"/>
      <c r="S644" s="122"/>
      <c r="T644" s="122"/>
      <c r="U644" s="123"/>
      <c r="W644" s="35" t="str">
        <f>"-- "&amp;C644</f>
        <v>-- MML_診断履歴情報モジュール_本文テーブルから組入れ条件の第一条件で絞り込んだ結果をバックアップ_MML_診断履歴情報モジュール_本文テーブルに格納する。</v>
      </c>
    </row>
    <row r="646" spans="2:23" ht="18.75" customHeight="1">
      <c r="C646" s="110" t="s">
        <v>3608</v>
      </c>
      <c r="D646" s="111"/>
      <c r="E646" s="116" t="s">
        <v>162</v>
      </c>
      <c r="H646" s="36"/>
      <c r="I646" s="36"/>
      <c r="J646" s="36"/>
      <c r="K646" s="36"/>
      <c r="L646" s="36"/>
      <c r="M646" s="36"/>
      <c r="N646" s="36"/>
      <c r="O646" s="36"/>
      <c r="P646" s="36"/>
      <c r="Q646" s="36"/>
      <c r="R646" s="110" t="str">
        <f>"バックアップ_"&amp;SUBSTITUTE(C646,"_結合","")</f>
        <v>バックアップ_MML_診断履歴情報モジュール_本文</v>
      </c>
      <c r="S646" s="111"/>
      <c r="T646" s="114" t="str">
        <f>エンティティ一覧!$O$2</f>
        <v>milscm_2023_009</v>
      </c>
    </row>
    <row r="647" spans="2:23" ht="18.75" customHeight="1">
      <c r="C647" s="112"/>
      <c r="D647" s="113"/>
      <c r="E647" s="117"/>
      <c r="F647" s="37"/>
      <c r="G647" s="38"/>
      <c r="H647" s="37"/>
      <c r="I647" s="37"/>
      <c r="J647" s="37"/>
      <c r="K647" s="37"/>
      <c r="L647" s="37"/>
      <c r="M647" s="37"/>
      <c r="N647" s="37"/>
      <c r="O647" s="37"/>
      <c r="P647" s="37"/>
      <c r="Q647" s="37"/>
      <c r="R647" s="112"/>
      <c r="S647" s="113"/>
      <c r="T647" s="115"/>
    </row>
    <row r="648" spans="2:23" ht="18.75" customHeight="1">
      <c r="F648" s="39"/>
      <c r="G648" s="40"/>
    </row>
    <row r="649" spans="2:23" ht="18.75" customHeight="1">
      <c r="C649" s="110" t="s">
        <v>3185</v>
      </c>
      <c r="D649" s="111"/>
      <c r="E649" s="114" t="str">
        <f>エンティティ一覧!$O$2</f>
        <v>milscm_2023_009</v>
      </c>
      <c r="G649" s="41"/>
    </row>
    <row r="650" spans="2:23" ht="18.75" customHeight="1">
      <c r="C650" s="112"/>
      <c r="D650" s="113"/>
      <c r="E650" s="115"/>
      <c r="F650" s="37"/>
    </row>
    <row r="652" spans="2:23" ht="18.75" customHeight="1" thickBot="1">
      <c r="B652" s="42"/>
      <c r="C652" s="42"/>
      <c r="D652" s="42"/>
      <c r="E652" s="42"/>
      <c r="F652" s="42"/>
      <c r="G652" s="42"/>
      <c r="H652" s="42"/>
      <c r="I652" s="42"/>
      <c r="J652" s="42"/>
      <c r="K652" s="42"/>
      <c r="L652" s="42"/>
      <c r="M652" s="42"/>
      <c r="N652" s="42"/>
      <c r="O652" s="42"/>
      <c r="P652" s="42"/>
      <c r="Q652" s="42"/>
      <c r="R652" s="42"/>
      <c r="S652" s="42"/>
      <c r="T652" s="42"/>
      <c r="U652" s="42"/>
    </row>
    <row r="654" spans="2:23" ht="18.75" customHeight="1">
      <c r="B654" s="43" t="s">
        <v>163</v>
      </c>
      <c r="C654" s="51" t="s">
        <v>3609</v>
      </c>
      <c r="D654" s="88"/>
      <c r="W654" s="35" t="str">
        <f>"-- "&amp;B654&amp;" : "&amp;C654</f>
        <v>-- SQL_ID : 01_A6-04</v>
      </c>
    </row>
    <row r="655" spans="2:23" ht="18.75" customHeight="1">
      <c r="B655" s="43" t="s">
        <v>158</v>
      </c>
      <c r="C655" s="118" t="str">
        <f>R658&amp;"登録"</f>
        <v>バックアップ_MML_診断履歴情報モジュール_病名登録</v>
      </c>
      <c r="D655" s="119"/>
      <c r="E655" s="119"/>
      <c r="F655" s="119"/>
      <c r="G655" s="119"/>
      <c r="H655" s="119"/>
      <c r="I655" s="119"/>
      <c r="J655" s="119"/>
      <c r="K655" s="119"/>
      <c r="L655" s="119"/>
      <c r="M655" s="119"/>
      <c r="N655" s="119"/>
      <c r="O655" s="119"/>
      <c r="P655" s="119"/>
      <c r="Q655" s="119"/>
      <c r="R655" s="119"/>
      <c r="S655" s="119"/>
      <c r="T655" s="119"/>
      <c r="U655" s="120"/>
      <c r="W655" s="35" t="str">
        <f>"-- "&amp;C655</f>
        <v>-- バックアップ_MML_診断履歴情報モジュール_病名登録</v>
      </c>
    </row>
    <row r="656" spans="2:23" ht="18.75" customHeight="1">
      <c r="B656" s="43" t="s">
        <v>159</v>
      </c>
      <c r="C656" s="121" t="str">
        <f>C658&amp;"テーブルから組入れ条件の第一条件で絞り込んだ結果を"&amp;R658&amp;"テーブルに格納する。"</f>
        <v>MML_診断履歴情報モジュール_病名テーブルから組入れ条件の第一条件で絞り込んだ結果をバックアップ_MML_診断履歴情報モジュール_病名テーブルに格納する。</v>
      </c>
      <c r="D656" s="122"/>
      <c r="E656" s="122"/>
      <c r="F656" s="122"/>
      <c r="G656" s="122"/>
      <c r="H656" s="122"/>
      <c r="I656" s="122"/>
      <c r="J656" s="122"/>
      <c r="K656" s="122"/>
      <c r="L656" s="122"/>
      <c r="M656" s="122"/>
      <c r="N656" s="122"/>
      <c r="O656" s="122"/>
      <c r="P656" s="122"/>
      <c r="Q656" s="122"/>
      <c r="R656" s="122"/>
      <c r="S656" s="122"/>
      <c r="T656" s="122"/>
      <c r="U656" s="123"/>
      <c r="W656" s="35" t="str">
        <f>"-- "&amp;C656</f>
        <v>-- MML_診断履歴情報モジュール_病名テーブルから組入れ条件の第一条件で絞り込んだ結果をバックアップ_MML_診断履歴情報モジュール_病名テーブルに格納する。</v>
      </c>
    </row>
    <row r="658" spans="2:23" ht="18.75" customHeight="1">
      <c r="C658" s="110" t="s">
        <v>3610</v>
      </c>
      <c r="D658" s="111"/>
      <c r="E658" s="116" t="s">
        <v>162</v>
      </c>
      <c r="H658" s="36"/>
      <c r="I658" s="36"/>
      <c r="J658" s="36"/>
      <c r="K658" s="36"/>
      <c r="L658" s="36"/>
      <c r="M658" s="36"/>
      <c r="N658" s="36"/>
      <c r="O658" s="36"/>
      <c r="P658" s="36"/>
      <c r="Q658" s="36"/>
      <c r="R658" s="110" t="str">
        <f>"バックアップ_"&amp;SUBSTITUTE(C658,"_結合","")</f>
        <v>バックアップ_MML_診断履歴情報モジュール_病名</v>
      </c>
      <c r="S658" s="111"/>
      <c r="T658" s="114" t="str">
        <f>エンティティ一覧!$O$2</f>
        <v>milscm_2023_009</v>
      </c>
    </row>
    <row r="659" spans="2:23" ht="18.75" customHeight="1">
      <c r="C659" s="112"/>
      <c r="D659" s="113"/>
      <c r="E659" s="117"/>
      <c r="F659" s="37"/>
      <c r="G659" s="38"/>
      <c r="H659" s="37"/>
      <c r="I659" s="37"/>
      <c r="J659" s="37"/>
      <c r="K659" s="37"/>
      <c r="L659" s="37"/>
      <c r="M659" s="37"/>
      <c r="N659" s="37"/>
      <c r="O659" s="37"/>
      <c r="P659" s="37"/>
      <c r="Q659" s="37"/>
      <c r="R659" s="112"/>
      <c r="S659" s="113"/>
      <c r="T659" s="115"/>
    </row>
    <row r="660" spans="2:23" ht="18.75" customHeight="1">
      <c r="F660" s="39"/>
      <c r="G660" s="40"/>
    </row>
    <row r="661" spans="2:23" ht="18.75" customHeight="1">
      <c r="C661" s="110" t="s">
        <v>3185</v>
      </c>
      <c r="D661" s="111"/>
      <c r="E661" s="114" t="str">
        <f>エンティティ一覧!$O$2</f>
        <v>milscm_2023_009</v>
      </c>
      <c r="G661" s="41"/>
    </row>
    <row r="662" spans="2:23" ht="18.75" customHeight="1">
      <c r="C662" s="112"/>
      <c r="D662" s="113"/>
      <c r="E662" s="115"/>
      <c r="F662" s="37"/>
    </row>
    <row r="664" spans="2:23" ht="18.75" customHeight="1" thickBot="1">
      <c r="B664" s="42"/>
      <c r="C664" s="42"/>
      <c r="D664" s="42"/>
      <c r="E664" s="42"/>
      <c r="F664" s="42"/>
      <c r="G664" s="42"/>
      <c r="H664" s="42"/>
      <c r="I664" s="42"/>
      <c r="J664" s="42"/>
      <c r="K664" s="42"/>
      <c r="L664" s="42"/>
      <c r="M664" s="42"/>
      <c r="N664" s="42"/>
      <c r="O664" s="42"/>
      <c r="P664" s="42"/>
      <c r="Q664" s="42"/>
      <c r="R664" s="42"/>
      <c r="S664" s="42"/>
      <c r="T664" s="42"/>
      <c r="U664" s="42"/>
    </row>
    <row r="666" spans="2:23" ht="18.75" customHeight="1">
      <c r="B666" s="43" t="s">
        <v>163</v>
      </c>
      <c r="C666" s="51" t="s">
        <v>3611</v>
      </c>
      <c r="D666" s="88"/>
      <c r="W666" s="35" t="str">
        <f>"-- "&amp;B666&amp;" : "&amp;C666</f>
        <v>-- SQL_ID : 01_A6-05</v>
      </c>
    </row>
    <row r="667" spans="2:23" ht="18.75" customHeight="1">
      <c r="B667" s="43" t="s">
        <v>158</v>
      </c>
      <c r="C667" s="118" t="str">
        <f>R670&amp;"登録"</f>
        <v>バックアップ_MML_診断履歴情報モジュール_カテゴリ名登録</v>
      </c>
      <c r="D667" s="119"/>
      <c r="E667" s="119"/>
      <c r="F667" s="119"/>
      <c r="G667" s="119"/>
      <c r="H667" s="119"/>
      <c r="I667" s="119"/>
      <c r="J667" s="119"/>
      <c r="K667" s="119"/>
      <c r="L667" s="119"/>
      <c r="M667" s="119"/>
      <c r="N667" s="119"/>
      <c r="O667" s="119"/>
      <c r="P667" s="119"/>
      <c r="Q667" s="119"/>
      <c r="R667" s="119"/>
      <c r="S667" s="119"/>
      <c r="T667" s="119"/>
      <c r="U667" s="120"/>
      <c r="W667" s="35" t="str">
        <f>"-- "&amp;C667</f>
        <v>-- バックアップ_MML_診断履歴情報モジュール_カテゴリ名登録</v>
      </c>
    </row>
    <row r="668" spans="2:23" ht="18.75" customHeight="1">
      <c r="B668" s="43" t="s">
        <v>159</v>
      </c>
      <c r="C668" s="121" t="str">
        <f>C670&amp;"テーブルから組入れ条件の第一条件で絞り込んだ結果を"&amp;R670&amp;"テーブルに格納する。"</f>
        <v>MML_診断履歴情報モジュール_カテゴリ名テーブルから組入れ条件の第一条件で絞り込んだ結果をバックアップ_MML_診断履歴情報モジュール_カテゴリ名テーブルに格納する。</v>
      </c>
      <c r="D668" s="122"/>
      <c r="E668" s="122"/>
      <c r="F668" s="122"/>
      <c r="G668" s="122"/>
      <c r="H668" s="122"/>
      <c r="I668" s="122"/>
      <c r="J668" s="122"/>
      <c r="K668" s="122"/>
      <c r="L668" s="122"/>
      <c r="M668" s="122"/>
      <c r="N668" s="122"/>
      <c r="O668" s="122"/>
      <c r="P668" s="122"/>
      <c r="Q668" s="122"/>
      <c r="R668" s="122"/>
      <c r="S668" s="122"/>
      <c r="T668" s="122"/>
      <c r="U668" s="123"/>
      <c r="W668" s="35" t="str">
        <f>"-- "&amp;C668</f>
        <v>-- MML_診断履歴情報モジュール_カテゴリ名テーブルから組入れ条件の第一条件で絞り込んだ結果をバックアップ_MML_診断履歴情報モジュール_カテゴリ名テーブルに格納する。</v>
      </c>
    </row>
    <row r="670" spans="2:23" ht="18.75" customHeight="1">
      <c r="C670" s="110" t="s">
        <v>3612</v>
      </c>
      <c r="D670" s="111"/>
      <c r="E670" s="116" t="s">
        <v>162</v>
      </c>
      <c r="H670" s="36"/>
      <c r="I670" s="36"/>
      <c r="J670" s="36"/>
      <c r="K670" s="36"/>
      <c r="L670" s="36"/>
      <c r="M670" s="36"/>
      <c r="N670" s="36"/>
      <c r="O670" s="36"/>
      <c r="P670" s="36"/>
      <c r="Q670" s="36"/>
      <c r="R670" s="124" t="str">
        <f>"バックアップ_"&amp;SUBSTITUTE(C670,"_結合","")</f>
        <v>バックアップ_MML_診断履歴情報モジュール_カテゴリ名</v>
      </c>
      <c r="S670" s="125"/>
      <c r="T670" s="114" t="str">
        <f>エンティティ一覧!$O$2</f>
        <v>milscm_2023_009</v>
      </c>
    </row>
    <row r="671" spans="2:23" ht="18.75" customHeight="1">
      <c r="C671" s="112"/>
      <c r="D671" s="113"/>
      <c r="E671" s="117"/>
      <c r="F671" s="37"/>
      <c r="G671" s="38"/>
      <c r="H671" s="37"/>
      <c r="I671" s="37"/>
      <c r="J671" s="37"/>
      <c r="K671" s="37"/>
      <c r="L671" s="37"/>
      <c r="M671" s="37"/>
      <c r="N671" s="37"/>
      <c r="O671" s="37"/>
      <c r="P671" s="37"/>
      <c r="Q671" s="37"/>
      <c r="R671" s="126"/>
      <c r="S671" s="127"/>
      <c r="T671" s="115"/>
    </row>
    <row r="672" spans="2:23" ht="18.75" customHeight="1">
      <c r="F672" s="39"/>
      <c r="G672" s="40"/>
    </row>
    <row r="673" spans="2:23" ht="18.75" customHeight="1">
      <c r="C673" s="110" t="s">
        <v>3185</v>
      </c>
      <c r="D673" s="111"/>
      <c r="E673" s="114" t="str">
        <f>エンティティ一覧!$O$2</f>
        <v>milscm_2023_009</v>
      </c>
      <c r="G673" s="41"/>
    </row>
    <row r="674" spans="2:23" ht="18.75" customHeight="1">
      <c r="C674" s="112"/>
      <c r="D674" s="113"/>
      <c r="E674" s="115"/>
      <c r="F674" s="37"/>
    </row>
    <row r="676" spans="2:23" ht="18.75" customHeight="1" thickBot="1">
      <c r="B676" s="42"/>
      <c r="C676" s="42"/>
      <c r="D676" s="42"/>
      <c r="E676" s="42"/>
      <c r="F676" s="42"/>
      <c r="G676" s="42"/>
      <c r="H676" s="42"/>
      <c r="I676" s="42"/>
      <c r="J676" s="42"/>
      <c r="K676" s="42"/>
      <c r="L676" s="42"/>
      <c r="M676" s="42"/>
      <c r="N676" s="42"/>
      <c r="O676" s="42"/>
      <c r="P676" s="42"/>
      <c r="Q676" s="42"/>
      <c r="R676" s="42"/>
      <c r="S676" s="42"/>
      <c r="T676" s="42"/>
      <c r="U676" s="42"/>
    </row>
    <row r="678" spans="2:23" ht="18.75" customHeight="1">
      <c r="B678" s="43" t="s">
        <v>163</v>
      </c>
      <c r="C678" s="51" t="s">
        <v>3975</v>
      </c>
      <c r="D678" s="100"/>
      <c r="W678" s="35" t="str">
        <f>"-- "&amp;B678&amp;" : "&amp;C678</f>
        <v>-- SQL_ID : 01_A6-18</v>
      </c>
    </row>
    <row r="679" spans="2:23" ht="18.75" customHeight="1">
      <c r="B679" s="43" t="s">
        <v>158</v>
      </c>
      <c r="C679" s="118" t="str">
        <f>R682&amp;"登録"</f>
        <v>バックアップ_MML_検歴情報モジュール_本文登録</v>
      </c>
      <c r="D679" s="119"/>
      <c r="E679" s="119"/>
      <c r="F679" s="119"/>
      <c r="G679" s="119"/>
      <c r="H679" s="119"/>
      <c r="I679" s="119"/>
      <c r="J679" s="119"/>
      <c r="K679" s="119"/>
      <c r="L679" s="119"/>
      <c r="M679" s="119"/>
      <c r="N679" s="119"/>
      <c r="O679" s="119"/>
      <c r="P679" s="119"/>
      <c r="Q679" s="119"/>
      <c r="R679" s="119"/>
      <c r="S679" s="119"/>
      <c r="T679" s="119"/>
      <c r="U679" s="120"/>
      <c r="W679" s="35" t="str">
        <f>"-- "&amp;C679</f>
        <v>-- バックアップ_MML_検歴情報モジュール_本文登録</v>
      </c>
    </row>
    <row r="680" spans="2:23" ht="18.75" customHeight="1">
      <c r="B680" s="43" t="s">
        <v>159</v>
      </c>
      <c r="C680" s="121" t="str">
        <f>C682&amp;"テーブルから名古屋第一の条件で絞り込んだ結果を"&amp;R682&amp;"テーブルに格納する。"</f>
        <v>MML_検歴情報モジュール_本文テーブルから名古屋第一の条件で絞り込んだ結果をバックアップ_MML_検歴情報モジュール_本文テーブルに格納する。</v>
      </c>
      <c r="D680" s="122"/>
      <c r="E680" s="122"/>
      <c r="F680" s="122"/>
      <c r="G680" s="122"/>
      <c r="H680" s="122"/>
      <c r="I680" s="122"/>
      <c r="J680" s="122"/>
      <c r="K680" s="122"/>
      <c r="L680" s="122"/>
      <c r="M680" s="122"/>
      <c r="N680" s="122"/>
      <c r="O680" s="122"/>
      <c r="P680" s="122"/>
      <c r="Q680" s="122"/>
      <c r="R680" s="122"/>
      <c r="S680" s="122"/>
      <c r="T680" s="122"/>
      <c r="U680" s="123"/>
      <c r="W680" s="35" t="str">
        <f>"-- "&amp;C680</f>
        <v>-- MML_検歴情報モジュール_本文テーブルから名古屋第一の条件で絞り込んだ結果をバックアップ_MML_検歴情報モジュール_本文テーブルに格納する。</v>
      </c>
    </row>
    <row r="682" spans="2:23" ht="18.75" customHeight="1">
      <c r="C682" s="110" t="s">
        <v>3976</v>
      </c>
      <c r="D682" s="111"/>
      <c r="E682" s="116" t="s">
        <v>162</v>
      </c>
      <c r="F682" s="36"/>
      <c r="G682" s="36"/>
      <c r="H682" s="36"/>
      <c r="I682" s="36"/>
      <c r="J682" s="36"/>
      <c r="M682" s="36"/>
      <c r="N682" s="36"/>
      <c r="O682" s="36"/>
      <c r="P682" s="36"/>
      <c r="Q682" s="36"/>
      <c r="R682" s="110" t="str">
        <f>"バックアップ_"&amp;SUBSTITUTE(C682,"_結合","")</f>
        <v>バックアップ_MML_検歴情報モジュール_本文</v>
      </c>
      <c r="S682" s="111"/>
      <c r="T682" s="114" t="str">
        <f>エンティティ一覧!$O$2</f>
        <v>milscm_2023_009</v>
      </c>
    </row>
    <row r="683" spans="2:23" ht="18.75" customHeight="1">
      <c r="C683" s="112"/>
      <c r="D683" s="113"/>
      <c r="E683" s="117"/>
      <c r="F683" s="37"/>
      <c r="G683" s="37"/>
      <c r="H683" s="37"/>
      <c r="I683" s="37"/>
      <c r="J683" s="37"/>
      <c r="K683" s="37"/>
      <c r="L683" s="37"/>
      <c r="M683" s="37"/>
      <c r="N683" s="37"/>
      <c r="O683" s="37"/>
      <c r="P683" s="37"/>
      <c r="Q683" s="37"/>
      <c r="R683" s="112"/>
      <c r="S683" s="113"/>
      <c r="T683" s="115"/>
    </row>
    <row r="684" spans="2:23" ht="18.75" customHeight="1">
      <c r="K684" s="39"/>
      <c r="L684" s="101"/>
    </row>
    <row r="685" spans="2:23" ht="18.75" customHeight="1" thickBot="1">
      <c r="B685" s="42"/>
      <c r="C685" s="42"/>
      <c r="D685" s="42"/>
      <c r="E685" s="42"/>
      <c r="F685" s="42"/>
      <c r="G685" s="42"/>
      <c r="H685" s="42"/>
      <c r="I685" s="42"/>
      <c r="J685" s="42"/>
      <c r="K685" s="42"/>
      <c r="L685" s="42"/>
      <c r="M685" s="42"/>
      <c r="N685" s="42"/>
      <c r="O685" s="42"/>
      <c r="P685" s="42"/>
      <c r="Q685" s="42"/>
      <c r="R685" s="42"/>
      <c r="S685" s="42"/>
      <c r="T685" s="42"/>
      <c r="U685" s="42"/>
    </row>
    <row r="687" spans="2:23" ht="18.75" customHeight="1">
      <c r="B687" s="43" t="s">
        <v>163</v>
      </c>
      <c r="C687" s="51" t="s">
        <v>3977</v>
      </c>
      <c r="D687" s="100"/>
      <c r="W687" s="35" t="str">
        <f>"-- "&amp;B687&amp;" : "&amp;C687</f>
        <v>-- SQL_ID : 01_A6-19</v>
      </c>
    </row>
    <row r="688" spans="2:23" ht="18.75" customHeight="1">
      <c r="B688" s="43" t="s">
        <v>158</v>
      </c>
      <c r="C688" s="118" t="str">
        <f>R691&amp;"登録"</f>
        <v>バックアップ_MML_検歴情報モジュール_報告コメント登録</v>
      </c>
      <c r="D688" s="119"/>
      <c r="E688" s="119"/>
      <c r="F688" s="119"/>
      <c r="G688" s="119"/>
      <c r="H688" s="119"/>
      <c r="I688" s="119"/>
      <c r="J688" s="119"/>
      <c r="K688" s="119"/>
      <c r="L688" s="119"/>
      <c r="M688" s="119"/>
      <c r="N688" s="119"/>
      <c r="O688" s="119"/>
      <c r="P688" s="119"/>
      <c r="Q688" s="119"/>
      <c r="R688" s="119"/>
      <c r="S688" s="119"/>
      <c r="T688" s="119"/>
      <c r="U688" s="120"/>
      <c r="W688" s="35" t="str">
        <f>"-- "&amp;C688</f>
        <v>-- バックアップ_MML_検歴情報モジュール_報告コメント登録</v>
      </c>
    </row>
    <row r="689" spans="2:23" ht="18.75" customHeight="1">
      <c r="B689" s="43" t="s">
        <v>159</v>
      </c>
      <c r="C689" s="121" t="str">
        <f>C691&amp;"テーブルから名古屋第一の条件で絞り込んだ結果を"&amp;R691&amp;"テーブルに格納する。"</f>
        <v>MML_検歴情報モジュール_報告コメントテーブルから名古屋第一の条件で絞り込んだ結果をバックアップ_MML_検歴情報モジュール_報告コメントテーブルに格納する。</v>
      </c>
      <c r="D689" s="122"/>
      <c r="E689" s="122"/>
      <c r="F689" s="122"/>
      <c r="G689" s="122"/>
      <c r="H689" s="122"/>
      <c r="I689" s="122"/>
      <c r="J689" s="122"/>
      <c r="K689" s="122"/>
      <c r="L689" s="122"/>
      <c r="M689" s="122"/>
      <c r="N689" s="122"/>
      <c r="O689" s="122"/>
      <c r="P689" s="122"/>
      <c r="Q689" s="122"/>
      <c r="R689" s="122"/>
      <c r="S689" s="122"/>
      <c r="T689" s="122"/>
      <c r="U689" s="123"/>
      <c r="W689" s="35" t="str">
        <f>"-- "&amp;C689</f>
        <v>-- MML_検歴情報モジュール_報告コメントテーブルから名古屋第一の条件で絞り込んだ結果をバックアップ_MML_検歴情報モジュール_報告コメントテーブルに格納する。</v>
      </c>
    </row>
    <row r="691" spans="2:23" ht="18.75" customHeight="1">
      <c r="C691" s="110" t="s">
        <v>3978</v>
      </c>
      <c r="D691" s="111"/>
      <c r="E691" s="116" t="s">
        <v>162</v>
      </c>
      <c r="F691" s="36"/>
      <c r="G691" s="36"/>
      <c r="H691" s="36"/>
      <c r="I691" s="36"/>
      <c r="J691" s="36"/>
      <c r="M691" s="36"/>
      <c r="N691" s="36"/>
      <c r="O691" s="36"/>
      <c r="P691" s="36"/>
      <c r="Q691" s="36"/>
      <c r="R691" s="110" t="str">
        <f>"バックアップ_"&amp;SUBSTITUTE(C691,"_結合","")</f>
        <v>バックアップ_MML_検歴情報モジュール_報告コメント</v>
      </c>
      <c r="S691" s="111"/>
      <c r="T691" s="114" t="str">
        <f>エンティティ一覧!$O$2</f>
        <v>milscm_2023_009</v>
      </c>
    </row>
    <row r="692" spans="2:23" ht="18.75" customHeight="1">
      <c r="C692" s="112"/>
      <c r="D692" s="113"/>
      <c r="E692" s="117"/>
      <c r="F692" s="37"/>
      <c r="G692" s="37"/>
      <c r="H692" s="37"/>
      <c r="I692" s="37"/>
      <c r="J692" s="37"/>
      <c r="K692" s="37"/>
      <c r="L692" s="37"/>
      <c r="M692" s="37"/>
      <c r="N692" s="37"/>
      <c r="O692" s="37"/>
      <c r="P692" s="37"/>
      <c r="Q692" s="37"/>
      <c r="R692" s="112"/>
      <c r="S692" s="113"/>
      <c r="T692" s="115"/>
    </row>
    <row r="693" spans="2:23" ht="18.75" customHeight="1">
      <c r="K693" s="39"/>
      <c r="L693" s="101"/>
    </row>
    <row r="694" spans="2:23" ht="18.75" customHeight="1" thickBot="1">
      <c r="B694" s="42"/>
      <c r="C694" s="42"/>
      <c r="D694" s="42"/>
      <c r="E694" s="42"/>
      <c r="F694" s="42"/>
      <c r="G694" s="42"/>
      <c r="H694" s="42"/>
      <c r="I694" s="42"/>
      <c r="J694" s="42"/>
      <c r="K694" s="42"/>
      <c r="L694" s="42"/>
      <c r="M694" s="42"/>
      <c r="N694" s="42"/>
      <c r="O694" s="42"/>
      <c r="P694" s="42"/>
      <c r="Q694" s="42"/>
      <c r="R694" s="42"/>
      <c r="S694" s="42"/>
      <c r="T694" s="42"/>
      <c r="U694" s="42"/>
    </row>
    <row r="696" spans="2:23" ht="18.75" customHeight="1">
      <c r="B696" s="43" t="s">
        <v>163</v>
      </c>
      <c r="C696" s="51" t="s">
        <v>3979</v>
      </c>
      <c r="D696" s="100"/>
      <c r="W696" s="35" t="str">
        <f>"-- "&amp;B696&amp;" : "&amp;C696</f>
        <v>-- SQL_ID : 01_A6-20</v>
      </c>
    </row>
    <row r="697" spans="2:23" ht="18.75" customHeight="1">
      <c r="B697" s="43" t="s">
        <v>158</v>
      </c>
      <c r="C697" s="118" t="str">
        <f>R700&amp;"登録"</f>
        <v>バックアップ_MML_検歴情報モジュール_検体検査結果情報登録</v>
      </c>
      <c r="D697" s="119"/>
      <c r="E697" s="119"/>
      <c r="F697" s="119"/>
      <c r="G697" s="119"/>
      <c r="H697" s="119"/>
      <c r="I697" s="119"/>
      <c r="J697" s="119"/>
      <c r="K697" s="119"/>
      <c r="L697" s="119"/>
      <c r="M697" s="119"/>
      <c r="N697" s="119"/>
      <c r="O697" s="119"/>
      <c r="P697" s="119"/>
      <c r="Q697" s="119"/>
      <c r="R697" s="119"/>
      <c r="S697" s="119"/>
      <c r="T697" s="119"/>
      <c r="U697" s="120"/>
      <c r="W697" s="35" t="str">
        <f>"-- "&amp;C697</f>
        <v>-- バックアップ_MML_検歴情報モジュール_検体検査結果情報登録</v>
      </c>
    </row>
    <row r="698" spans="2:23" ht="18.75" customHeight="1">
      <c r="B698" s="43" t="s">
        <v>159</v>
      </c>
      <c r="C698" s="121" t="str">
        <f>C700&amp;"テーブルから名古屋第一の条件で絞り込んだ結果を"&amp;R700&amp;"テーブルに格納する。"</f>
        <v>MML_検歴情報モジュール_検体検査結果情報テーブルから名古屋第一の条件で絞り込んだ結果をバックアップ_MML_検歴情報モジュール_検体検査結果情報テーブルに格納する。</v>
      </c>
      <c r="D698" s="122"/>
      <c r="E698" s="122"/>
      <c r="F698" s="122"/>
      <c r="G698" s="122"/>
      <c r="H698" s="122"/>
      <c r="I698" s="122"/>
      <c r="J698" s="122"/>
      <c r="K698" s="122"/>
      <c r="L698" s="122"/>
      <c r="M698" s="122"/>
      <c r="N698" s="122"/>
      <c r="O698" s="122"/>
      <c r="P698" s="122"/>
      <c r="Q698" s="122"/>
      <c r="R698" s="122"/>
      <c r="S698" s="122"/>
      <c r="T698" s="122"/>
      <c r="U698" s="123"/>
      <c r="W698" s="35" t="str">
        <f>"-- "&amp;C698</f>
        <v>-- MML_検歴情報モジュール_検体検査結果情報テーブルから名古屋第一の条件で絞り込んだ結果をバックアップ_MML_検歴情報モジュール_検体検査結果情報テーブルに格納する。</v>
      </c>
    </row>
    <row r="700" spans="2:23" ht="18.75" customHeight="1">
      <c r="C700" s="110" t="s">
        <v>3980</v>
      </c>
      <c r="D700" s="111"/>
      <c r="E700" s="116" t="s">
        <v>162</v>
      </c>
      <c r="F700" s="36"/>
      <c r="G700" s="36"/>
      <c r="H700" s="36"/>
      <c r="I700" s="36"/>
      <c r="J700" s="36"/>
      <c r="M700" s="36"/>
      <c r="N700" s="36"/>
      <c r="O700" s="36"/>
      <c r="P700" s="36"/>
      <c r="Q700" s="36"/>
      <c r="R700" s="110" t="str">
        <f>"バックアップ_"&amp;SUBSTITUTE(C700,"_結合","")</f>
        <v>バックアップ_MML_検歴情報モジュール_検体検査結果情報</v>
      </c>
      <c r="S700" s="111"/>
      <c r="T700" s="114" t="str">
        <f>エンティティ一覧!$O$2</f>
        <v>milscm_2023_009</v>
      </c>
    </row>
    <row r="701" spans="2:23" ht="18.75" customHeight="1">
      <c r="C701" s="112"/>
      <c r="D701" s="113"/>
      <c r="E701" s="117"/>
      <c r="F701" s="37"/>
      <c r="G701" s="37"/>
      <c r="H701" s="37"/>
      <c r="I701" s="37"/>
      <c r="J701" s="37"/>
      <c r="K701" s="37"/>
      <c r="L701" s="37"/>
      <c r="M701" s="37"/>
      <c r="N701" s="37"/>
      <c r="O701" s="37"/>
      <c r="P701" s="37"/>
      <c r="Q701" s="37"/>
      <c r="R701" s="112"/>
      <c r="S701" s="113"/>
      <c r="T701" s="115"/>
    </row>
    <row r="702" spans="2:23" ht="18.75" customHeight="1">
      <c r="K702" s="39"/>
      <c r="L702" s="101"/>
    </row>
    <row r="703" spans="2:23" ht="18.75" customHeight="1" thickBot="1">
      <c r="B703" s="42"/>
      <c r="C703" s="42"/>
      <c r="D703" s="42"/>
      <c r="E703" s="42"/>
      <c r="F703" s="42"/>
      <c r="G703" s="42"/>
      <c r="H703" s="42"/>
      <c r="I703" s="42"/>
      <c r="J703" s="42"/>
      <c r="K703" s="42"/>
      <c r="L703" s="42"/>
      <c r="M703" s="42"/>
      <c r="N703" s="42"/>
      <c r="O703" s="42"/>
      <c r="P703" s="42"/>
      <c r="Q703" s="42"/>
      <c r="R703" s="42"/>
      <c r="S703" s="42"/>
      <c r="T703" s="42"/>
      <c r="U703" s="42"/>
    </row>
    <row r="705" spans="2:23" ht="18.75" customHeight="1">
      <c r="B705" s="43" t="s">
        <v>163</v>
      </c>
      <c r="C705" s="51" t="s">
        <v>3981</v>
      </c>
      <c r="D705" s="100"/>
      <c r="W705" s="35" t="str">
        <f>"-- "&amp;B705&amp;" : "&amp;C705</f>
        <v>-- SQL_ID : 01_A6-21</v>
      </c>
    </row>
    <row r="706" spans="2:23" ht="18.75" customHeight="1">
      <c r="B706" s="43" t="s">
        <v>158</v>
      </c>
      <c r="C706" s="118" t="str">
        <f>R709&amp;"登録"</f>
        <v>バックアップ_MML_検歴情報モジュール_検体コメント登録</v>
      </c>
      <c r="D706" s="119"/>
      <c r="E706" s="119"/>
      <c r="F706" s="119"/>
      <c r="G706" s="119"/>
      <c r="H706" s="119"/>
      <c r="I706" s="119"/>
      <c r="J706" s="119"/>
      <c r="K706" s="119"/>
      <c r="L706" s="119"/>
      <c r="M706" s="119"/>
      <c r="N706" s="119"/>
      <c r="O706" s="119"/>
      <c r="P706" s="119"/>
      <c r="Q706" s="119"/>
      <c r="R706" s="119"/>
      <c r="S706" s="119"/>
      <c r="T706" s="119"/>
      <c r="U706" s="120"/>
      <c r="W706" s="35" t="str">
        <f>"-- "&amp;C706</f>
        <v>-- バックアップ_MML_検歴情報モジュール_検体コメント登録</v>
      </c>
    </row>
    <row r="707" spans="2:23" ht="18.75" customHeight="1">
      <c r="B707" s="43" t="s">
        <v>159</v>
      </c>
      <c r="C707" s="121" t="str">
        <f>C709&amp;"テーブルから名古屋第一の条件で絞り込んだ結果を"&amp;R709&amp;"テーブルに格納する。"</f>
        <v>MML_検歴情報モジュール_検体コメントテーブルから名古屋第一の条件で絞り込んだ結果をバックアップ_MML_検歴情報モジュール_検体コメントテーブルに格納する。</v>
      </c>
      <c r="D707" s="122"/>
      <c r="E707" s="122"/>
      <c r="F707" s="122"/>
      <c r="G707" s="122"/>
      <c r="H707" s="122"/>
      <c r="I707" s="122"/>
      <c r="J707" s="122"/>
      <c r="K707" s="122"/>
      <c r="L707" s="122"/>
      <c r="M707" s="122"/>
      <c r="N707" s="122"/>
      <c r="O707" s="122"/>
      <c r="P707" s="122"/>
      <c r="Q707" s="122"/>
      <c r="R707" s="122"/>
      <c r="S707" s="122"/>
      <c r="T707" s="122"/>
      <c r="U707" s="123"/>
      <c r="W707" s="35" t="str">
        <f>"-- "&amp;C707</f>
        <v>-- MML_検歴情報モジュール_検体コメントテーブルから名古屋第一の条件で絞り込んだ結果をバックアップ_MML_検歴情報モジュール_検体コメントテーブルに格納する。</v>
      </c>
    </row>
    <row r="709" spans="2:23" ht="18.75" customHeight="1">
      <c r="C709" s="110" t="s">
        <v>3982</v>
      </c>
      <c r="D709" s="111"/>
      <c r="E709" s="116" t="s">
        <v>162</v>
      </c>
      <c r="F709" s="36"/>
      <c r="G709" s="36"/>
      <c r="H709" s="36"/>
      <c r="I709" s="36"/>
      <c r="J709" s="36"/>
      <c r="M709" s="36"/>
      <c r="N709" s="36"/>
      <c r="O709" s="36"/>
      <c r="P709" s="36"/>
      <c r="Q709" s="36"/>
      <c r="R709" s="110" t="str">
        <f>"バックアップ_"&amp;SUBSTITUTE(C709,"_結合","")</f>
        <v>バックアップ_MML_検歴情報モジュール_検体コメント</v>
      </c>
      <c r="S709" s="111"/>
      <c r="T709" s="114" t="str">
        <f>エンティティ一覧!$O$2</f>
        <v>milscm_2023_009</v>
      </c>
    </row>
    <row r="710" spans="2:23" ht="18.75" customHeight="1">
      <c r="C710" s="112"/>
      <c r="D710" s="113"/>
      <c r="E710" s="117"/>
      <c r="F710" s="37"/>
      <c r="G710" s="37"/>
      <c r="H710" s="37"/>
      <c r="I710" s="37"/>
      <c r="J710" s="37"/>
      <c r="K710" s="37"/>
      <c r="L710" s="37"/>
      <c r="M710" s="37"/>
      <c r="N710" s="37"/>
      <c r="O710" s="37"/>
      <c r="P710" s="37"/>
      <c r="Q710" s="37"/>
      <c r="R710" s="112"/>
      <c r="S710" s="113"/>
      <c r="T710" s="115"/>
    </row>
    <row r="711" spans="2:23" ht="18.75" customHeight="1">
      <c r="K711" s="39"/>
      <c r="L711" s="101"/>
    </row>
    <row r="712" spans="2:23" ht="18.75" customHeight="1" thickBot="1">
      <c r="B712" s="42"/>
      <c r="C712" s="42"/>
      <c r="D712" s="42"/>
      <c r="E712" s="42"/>
      <c r="F712" s="42"/>
      <c r="G712" s="42"/>
      <c r="H712" s="42"/>
      <c r="I712" s="42"/>
      <c r="J712" s="42"/>
      <c r="K712" s="42"/>
      <c r="L712" s="42"/>
      <c r="M712" s="42"/>
      <c r="N712" s="42"/>
      <c r="O712" s="42"/>
      <c r="P712" s="42"/>
      <c r="Q712" s="42"/>
      <c r="R712" s="42"/>
      <c r="S712" s="42"/>
      <c r="T712" s="42"/>
      <c r="U712" s="42"/>
    </row>
    <row r="714" spans="2:23" ht="18.75" customHeight="1">
      <c r="B714" s="43" t="s">
        <v>163</v>
      </c>
      <c r="C714" s="51" t="s">
        <v>3983</v>
      </c>
      <c r="D714" s="100"/>
      <c r="W714" s="35" t="str">
        <f>"-- "&amp;B714&amp;" : "&amp;C714</f>
        <v>-- SQL_ID : 01_A6-22</v>
      </c>
    </row>
    <row r="715" spans="2:23" ht="18.75" customHeight="1">
      <c r="B715" s="43" t="s">
        <v>158</v>
      </c>
      <c r="C715" s="118" t="str">
        <f>R718&amp;"登録"</f>
        <v>バックアップ_MML_検歴情報モジュール_検査項目登録</v>
      </c>
      <c r="D715" s="119"/>
      <c r="E715" s="119"/>
      <c r="F715" s="119"/>
      <c r="G715" s="119"/>
      <c r="H715" s="119"/>
      <c r="I715" s="119"/>
      <c r="J715" s="119"/>
      <c r="K715" s="119"/>
      <c r="L715" s="119"/>
      <c r="M715" s="119"/>
      <c r="N715" s="119"/>
      <c r="O715" s="119"/>
      <c r="P715" s="119"/>
      <c r="Q715" s="119"/>
      <c r="R715" s="119"/>
      <c r="S715" s="119"/>
      <c r="T715" s="119"/>
      <c r="U715" s="120"/>
      <c r="W715" s="35" t="str">
        <f>"-- "&amp;C715</f>
        <v>-- バックアップ_MML_検歴情報モジュール_検査項目登録</v>
      </c>
    </row>
    <row r="716" spans="2:23" ht="18.75" customHeight="1">
      <c r="B716" s="43" t="s">
        <v>159</v>
      </c>
      <c r="C716" s="121" t="str">
        <f>C718&amp;"テーブルから名古屋第一の条件で絞り込んだ結果を"&amp;R718&amp;"テーブルに格納する。"</f>
        <v>MML_検歴情報モジュール_検査項目テーブルから名古屋第一の条件で絞り込んだ結果をバックアップ_MML_検歴情報モジュール_検査項目テーブルに格納する。</v>
      </c>
      <c r="D716" s="122"/>
      <c r="E716" s="122"/>
      <c r="F716" s="122"/>
      <c r="G716" s="122"/>
      <c r="H716" s="122"/>
      <c r="I716" s="122"/>
      <c r="J716" s="122"/>
      <c r="K716" s="122"/>
      <c r="L716" s="122"/>
      <c r="M716" s="122"/>
      <c r="N716" s="122"/>
      <c r="O716" s="122"/>
      <c r="P716" s="122"/>
      <c r="Q716" s="122"/>
      <c r="R716" s="122"/>
      <c r="S716" s="122"/>
      <c r="T716" s="122"/>
      <c r="U716" s="123"/>
      <c r="W716" s="35" t="str">
        <f>"-- "&amp;C716</f>
        <v>-- MML_検歴情報モジュール_検査項目テーブルから名古屋第一の条件で絞り込んだ結果をバックアップ_MML_検歴情報モジュール_検査項目テーブルに格納する。</v>
      </c>
    </row>
    <row r="718" spans="2:23" ht="18.75" customHeight="1">
      <c r="C718" s="110" t="s">
        <v>3984</v>
      </c>
      <c r="D718" s="111"/>
      <c r="E718" s="116" t="s">
        <v>162</v>
      </c>
      <c r="F718" s="36"/>
      <c r="G718" s="36"/>
      <c r="H718" s="36"/>
      <c r="I718" s="36"/>
      <c r="J718" s="36"/>
      <c r="M718" s="36"/>
      <c r="N718" s="36"/>
      <c r="O718" s="36"/>
      <c r="P718" s="36"/>
      <c r="Q718" s="36"/>
      <c r="R718" s="110" t="str">
        <f>"バックアップ_"&amp;SUBSTITUTE(C718,"_結合","")</f>
        <v>バックアップ_MML_検歴情報モジュール_検査項目</v>
      </c>
      <c r="S718" s="111"/>
      <c r="T718" s="114" t="str">
        <f>エンティティ一覧!$O$2</f>
        <v>milscm_2023_009</v>
      </c>
    </row>
    <row r="719" spans="2:23" ht="18.75" customHeight="1">
      <c r="C719" s="112"/>
      <c r="D719" s="113"/>
      <c r="E719" s="117"/>
      <c r="F719" s="37"/>
      <c r="G719" s="37"/>
      <c r="H719" s="37"/>
      <c r="I719" s="37"/>
      <c r="J719" s="37"/>
      <c r="K719" s="37"/>
      <c r="L719" s="37"/>
      <c r="M719" s="37"/>
      <c r="N719" s="37"/>
      <c r="O719" s="37"/>
      <c r="P719" s="37"/>
      <c r="Q719" s="37"/>
      <c r="R719" s="112"/>
      <c r="S719" s="113"/>
      <c r="T719" s="115"/>
    </row>
    <row r="720" spans="2:23" ht="18.75" customHeight="1">
      <c r="K720" s="39"/>
      <c r="L720" s="101"/>
    </row>
    <row r="721" spans="2:23" ht="18.75" customHeight="1" thickBot="1">
      <c r="B721" s="42"/>
      <c r="C721" s="42"/>
      <c r="D721" s="42"/>
      <c r="E721" s="42"/>
      <c r="F721" s="42"/>
      <c r="G721" s="42"/>
      <c r="H721" s="42"/>
      <c r="I721" s="42"/>
      <c r="J721" s="42"/>
      <c r="K721" s="42"/>
      <c r="L721" s="42"/>
      <c r="M721" s="42"/>
      <c r="N721" s="42"/>
      <c r="O721" s="42"/>
      <c r="P721" s="42"/>
      <c r="Q721" s="42"/>
      <c r="R721" s="42"/>
      <c r="S721" s="42"/>
      <c r="T721" s="42"/>
      <c r="U721" s="42"/>
    </row>
    <row r="723" spans="2:23" ht="18.75" customHeight="1">
      <c r="B723" s="43" t="s">
        <v>163</v>
      </c>
      <c r="C723" s="51" t="s">
        <v>3985</v>
      </c>
      <c r="D723" s="100"/>
      <c r="W723" s="35" t="str">
        <f>"-- "&amp;B723&amp;" : "&amp;C723</f>
        <v>-- SQL_ID : 01_A6-23</v>
      </c>
    </row>
    <row r="724" spans="2:23" ht="18.75" customHeight="1">
      <c r="B724" s="43" t="s">
        <v>158</v>
      </c>
      <c r="C724" s="118" t="str">
        <f>R727&amp;"登録"</f>
        <v>バックアップ_MML_検歴情報モジュール_検査項目コメント登録</v>
      </c>
      <c r="D724" s="119"/>
      <c r="E724" s="119"/>
      <c r="F724" s="119"/>
      <c r="G724" s="119"/>
      <c r="H724" s="119"/>
      <c r="I724" s="119"/>
      <c r="J724" s="119"/>
      <c r="K724" s="119"/>
      <c r="L724" s="119"/>
      <c r="M724" s="119"/>
      <c r="N724" s="119"/>
      <c r="O724" s="119"/>
      <c r="P724" s="119"/>
      <c r="Q724" s="119"/>
      <c r="R724" s="119"/>
      <c r="S724" s="119"/>
      <c r="T724" s="119"/>
      <c r="U724" s="120"/>
      <c r="W724" s="35" t="str">
        <f>"-- "&amp;C724</f>
        <v>-- バックアップ_MML_検歴情報モジュール_検査項目コメント登録</v>
      </c>
    </row>
    <row r="725" spans="2:23" ht="18.75" customHeight="1">
      <c r="B725" s="43" t="s">
        <v>159</v>
      </c>
      <c r="C725" s="121" t="str">
        <f>C727&amp;"テーブルから名古屋第一の条件で絞り込んだ結果を"&amp;R727&amp;"テーブルに格納する。"</f>
        <v>MML_検歴情報モジュール_検査項目コメントテーブルから名古屋第一の条件で絞り込んだ結果をバックアップ_MML_検歴情報モジュール_検査項目コメントテーブルに格納する。</v>
      </c>
      <c r="D725" s="122"/>
      <c r="E725" s="122"/>
      <c r="F725" s="122"/>
      <c r="G725" s="122"/>
      <c r="H725" s="122"/>
      <c r="I725" s="122"/>
      <c r="J725" s="122"/>
      <c r="K725" s="122"/>
      <c r="L725" s="122"/>
      <c r="M725" s="122"/>
      <c r="N725" s="122"/>
      <c r="O725" s="122"/>
      <c r="P725" s="122"/>
      <c r="Q725" s="122"/>
      <c r="R725" s="122"/>
      <c r="S725" s="122"/>
      <c r="T725" s="122"/>
      <c r="U725" s="123"/>
      <c r="W725" s="35" t="str">
        <f>"-- "&amp;C725</f>
        <v>-- MML_検歴情報モジュール_検査項目コメントテーブルから名古屋第一の条件で絞り込んだ結果をバックアップ_MML_検歴情報モジュール_検査項目コメントテーブルに格納する。</v>
      </c>
    </row>
    <row r="727" spans="2:23" ht="18.75" customHeight="1">
      <c r="C727" s="110" t="s">
        <v>3986</v>
      </c>
      <c r="D727" s="111"/>
      <c r="E727" s="116" t="s">
        <v>162</v>
      </c>
      <c r="F727" s="36"/>
      <c r="G727" s="36"/>
      <c r="H727" s="36"/>
      <c r="I727" s="36"/>
      <c r="J727" s="36"/>
      <c r="M727" s="36"/>
      <c r="N727" s="36"/>
      <c r="O727" s="36"/>
      <c r="P727" s="36"/>
      <c r="Q727" s="36"/>
      <c r="R727" s="124" t="str">
        <f>"バックアップ_"&amp;SUBSTITUTE(C727,"_結合","")</f>
        <v>バックアップ_MML_検歴情報モジュール_検査項目コメント</v>
      </c>
      <c r="S727" s="125"/>
      <c r="T727" s="114" t="str">
        <f>エンティティ一覧!$O$2</f>
        <v>milscm_2023_009</v>
      </c>
    </row>
    <row r="728" spans="2:23" ht="18.75" customHeight="1">
      <c r="C728" s="112"/>
      <c r="D728" s="113"/>
      <c r="E728" s="117"/>
      <c r="F728" s="37"/>
      <c r="G728" s="37"/>
      <c r="H728" s="37"/>
      <c r="I728" s="37"/>
      <c r="J728" s="37"/>
      <c r="K728" s="37"/>
      <c r="L728" s="37"/>
      <c r="M728" s="37"/>
      <c r="N728" s="37"/>
      <c r="O728" s="37"/>
      <c r="P728" s="37"/>
      <c r="Q728" s="37"/>
      <c r="R728" s="126"/>
      <c r="S728" s="127"/>
      <c r="T728" s="115"/>
    </row>
    <row r="729" spans="2:23" ht="18.75" customHeight="1">
      <c r="K729" s="39"/>
      <c r="L729" s="101"/>
    </row>
    <row r="730" spans="2:23" ht="18.75" customHeight="1" thickBot="1">
      <c r="B730" s="42"/>
      <c r="C730" s="42"/>
      <c r="D730" s="42"/>
      <c r="E730" s="42"/>
      <c r="F730" s="42"/>
      <c r="G730" s="42"/>
      <c r="H730" s="42"/>
      <c r="I730" s="42"/>
      <c r="J730" s="42"/>
      <c r="K730" s="42"/>
      <c r="L730" s="42"/>
      <c r="M730" s="42"/>
      <c r="N730" s="42"/>
      <c r="O730" s="42"/>
      <c r="P730" s="42"/>
      <c r="Q730" s="42"/>
      <c r="R730" s="42"/>
      <c r="S730" s="42"/>
      <c r="T730" s="42"/>
      <c r="U730" s="42"/>
    </row>
    <row r="732" spans="2:23" ht="18.75" customHeight="1">
      <c r="B732" s="43" t="s">
        <v>163</v>
      </c>
      <c r="C732" s="51" t="s">
        <v>3613</v>
      </c>
      <c r="D732" s="88"/>
      <c r="W732" s="35" t="str">
        <f>"-- "&amp;B732&amp;" : "&amp;C732</f>
        <v>-- SQL_ID : 01_A6-24</v>
      </c>
    </row>
    <row r="733" spans="2:23" ht="18.75" customHeight="1">
      <c r="B733" s="43" t="s">
        <v>158</v>
      </c>
      <c r="C733" s="118" t="str">
        <f>R736&amp;"登録"</f>
        <v>バックアップ_MML_処方箋モジュール_本文登録</v>
      </c>
      <c r="D733" s="119"/>
      <c r="E733" s="119"/>
      <c r="F733" s="119"/>
      <c r="G733" s="119"/>
      <c r="H733" s="119"/>
      <c r="I733" s="119"/>
      <c r="J733" s="119"/>
      <c r="K733" s="119"/>
      <c r="L733" s="119"/>
      <c r="M733" s="119"/>
      <c r="N733" s="119"/>
      <c r="O733" s="119"/>
      <c r="P733" s="119"/>
      <c r="Q733" s="119"/>
      <c r="R733" s="119"/>
      <c r="S733" s="119"/>
      <c r="T733" s="119"/>
      <c r="U733" s="120"/>
      <c r="W733" s="35" t="str">
        <f>"-- "&amp;C733</f>
        <v>-- バックアップ_MML_処方箋モジュール_本文登録</v>
      </c>
    </row>
    <row r="734" spans="2:23" ht="18.75" customHeight="1">
      <c r="B734" s="43" t="s">
        <v>159</v>
      </c>
      <c r="C734" s="121" t="str">
        <f>C736&amp;"テーブルから組入れ条件の第一条件で絞り込んだ結果を"&amp;R736&amp;"テーブルに格納する。"</f>
        <v>MML_処方箋モジュール_本文テーブルから組入れ条件の第一条件で絞り込んだ結果をバックアップ_MML_処方箋モジュール_本文テーブルに格納する。</v>
      </c>
      <c r="D734" s="122"/>
      <c r="E734" s="122"/>
      <c r="F734" s="122"/>
      <c r="G734" s="122"/>
      <c r="H734" s="122"/>
      <c r="I734" s="122"/>
      <c r="J734" s="122"/>
      <c r="K734" s="122"/>
      <c r="L734" s="122"/>
      <c r="M734" s="122"/>
      <c r="N734" s="122"/>
      <c r="O734" s="122"/>
      <c r="P734" s="122"/>
      <c r="Q734" s="122"/>
      <c r="R734" s="122"/>
      <c r="S734" s="122"/>
      <c r="T734" s="122"/>
      <c r="U734" s="123"/>
      <c r="W734" s="35" t="str">
        <f>"-- "&amp;C734</f>
        <v>-- MML_処方箋モジュール_本文テーブルから組入れ条件の第一条件で絞り込んだ結果をバックアップ_MML_処方箋モジュール_本文テーブルに格納する。</v>
      </c>
    </row>
    <row r="736" spans="2:23" ht="18.75" customHeight="1">
      <c r="C736" s="110" t="s">
        <v>3614</v>
      </c>
      <c r="D736" s="111"/>
      <c r="E736" s="116" t="s">
        <v>162</v>
      </c>
      <c r="H736" s="36"/>
      <c r="I736" s="36"/>
      <c r="J736" s="36"/>
      <c r="K736" s="36"/>
      <c r="L736" s="36"/>
      <c r="M736" s="36"/>
      <c r="N736" s="36"/>
      <c r="O736" s="36"/>
      <c r="P736" s="36"/>
      <c r="Q736" s="36"/>
      <c r="R736" s="110" t="str">
        <f>"バックアップ_"&amp;SUBSTITUTE(C736,"_結合","")</f>
        <v>バックアップ_MML_処方箋モジュール_本文</v>
      </c>
      <c r="S736" s="111"/>
      <c r="T736" s="114" t="str">
        <f>エンティティ一覧!$O$2</f>
        <v>milscm_2023_009</v>
      </c>
    </row>
    <row r="737" spans="2:23" ht="18.75" customHeight="1">
      <c r="C737" s="112"/>
      <c r="D737" s="113"/>
      <c r="E737" s="117"/>
      <c r="F737" s="37"/>
      <c r="G737" s="38"/>
      <c r="H737" s="37"/>
      <c r="I737" s="37"/>
      <c r="J737" s="37"/>
      <c r="K737" s="37"/>
      <c r="L737" s="37"/>
      <c r="M737" s="37"/>
      <c r="N737" s="37"/>
      <c r="O737" s="37"/>
      <c r="P737" s="37"/>
      <c r="Q737" s="37"/>
      <c r="R737" s="112"/>
      <c r="S737" s="113"/>
      <c r="T737" s="115"/>
    </row>
    <row r="738" spans="2:23" ht="18.75" customHeight="1">
      <c r="F738" s="39"/>
      <c r="G738" s="40"/>
    </row>
    <row r="739" spans="2:23" ht="18.75" customHeight="1">
      <c r="C739" s="110" t="s">
        <v>3185</v>
      </c>
      <c r="D739" s="111"/>
      <c r="E739" s="114" t="str">
        <f>エンティティ一覧!$O$2</f>
        <v>milscm_2023_009</v>
      </c>
      <c r="G739" s="41"/>
    </row>
    <row r="740" spans="2:23" ht="18.75" customHeight="1">
      <c r="C740" s="112"/>
      <c r="D740" s="113"/>
      <c r="E740" s="115"/>
      <c r="F740" s="37"/>
    </row>
    <row r="742" spans="2:23" ht="18.75" customHeight="1" thickBot="1">
      <c r="B742" s="42"/>
      <c r="C742" s="42"/>
      <c r="D742" s="42"/>
      <c r="E742" s="42"/>
      <c r="F742" s="42"/>
      <c r="G742" s="42"/>
      <c r="H742" s="42"/>
      <c r="I742" s="42"/>
      <c r="J742" s="42"/>
      <c r="K742" s="42"/>
      <c r="L742" s="42"/>
      <c r="M742" s="42"/>
      <c r="N742" s="42"/>
      <c r="O742" s="42"/>
      <c r="P742" s="42"/>
      <c r="Q742" s="42"/>
      <c r="R742" s="42"/>
      <c r="S742" s="42"/>
      <c r="T742" s="42"/>
      <c r="U742" s="42"/>
    </row>
    <row r="744" spans="2:23" ht="18.75" customHeight="1">
      <c r="B744" s="43" t="s">
        <v>163</v>
      </c>
      <c r="C744" s="51" t="s">
        <v>3615</v>
      </c>
      <c r="D744" s="88"/>
      <c r="W744" s="35" t="str">
        <f>"-- "&amp;B744&amp;" : "&amp;C744</f>
        <v>-- SQL_ID : 01_A6-25</v>
      </c>
    </row>
    <row r="745" spans="2:23" ht="18.75" customHeight="1">
      <c r="B745" s="43" t="s">
        <v>158</v>
      </c>
      <c r="C745" s="118" t="str">
        <f>R748&amp;"登録"</f>
        <v>バックアップ_MML_処方箋モジュール_投薬登録</v>
      </c>
      <c r="D745" s="119"/>
      <c r="E745" s="119"/>
      <c r="F745" s="119"/>
      <c r="G745" s="119"/>
      <c r="H745" s="119"/>
      <c r="I745" s="119"/>
      <c r="J745" s="119"/>
      <c r="K745" s="119"/>
      <c r="L745" s="119"/>
      <c r="M745" s="119"/>
      <c r="N745" s="119"/>
      <c r="O745" s="119"/>
      <c r="P745" s="119"/>
      <c r="Q745" s="119"/>
      <c r="R745" s="119"/>
      <c r="S745" s="119"/>
      <c r="T745" s="119"/>
      <c r="U745" s="120"/>
      <c r="W745" s="35" t="str">
        <f>"-- "&amp;C745</f>
        <v>-- バックアップ_MML_処方箋モジュール_投薬登録</v>
      </c>
    </row>
    <row r="746" spans="2:23" ht="18.75" customHeight="1">
      <c r="B746" s="43" t="s">
        <v>159</v>
      </c>
      <c r="C746" s="121" t="str">
        <f>C748&amp;"テーブルから組入れ条件の第一条件で絞り込んだ結果を"&amp;R748&amp;"テーブルに格納する。"</f>
        <v>MML_処方箋モジュール_投薬テーブルから組入れ条件の第一条件で絞り込んだ結果をバックアップ_MML_処方箋モジュール_投薬テーブルに格納する。</v>
      </c>
      <c r="D746" s="122"/>
      <c r="E746" s="122"/>
      <c r="F746" s="122"/>
      <c r="G746" s="122"/>
      <c r="H746" s="122"/>
      <c r="I746" s="122"/>
      <c r="J746" s="122"/>
      <c r="K746" s="122"/>
      <c r="L746" s="122"/>
      <c r="M746" s="122"/>
      <c r="N746" s="122"/>
      <c r="O746" s="122"/>
      <c r="P746" s="122"/>
      <c r="Q746" s="122"/>
      <c r="R746" s="122"/>
      <c r="S746" s="122"/>
      <c r="T746" s="122"/>
      <c r="U746" s="123"/>
      <c r="W746" s="35" t="str">
        <f>"-- "&amp;C746</f>
        <v>-- MML_処方箋モジュール_投薬テーブルから組入れ条件の第一条件で絞り込んだ結果をバックアップ_MML_処方箋モジュール_投薬テーブルに格納する。</v>
      </c>
    </row>
    <row r="748" spans="2:23" ht="18.75" customHeight="1">
      <c r="C748" s="110" t="s">
        <v>3616</v>
      </c>
      <c r="D748" s="111"/>
      <c r="E748" s="116" t="s">
        <v>162</v>
      </c>
      <c r="H748" s="36"/>
      <c r="I748" s="36"/>
      <c r="J748" s="36"/>
      <c r="K748" s="36"/>
      <c r="L748" s="36"/>
      <c r="M748" s="36"/>
      <c r="N748" s="36"/>
      <c r="O748" s="36"/>
      <c r="P748" s="36"/>
      <c r="Q748" s="36"/>
      <c r="R748" s="110" t="str">
        <f>"バックアップ_"&amp;SUBSTITUTE(C748,"_結合","")</f>
        <v>バックアップ_MML_処方箋モジュール_投薬</v>
      </c>
      <c r="S748" s="111"/>
      <c r="T748" s="114" t="str">
        <f>エンティティ一覧!$O$2</f>
        <v>milscm_2023_009</v>
      </c>
    </row>
    <row r="749" spans="2:23" ht="18.75" customHeight="1">
      <c r="C749" s="112"/>
      <c r="D749" s="113"/>
      <c r="E749" s="117"/>
      <c r="F749" s="37"/>
      <c r="G749" s="38"/>
      <c r="H749" s="37"/>
      <c r="I749" s="37"/>
      <c r="J749" s="37"/>
      <c r="K749" s="37"/>
      <c r="L749" s="37"/>
      <c r="M749" s="37"/>
      <c r="N749" s="37"/>
      <c r="O749" s="37"/>
      <c r="P749" s="37"/>
      <c r="Q749" s="37"/>
      <c r="R749" s="112"/>
      <c r="S749" s="113"/>
      <c r="T749" s="115"/>
    </row>
    <row r="750" spans="2:23" ht="18.75" customHeight="1">
      <c r="F750" s="39"/>
      <c r="G750" s="40"/>
    </row>
    <row r="751" spans="2:23" ht="18.75" customHeight="1">
      <c r="C751" s="110" t="s">
        <v>3185</v>
      </c>
      <c r="D751" s="111"/>
      <c r="E751" s="114" t="str">
        <f>エンティティ一覧!$O$2</f>
        <v>milscm_2023_009</v>
      </c>
      <c r="G751" s="41"/>
    </row>
    <row r="752" spans="2:23" ht="18.75" customHeight="1">
      <c r="C752" s="112"/>
      <c r="D752" s="113"/>
      <c r="E752" s="115"/>
      <c r="F752" s="37"/>
    </row>
    <row r="754" spans="2:23" ht="18.75" customHeight="1" thickBot="1">
      <c r="B754" s="42"/>
      <c r="C754" s="42"/>
      <c r="D754" s="42"/>
      <c r="E754" s="42"/>
      <c r="F754" s="42"/>
      <c r="G754" s="42"/>
      <c r="H754" s="42"/>
      <c r="I754" s="42"/>
      <c r="J754" s="42"/>
      <c r="K754" s="42"/>
      <c r="L754" s="42"/>
      <c r="M754" s="42"/>
      <c r="N754" s="42"/>
      <c r="O754" s="42"/>
      <c r="P754" s="42"/>
      <c r="Q754" s="42"/>
      <c r="R754" s="42"/>
      <c r="S754" s="42"/>
      <c r="T754" s="42"/>
      <c r="U754" s="42"/>
    </row>
    <row r="756" spans="2:23" ht="18.75" customHeight="1">
      <c r="B756" s="43" t="s">
        <v>163</v>
      </c>
      <c r="C756" s="51" t="s">
        <v>3617</v>
      </c>
      <c r="D756" s="88"/>
      <c r="W756" s="35" t="str">
        <f>"-- "&amp;B756&amp;" : "&amp;C756</f>
        <v>-- SQL_ID : 01_A6-26</v>
      </c>
    </row>
    <row r="757" spans="2:23" ht="18.75" customHeight="1">
      <c r="B757" s="43" t="s">
        <v>158</v>
      </c>
      <c r="C757" s="118" t="str">
        <f>R760&amp;"登録"</f>
        <v>バックアップ_MML_処方箋モジュール_薬剤登録</v>
      </c>
      <c r="D757" s="119"/>
      <c r="E757" s="119"/>
      <c r="F757" s="119"/>
      <c r="G757" s="119"/>
      <c r="H757" s="119"/>
      <c r="I757" s="119"/>
      <c r="J757" s="119"/>
      <c r="K757" s="119"/>
      <c r="L757" s="119"/>
      <c r="M757" s="119"/>
      <c r="N757" s="119"/>
      <c r="O757" s="119"/>
      <c r="P757" s="119"/>
      <c r="Q757" s="119"/>
      <c r="R757" s="119"/>
      <c r="S757" s="119"/>
      <c r="T757" s="119"/>
      <c r="U757" s="120"/>
      <c r="W757" s="35" t="str">
        <f>"-- "&amp;C757</f>
        <v>-- バックアップ_MML_処方箋モジュール_薬剤登録</v>
      </c>
    </row>
    <row r="758" spans="2:23" ht="18.75" customHeight="1">
      <c r="B758" s="43" t="s">
        <v>159</v>
      </c>
      <c r="C758" s="121" t="str">
        <f>C760&amp;"テーブルから組入れ条件の第一条件で絞り込んだ結果を"&amp;R760&amp;"テーブルに格納する。"</f>
        <v>MML_処方箋モジュール_薬剤テーブルから組入れ条件の第一条件で絞り込んだ結果をバックアップ_MML_処方箋モジュール_薬剤テーブルに格納する。</v>
      </c>
      <c r="D758" s="122"/>
      <c r="E758" s="122"/>
      <c r="F758" s="122"/>
      <c r="G758" s="122"/>
      <c r="H758" s="122"/>
      <c r="I758" s="122"/>
      <c r="J758" s="122"/>
      <c r="K758" s="122"/>
      <c r="L758" s="122"/>
      <c r="M758" s="122"/>
      <c r="N758" s="122"/>
      <c r="O758" s="122"/>
      <c r="P758" s="122"/>
      <c r="Q758" s="122"/>
      <c r="R758" s="122"/>
      <c r="S758" s="122"/>
      <c r="T758" s="122"/>
      <c r="U758" s="123"/>
      <c r="W758" s="35" t="str">
        <f>"-- "&amp;C758</f>
        <v>-- MML_処方箋モジュール_薬剤テーブルから組入れ条件の第一条件で絞り込んだ結果をバックアップ_MML_処方箋モジュール_薬剤テーブルに格納する。</v>
      </c>
    </row>
    <row r="760" spans="2:23" ht="18.75" customHeight="1">
      <c r="C760" s="110" t="s">
        <v>3618</v>
      </c>
      <c r="D760" s="111"/>
      <c r="E760" s="116" t="s">
        <v>162</v>
      </c>
      <c r="H760" s="36"/>
      <c r="I760" s="36"/>
      <c r="J760" s="36"/>
      <c r="K760" s="36"/>
      <c r="L760" s="36"/>
      <c r="M760" s="36"/>
      <c r="N760" s="36"/>
      <c r="O760" s="36"/>
      <c r="P760" s="36"/>
      <c r="Q760" s="36"/>
      <c r="R760" s="110" t="str">
        <f>"バックアップ_"&amp;SUBSTITUTE(C760,"_結合","")</f>
        <v>バックアップ_MML_処方箋モジュール_薬剤</v>
      </c>
      <c r="S760" s="111"/>
      <c r="T760" s="114" t="str">
        <f>エンティティ一覧!$O$2</f>
        <v>milscm_2023_009</v>
      </c>
    </row>
    <row r="761" spans="2:23" ht="18.75" customHeight="1">
      <c r="C761" s="112"/>
      <c r="D761" s="113"/>
      <c r="E761" s="117"/>
      <c r="F761" s="37"/>
      <c r="G761" s="38"/>
      <c r="H761" s="37"/>
      <c r="I761" s="37"/>
      <c r="J761" s="37"/>
      <c r="K761" s="37"/>
      <c r="L761" s="37"/>
      <c r="M761" s="37"/>
      <c r="N761" s="37"/>
      <c r="O761" s="37"/>
      <c r="P761" s="37"/>
      <c r="Q761" s="37"/>
      <c r="R761" s="112"/>
      <c r="S761" s="113"/>
      <c r="T761" s="115"/>
    </row>
    <row r="762" spans="2:23" ht="18.75" customHeight="1">
      <c r="F762" s="39"/>
      <c r="G762" s="40"/>
    </row>
    <row r="763" spans="2:23" ht="18.75" customHeight="1">
      <c r="C763" s="110" t="s">
        <v>3185</v>
      </c>
      <c r="D763" s="111"/>
      <c r="E763" s="114" t="str">
        <f>エンティティ一覧!$O$2</f>
        <v>milscm_2023_009</v>
      </c>
      <c r="G763" s="41"/>
    </row>
    <row r="764" spans="2:23" ht="18.75" customHeight="1">
      <c r="C764" s="112"/>
      <c r="D764" s="113"/>
      <c r="E764" s="115"/>
      <c r="F764" s="37"/>
    </row>
    <row r="766" spans="2:23" ht="18.75" customHeight="1" thickBot="1">
      <c r="B766" s="42"/>
      <c r="C766" s="42"/>
      <c r="D766" s="42"/>
      <c r="E766" s="42"/>
      <c r="F766" s="42"/>
      <c r="G766" s="42"/>
      <c r="H766" s="42"/>
      <c r="I766" s="42"/>
      <c r="J766" s="42"/>
      <c r="K766" s="42"/>
      <c r="L766" s="42"/>
      <c r="M766" s="42"/>
      <c r="N766" s="42"/>
      <c r="O766" s="42"/>
      <c r="P766" s="42"/>
      <c r="Q766" s="42"/>
      <c r="R766" s="42"/>
      <c r="S766" s="42"/>
      <c r="T766" s="42"/>
      <c r="U766" s="42"/>
    </row>
    <row r="768" spans="2:23" ht="18.75" customHeight="1">
      <c r="B768" s="43" t="s">
        <v>163</v>
      </c>
      <c r="C768" s="51" t="s">
        <v>3619</v>
      </c>
      <c r="D768" s="88"/>
      <c r="W768" s="35" t="str">
        <f>"-- "&amp;B768&amp;" : "&amp;C768</f>
        <v>-- SQL_ID : 01_A6-27</v>
      </c>
    </row>
    <row r="769" spans="2:23" ht="18.75" customHeight="1">
      <c r="B769" s="43" t="s">
        <v>158</v>
      </c>
      <c r="C769" s="118" t="str">
        <f>R772&amp;"登録"</f>
        <v>バックアップ_MML_注射記録モジュール_本文登録</v>
      </c>
      <c r="D769" s="119"/>
      <c r="E769" s="119"/>
      <c r="F769" s="119"/>
      <c r="G769" s="119"/>
      <c r="H769" s="119"/>
      <c r="I769" s="119"/>
      <c r="J769" s="119"/>
      <c r="K769" s="119"/>
      <c r="L769" s="119"/>
      <c r="M769" s="119"/>
      <c r="N769" s="119"/>
      <c r="O769" s="119"/>
      <c r="P769" s="119"/>
      <c r="Q769" s="119"/>
      <c r="R769" s="119"/>
      <c r="S769" s="119"/>
      <c r="T769" s="119"/>
      <c r="U769" s="120"/>
      <c r="W769" s="35" t="str">
        <f>"-- "&amp;C769</f>
        <v>-- バックアップ_MML_注射記録モジュール_本文登録</v>
      </c>
    </row>
    <row r="770" spans="2:23" ht="18.75" customHeight="1">
      <c r="B770" s="43" t="s">
        <v>159</v>
      </c>
      <c r="C770" s="121" t="str">
        <f>C772&amp;"テーブルから組入れ条件の第一条件で絞り込んだ結果を"&amp;R772&amp;"テーブルに格納する。"</f>
        <v>MML_注射記録モジュール_本文テーブルから組入れ条件の第一条件で絞り込んだ結果をバックアップ_MML_注射記録モジュール_本文テーブルに格納する。</v>
      </c>
      <c r="D770" s="122"/>
      <c r="E770" s="122"/>
      <c r="F770" s="122"/>
      <c r="G770" s="122"/>
      <c r="H770" s="122"/>
      <c r="I770" s="122"/>
      <c r="J770" s="122"/>
      <c r="K770" s="122"/>
      <c r="L770" s="122"/>
      <c r="M770" s="122"/>
      <c r="N770" s="122"/>
      <c r="O770" s="122"/>
      <c r="P770" s="122"/>
      <c r="Q770" s="122"/>
      <c r="R770" s="122"/>
      <c r="S770" s="122"/>
      <c r="T770" s="122"/>
      <c r="U770" s="123"/>
      <c r="W770" s="35" t="str">
        <f>"-- "&amp;C770</f>
        <v>-- MML_注射記録モジュール_本文テーブルから組入れ条件の第一条件で絞り込んだ結果をバックアップ_MML_注射記録モジュール_本文テーブルに格納する。</v>
      </c>
    </row>
    <row r="772" spans="2:23" ht="18.75" customHeight="1">
      <c r="C772" s="110" t="s">
        <v>3620</v>
      </c>
      <c r="D772" s="111"/>
      <c r="E772" s="116" t="s">
        <v>162</v>
      </c>
      <c r="H772" s="36"/>
      <c r="I772" s="36"/>
      <c r="J772" s="36"/>
      <c r="K772" s="36"/>
      <c r="L772" s="36"/>
      <c r="M772" s="36"/>
      <c r="N772" s="36"/>
      <c r="O772" s="36"/>
      <c r="P772" s="36"/>
      <c r="Q772" s="36"/>
      <c r="R772" s="110" t="str">
        <f>"バックアップ_"&amp;SUBSTITUTE(C772,"_結合","")</f>
        <v>バックアップ_MML_注射記録モジュール_本文</v>
      </c>
      <c r="S772" s="111"/>
      <c r="T772" s="114" t="str">
        <f>エンティティ一覧!$O$2</f>
        <v>milscm_2023_009</v>
      </c>
    </row>
    <row r="773" spans="2:23" ht="18.75" customHeight="1">
      <c r="C773" s="112"/>
      <c r="D773" s="113"/>
      <c r="E773" s="117"/>
      <c r="F773" s="37"/>
      <c r="G773" s="38"/>
      <c r="H773" s="37"/>
      <c r="I773" s="37"/>
      <c r="J773" s="37"/>
      <c r="K773" s="37"/>
      <c r="L773" s="37"/>
      <c r="M773" s="37"/>
      <c r="N773" s="37"/>
      <c r="O773" s="37"/>
      <c r="P773" s="37"/>
      <c r="Q773" s="37"/>
      <c r="R773" s="112"/>
      <c r="S773" s="113"/>
      <c r="T773" s="115"/>
    </row>
    <row r="774" spans="2:23" ht="18.75" customHeight="1">
      <c r="F774" s="39"/>
      <c r="G774" s="40"/>
    </row>
    <row r="775" spans="2:23" ht="18.75" customHeight="1">
      <c r="C775" s="110" t="s">
        <v>3185</v>
      </c>
      <c r="D775" s="111"/>
      <c r="E775" s="114" t="str">
        <f>エンティティ一覧!$O$2</f>
        <v>milscm_2023_009</v>
      </c>
      <c r="G775" s="41"/>
    </row>
    <row r="776" spans="2:23" ht="18.75" customHeight="1">
      <c r="C776" s="112"/>
      <c r="D776" s="113"/>
      <c r="E776" s="115"/>
      <c r="F776" s="37"/>
    </row>
    <row r="778" spans="2:23" ht="18.75" customHeight="1" thickBot="1">
      <c r="B778" s="42"/>
      <c r="C778" s="42"/>
      <c r="D778" s="42"/>
      <c r="E778" s="42"/>
      <c r="F778" s="42"/>
      <c r="G778" s="42"/>
      <c r="H778" s="42"/>
      <c r="I778" s="42"/>
      <c r="J778" s="42"/>
      <c r="K778" s="42"/>
      <c r="L778" s="42"/>
      <c r="M778" s="42"/>
      <c r="N778" s="42"/>
      <c r="O778" s="42"/>
      <c r="P778" s="42"/>
      <c r="Q778" s="42"/>
      <c r="R778" s="42"/>
      <c r="S778" s="42"/>
      <c r="T778" s="42"/>
      <c r="U778" s="42"/>
    </row>
    <row r="780" spans="2:23" ht="18.75" customHeight="1">
      <c r="B780" s="43" t="s">
        <v>163</v>
      </c>
      <c r="C780" s="51" t="s">
        <v>3621</v>
      </c>
      <c r="D780" s="88"/>
      <c r="W780" s="35" t="str">
        <f>"-- "&amp;B780&amp;" : "&amp;C780</f>
        <v>-- SQL_ID : 01_A6-28</v>
      </c>
    </row>
    <row r="781" spans="2:23" ht="18.75" customHeight="1">
      <c r="B781" s="43" t="s">
        <v>158</v>
      </c>
      <c r="C781" s="118" t="str">
        <f>R784&amp;"登録"</f>
        <v>バックアップ_MML_注射記録モジュール_投薬登録</v>
      </c>
      <c r="D781" s="119"/>
      <c r="E781" s="119"/>
      <c r="F781" s="119"/>
      <c r="G781" s="119"/>
      <c r="H781" s="119"/>
      <c r="I781" s="119"/>
      <c r="J781" s="119"/>
      <c r="K781" s="119"/>
      <c r="L781" s="119"/>
      <c r="M781" s="119"/>
      <c r="N781" s="119"/>
      <c r="O781" s="119"/>
      <c r="P781" s="119"/>
      <c r="Q781" s="119"/>
      <c r="R781" s="119"/>
      <c r="S781" s="119"/>
      <c r="T781" s="119"/>
      <c r="U781" s="120"/>
      <c r="W781" s="35" t="str">
        <f>"-- "&amp;C781</f>
        <v>-- バックアップ_MML_注射記録モジュール_投薬登録</v>
      </c>
    </row>
    <row r="782" spans="2:23" ht="18.75" customHeight="1">
      <c r="B782" s="43" t="s">
        <v>159</v>
      </c>
      <c r="C782" s="121" t="str">
        <f>C784&amp;"テーブルから組入れ条件の第一条件で絞り込んだ結果を"&amp;R784&amp;"テーブルに格納する。"</f>
        <v>MML_注射記録モジュール_投薬テーブルから組入れ条件の第一条件で絞り込んだ結果をバックアップ_MML_注射記録モジュール_投薬テーブルに格納する。</v>
      </c>
      <c r="D782" s="122"/>
      <c r="E782" s="122"/>
      <c r="F782" s="122"/>
      <c r="G782" s="122"/>
      <c r="H782" s="122"/>
      <c r="I782" s="122"/>
      <c r="J782" s="122"/>
      <c r="K782" s="122"/>
      <c r="L782" s="122"/>
      <c r="M782" s="122"/>
      <c r="N782" s="122"/>
      <c r="O782" s="122"/>
      <c r="P782" s="122"/>
      <c r="Q782" s="122"/>
      <c r="R782" s="122"/>
      <c r="S782" s="122"/>
      <c r="T782" s="122"/>
      <c r="U782" s="123"/>
      <c r="W782" s="35" t="str">
        <f>"-- "&amp;C782</f>
        <v>-- MML_注射記録モジュール_投薬テーブルから組入れ条件の第一条件で絞り込んだ結果をバックアップ_MML_注射記録モジュール_投薬テーブルに格納する。</v>
      </c>
    </row>
    <row r="784" spans="2:23" ht="18.75" customHeight="1">
      <c r="C784" s="110" t="s">
        <v>3622</v>
      </c>
      <c r="D784" s="111"/>
      <c r="E784" s="116" t="s">
        <v>162</v>
      </c>
      <c r="H784" s="36"/>
      <c r="I784" s="36"/>
      <c r="J784" s="36"/>
      <c r="K784" s="36"/>
      <c r="L784" s="36"/>
      <c r="M784" s="36"/>
      <c r="N784" s="36"/>
      <c r="O784" s="36"/>
      <c r="P784" s="36"/>
      <c r="Q784" s="36"/>
      <c r="R784" s="110" t="str">
        <f>"バックアップ_"&amp;SUBSTITUTE(C784,"_結合","")</f>
        <v>バックアップ_MML_注射記録モジュール_投薬</v>
      </c>
      <c r="S784" s="111"/>
      <c r="T784" s="114" t="str">
        <f>エンティティ一覧!$O$2</f>
        <v>milscm_2023_009</v>
      </c>
    </row>
    <row r="785" spans="2:23" ht="18.75" customHeight="1">
      <c r="C785" s="112"/>
      <c r="D785" s="113"/>
      <c r="E785" s="117"/>
      <c r="F785" s="37"/>
      <c r="G785" s="38"/>
      <c r="H785" s="37"/>
      <c r="I785" s="37"/>
      <c r="J785" s="37"/>
      <c r="K785" s="37"/>
      <c r="L785" s="37"/>
      <c r="M785" s="37"/>
      <c r="N785" s="37"/>
      <c r="O785" s="37"/>
      <c r="P785" s="37"/>
      <c r="Q785" s="37"/>
      <c r="R785" s="112"/>
      <c r="S785" s="113"/>
      <c r="T785" s="115"/>
    </row>
    <row r="786" spans="2:23" ht="18.75" customHeight="1">
      <c r="F786" s="39"/>
      <c r="G786" s="40"/>
    </row>
    <row r="787" spans="2:23" ht="18.75" customHeight="1">
      <c r="C787" s="110" t="s">
        <v>3185</v>
      </c>
      <c r="D787" s="111"/>
      <c r="E787" s="114" t="str">
        <f>エンティティ一覧!$O$2</f>
        <v>milscm_2023_009</v>
      </c>
      <c r="G787" s="41"/>
    </row>
    <row r="788" spans="2:23" ht="18.75" customHeight="1">
      <c r="C788" s="112"/>
      <c r="D788" s="113"/>
      <c r="E788" s="115"/>
      <c r="F788" s="37"/>
    </row>
    <row r="790" spans="2:23" ht="18.75" customHeight="1" thickBot="1">
      <c r="B790" s="42"/>
      <c r="C790" s="42"/>
      <c r="D790" s="42"/>
      <c r="E790" s="42"/>
      <c r="F790" s="42"/>
      <c r="G790" s="42"/>
      <c r="H790" s="42"/>
      <c r="I790" s="42"/>
      <c r="J790" s="42"/>
      <c r="K790" s="42"/>
      <c r="L790" s="42"/>
      <c r="M790" s="42"/>
      <c r="N790" s="42"/>
      <c r="O790" s="42"/>
      <c r="P790" s="42"/>
      <c r="Q790" s="42"/>
      <c r="R790" s="42"/>
      <c r="S790" s="42"/>
      <c r="T790" s="42"/>
      <c r="U790" s="42"/>
    </row>
    <row r="792" spans="2:23" ht="18.75" customHeight="1">
      <c r="B792" s="43" t="s">
        <v>163</v>
      </c>
      <c r="C792" s="51" t="s">
        <v>3623</v>
      </c>
      <c r="D792" s="88"/>
      <c r="W792" s="35" t="str">
        <f>"-- "&amp;B792&amp;" : "&amp;C792</f>
        <v>-- SQL_ID : 01_A6-29</v>
      </c>
    </row>
    <row r="793" spans="2:23" ht="18.75" customHeight="1">
      <c r="B793" s="43" t="s">
        <v>158</v>
      </c>
      <c r="C793" s="118" t="str">
        <f>R796&amp;"登録"</f>
        <v>バックアップ_MML_注射記録モジュール_薬剤登録</v>
      </c>
      <c r="D793" s="119"/>
      <c r="E793" s="119"/>
      <c r="F793" s="119"/>
      <c r="G793" s="119"/>
      <c r="H793" s="119"/>
      <c r="I793" s="119"/>
      <c r="J793" s="119"/>
      <c r="K793" s="119"/>
      <c r="L793" s="119"/>
      <c r="M793" s="119"/>
      <c r="N793" s="119"/>
      <c r="O793" s="119"/>
      <c r="P793" s="119"/>
      <c r="Q793" s="119"/>
      <c r="R793" s="119"/>
      <c r="S793" s="119"/>
      <c r="T793" s="119"/>
      <c r="U793" s="120"/>
      <c r="W793" s="35" t="str">
        <f>"-- "&amp;C793</f>
        <v>-- バックアップ_MML_注射記録モジュール_薬剤登録</v>
      </c>
    </row>
    <row r="794" spans="2:23" ht="18.75" customHeight="1">
      <c r="B794" s="43" t="s">
        <v>159</v>
      </c>
      <c r="C794" s="121" t="str">
        <f>C796&amp;"テーブルから組入れ条件の第一条件で絞り込んだ結果を"&amp;R796&amp;"テーブルに格納する。"</f>
        <v>MML_注射記録モジュール_薬剤テーブルから組入れ条件の第一条件で絞り込んだ結果をバックアップ_MML_注射記録モジュール_薬剤テーブルに格納する。</v>
      </c>
      <c r="D794" s="122"/>
      <c r="E794" s="122"/>
      <c r="F794" s="122"/>
      <c r="G794" s="122"/>
      <c r="H794" s="122"/>
      <c r="I794" s="122"/>
      <c r="J794" s="122"/>
      <c r="K794" s="122"/>
      <c r="L794" s="122"/>
      <c r="M794" s="122"/>
      <c r="N794" s="122"/>
      <c r="O794" s="122"/>
      <c r="P794" s="122"/>
      <c r="Q794" s="122"/>
      <c r="R794" s="122"/>
      <c r="S794" s="122"/>
      <c r="T794" s="122"/>
      <c r="U794" s="123"/>
      <c r="W794" s="35" t="str">
        <f>"-- "&amp;C794</f>
        <v>-- MML_注射記録モジュール_薬剤テーブルから組入れ条件の第一条件で絞り込んだ結果をバックアップ_MML_注射記録モジュール_薬剤テーブルに格納する。</v>
      </c>
    </row>
    <row r="796" spans="2:23" ht="18.75" customHeight="1">
      <c r="C796" s="110" t="s">
        <v>3624</v>
      </c>
      <c r="D796" s="111"/>
      <c r="E796" s="116" t="s">
        <v>162</v>
      </c>
      <c r="H796" s="36"/>
      <c r="I796" s="36"/>
      <c r="J796" s="36"/>
      <c r="K796" s="36"/>
      <c r="L796" s="36"/>
      <c r="M796" s="36"/>
      <c r="N796" s="36"/>
      <c r="O796" s="36"/>
      <c r="P796" s="36"/>
      <c r="Q796" s="36"/>
      <c r="R796" s="110" t="str">
        <f>"バックアップ_"&amp;SUBSTITUTE(C796,"_結合","")</f>
        <v>バックアップ_MML_注射記録モジュール_薬剤</v>
      </c>
      <c r="S796" s="111"/>
      <c r="T796" s="114" t="str">
        <f>エンティティ一覧!$O$2</f>
        <v>milscm_2023_009</v>
      </c>
    </row>
    <row r="797" spans="2:23" ht="18.75" customHeight="1">
      <c r="C797" s="112"/>
      <c r="D797" s="113"/>
      <c r="E797" s="117"/>
      <c r="F797" s="37"/>
      <c r="G797" s="38"/>
      <c r="H797" s="37"/>
      <c r="I797" s="37"/>
      <c r="J797" s="37"/>
      <c r="K797" s="37"/>
      <c r="L797" s="37"/>
      <c r="M797" s="37"/>
      <c r="N797" s="37"/>
      <c r="O797" s="37"/>
      <c r="P797" s="37"/>
      <c r="Q797" s="37"/>
      <c r="R797" s="112"/>
      <c r="S797" s="113"/>
      <c r="T797" s="115"/>
    </row>
    <row r="798" spans="2:23" ht="18.75" customHeight="1">
      <c r="F798" s="39"/>
      <c r="G798" s="40"/>
    </row>
    <row r="799" spans="2:23" ht="18.75" customHeight="1">
      <c r="C799" s="110" t="s">
        <v>3185</v>
      </c>
      <c r="D799" s="111"/>
      <c r="E799" s="114" t="str">
        <f>エンティティ一覧!$O$2</f>
        <v>milscm_2023_009</v>
      </c>
      <c r="G799" s="41"/>
    </row>
    <row r="800" spans="2:23" ht="18.75" customHeight="1">
      <c r="C800" s="112"/>
      <c r="D800" s="113"/>
      <c r="E800" s="115"/>
      <c r="F800" s="37"/>
    </row>
    <row r="802" spans="2:23" ht="18.75" customHeight="1" thickBot="1">
      <c r="B802" s="42"/>
      <c r="C802" s="42"/>
      <c r="D802" s="42"/>
      <c r="E802" s="42"/>
      <c r="F802" s="42"/>
      <c r="G802" s="42"/>
      <c r="H802" s="42"/>
      <c r="I802" s="42"/>
      <c r="J802" s="42"/>
      <c r="K802" s="42"/>
      <c r="L802" s="42"/>
      <c r="M802" s="42"/>
      <c r="N802" s="42"/>
      <c r="O802" s="42"/>
      <c r="P802" s="42"/>
      <c r="Q802" s="42"/>
      <c r="R802" s="42"/>
      <c r="S802" s="42"/>
      <c r="T802" s="42"/>
      <c r="U802" s="42"/>
    </row>
    <row r="804" spans="2:23" ht="18.75" customHeight="1">
      <c r="B804" s="43" t="s">
        <v>163</v>
      </c>
      <c r="C804" s="51" t="s">
        <v>3625</v>
      </c>
      <c r="D804" s="88"/>
      <c r="W804" s="35" t="str">
        <f>"-- "&amp;B804&amp;" : "&amp;C804</f>
        <v>-- SQL_ID : 01_A6-42</v>
      </c>
    </row>
    <row r="805" spans="2:23" ht="18.75" customHeight="1">
      <c r="B805" s="43" t="s">
        <v>158</v>
      </c>
      <c r="C805" s="118" t="str">
        <f>R808&amp;"登録"</f>
        <v>バックアップ_MML_手術モジュール_手術項目登録</v>
      </c>
      <c r="D805" s="119"/>
      <c r="E805" s="119"/>
      <c r="F805" s="119"/>
      <c r="G805" s="119"/>
      <c r="H805" s="119"/>
      <c r="I805" s="119"/>
      <c r="J805" s="119"/>
      <c r="K805" s="119"/>
      <c r="L805" s="119"/>
      <c r="M805" s="119"/>
      <c r="N805" s="119"/>
      <c r="O805" s="119"/>
      <c r="P805" s="119"/>
      <c r="Q805" s="119"/>
      <c r="R805" s="119"/>
      <c r="S805" s="119"/>
      <c r="T805" s="119"/>
      <c r="U805" s="120"/>
      <c r="W805" s="35" t="str">
        <f>"-- "&amp;C805</f>
        <v>-- バックアップ_MML_手術モジュール_手術項目登録</v>
      </c>
    </row>
    <row r="806" spans="2:23" ht="18.75" customHeight="1">
      <c r="B806" s="43" t="s">
        <v>159</v>
      </c>
      <c r="C806" s="121" t="str">
        <f>C808&amp;"テーブルから組入れ条件の第一条件で絞り込んだ結果を"&amp;R808&amp;"テーブルに格納する。"</f>
        <v>MML_手術モジュール_手術項目テーブルから組入れ条件の第一条件で絞り込んだ結果をバックアップ_MML_手術モジュール_手術項目テーブルに格納する。</v>
      </c>
      <c r="D806" s="122"/>
      <c r="E806" s="122"/>
      <c r="F806" s="122"/>
      <c r="G806" s="122"/>
      <c r="H806" s="122"/>
      <c r="I806" s="122"/>
      <c r="J806" s="122"/>
      <c r="K806" s="122"/>
      <c r="L806" s="122"/>
      <c r="M806" s="122"/>
      <c r="N806" s="122"/>
      <c r="O806" s="122"/>
      <c r="P806" s="122"/>
      <c r="Q806" s="122"/>
      <c r="R806" s="122"/>
      <c r="S806" s="122"/>
      <c r="T806" s="122"/>
      <c r="U806" s="123"/>
      <c r="W806" s="35" t="str">
        <f>"-- "&amp;C806</f>
        <v>-- MML_手術モジュール_手術項目テーブルから組入れ条件の第一条件で絞り込んだ結果をバックアップ_MML_手術モジュール_手術項目テーブルに格納する。</v>
      </c>
    </row>
    <row r="808" spans="2:23" ht="18.75" customHeight="1">
      <c r="C808" s="110" t="s">
        <v>3626</v>
      </c>
      <c r="D808" s="111"/>
      <c r="E808" s="116" t="s">
        <v>162</v>
      </c>
      <c r="H808" s="36"/>
      <c r="I808" s="36"/>
      <c r="J808" s="36"/>
      <c r="K808" s="36"/>
      <c r="L808" s="36"/>
      <c r="M808" s="36"/>
      <c r="N808" s="36"/>
      <c r="O808" s="36"/>
      <c r="P808" s="36"/>
      <c r="Q808" s="36"/>
      <c r="R808" s="110" t="str">
        <f>"バックアップ_"&amp;SUBSTITUTE(C808,"_結合","")</f>
        <v>バックアップ_MML_手術モジュール_手術項目</v>
      </c>
      <c r="S808" s="111"/>
      <c r="T808" s="114" t="str">
        <f>エンティティ一覧!$O$2</f>
        <v>milscm_2023_009</v>
      </c>
    </row>
    <row r="809" spans="2:23" ht="18.75" customHeight="1">
      <c r="C809" s="112"/>
      <c r="D809" s="113"/>
      <c r="E809" s="117"/>
      <c r="F809" s="37"/>
      <c r="G809" s="38"/>
      <c r="H809" s="37"/>
      <c r="I809" s="37"/>
      <c r="J809" s="37"/>
      <c r="K809" s="37"/>
      <c r="L809" s="37"/>
      <c r="M809" s="37"/>
      <c r="N809" s="37"/>
      <c r="O809" s="37"/>
      <c r="P809" s="37"/>
      <c r="Q809" s="37"/>
      <c r="R809" s="112"/>
      <c r="S809" s="113"/>
      <c r="T809" s="115"/>
    </row>
    <row r="810" spans="2:23" ht="18.75" customHeight="1">
      <c r="F810" s="39"/>
      <c r="G810" s="40"/>
    </row>
    <row r="811" spans="2:23" ht="18.75" customHeight="1">
      <c r="C811" s="110" t="s">
        <v>3185</v>
      </c>
      <c r="D811" s="111"/>
      <c r="E811" s="114" t="str">
        <f>エンティティ一覧!$O$2</f>
        <v>milscm_2023_009</v>
      </c>
      <c r="G811" s="41"/>
    </row>
    <row r="812" spans="2:23" ht="18.75" customHeight="1">
      <c r="C812" s="112"/>
      <c r="D812" s="113"/>
      <c r="E812" s="115"/>
      <c r="F812" s="37"/>
    </row>
    <row r="814" spans="2:23" ht="18.75" customHeight="1" thickBot="1">
      <c r="B814" s="42"/>
      <c r="C814" s="42"/>
      <c r="D814" s="42"/>
      <c r="E814" s="42"/>
      <c r="F814" s="42"/>
      <c r="G814" s="42"/>
      <c r="H814" s="42"/>
      <c r="I814" s="42"/>
      <c r="J814" s="42"/>
      <c r="K814" s="42"/>
      <c r="L814" s="42"/>
      <c r="M814" s="42"/>
      <c r="N814" s="42"/>
      <c r="O814" s="42"/>
      <c r="P814" s="42"/>
      <c r="Q814" s="42"/>
      <c r="R814" s="42"/>
      <c r="S814" s="42"/>
      <c r="T814" s="42"/>
      <c r="U814" s="42"/>
    </row>
    <row r="816" spans="2:23" ht="18.75" customHeight="1">
      <c r="B816" s="43" t="s">
        <v>163</v>
      </c>
      <c r="C816" s="51" t="s">
        <v>3627</v>
      </c>
      <c r="D816" s="88"/>
      <c r="W816" s="35" t="str">
        <f>"-- "&amp;B816&amp;" : "&amp;C816</f>
        <v>-- SQL_ID : 01_A6-43</v>
      </c>
    </row>
    <row r="817" spans="2:23" ht="18.75" customHeight="1">
      <c r="B817" s="43" t="s">
        <v>158</v>
      </c>
      <c r="C817" s="118" t="str">
        <f>R820&amp;"登録"</f>
        <v>バックアップ_MML_手術モジュール_診療科情報登録</v>
      </c>
      <c r="D817" s="119"/>
      <c r="E817" s="119"/>
      <c r="F817" s="119"/>
      <c r="G817" s="119"/>
      <c r="H817" s="119"/>
      <c r="I817" s="119"/>
      <c r="J817" s="119"/>
      <c r="K817" s="119"/>
      <c r="L817" s="119"/>
      <c r="M817" s="119"/>
      <c r="N817" s="119"/>
      <c r="O817" s="119"/>
      <c r="P817" s="119"/>
      <c r="Q817" s="119"/>
      <c r="R817" s="119"/>
      <c r="S817" s="119"/>
      <c r="T817" s="119"/>
      <c r="U817" s="120"/>
      <c r="W817" s="35" t="str">
        <f>"-- "&amp;C817</f>
        <v>-- バックアップ_MML_手術モジュール_診療科情報登録</v>
      </c>
    </row>
    <row r="818" spans="2:23" ht="18.75" customHeight="1">
      <c r="B818" s="43" t="s">
        <v>159</v>
      </c>
      <c r="C818" s="121" t="str">
        <f>C820&amp;"テーブルから組入れ条件の第一条件で絞り込んだ結果を"&amp;R820&amp;"テーブルに格納する。"</f>
        <v>MML_手術モジュール_診療科情報テーブルから組入れ条件の第一条件で絞り込んだ結果をバックアップ_MML_手術モジュール_診療科情報テーブルに格納する。</v>
      </c>
      <c r="D818" s="122"/>
      <c r="E818" s="122"/>
      <c r="F818" s="122"/>
      <c r="G818" s="122"/>
      <c r="H818" s="122"/>
      <c r="I818" s="122"/>
      <c r="J818" s="122"/>
      <c r="K818" s="122"/>
      <c r="L818" s="122"/>
      <c r="M818" s="122"/>
      <c r="N818" s="122"/>
      <c r="O818" s="122"/>
      <c r="P818" s="122"/>
      <c r="Q818" s="122"/>
      <c r="R818" s="122"/>
      <c r="S818" s="122"/>
      <c r="T818" s="122"/>
      <c r="U818" s="123"/>
      <c r="W818" s="35" t="str">
        <f>"-- "&amp;C818</f>
        <v>-- MML_手術モジュール_診療科情報テーブルから組入れ条件の第一条件で絞り込んだ結果をバックアップ_MML_手術モジュール_診療科情報テーブルに格納する。</v>
      </c>
    </row>
    <row r="820" spans="2:23" ht="18.75" customHeight="1">
      <c r="C820" s="110" t="s">
        <v>3628</v>
      </c>
      <c r="D820" s="111"/>
      <c r="E820" s="116" t="s">
        <v>162</v>
      </c>
      <c r="H820" s="36"/>
      <c r="I820" s="36"/>
      <c r="J820" s="36"/>
      <c r="K820" s="36"/>
      <c r="L820" s="36"/>
      <c r="M820" s="36"/>
      <c r="N820" s="36"/>
      <c r="O820" s="36"/>
      <c r="P820" s="36"/>
      <c r="Q820" s="36"/>
      <c r="R820" s="110" t="str">
        <f>"バックアップ_"&amp;SUBSTITUTE(C820,"_結合","")</f>
        <v>バックアップ_MML_手術モジュール_診療科情報</v>
      </c>
      <c r="S820" s="111"/>
      <c r="T820" s="114" t="str">
        <f>エンティティ一覧!$O$2</f>
        <v>milscm_2023_009</v>
      </c>
    </row>
    <row r="821" spans="2:23" ht="18.75" customHeight="1">
      <c r="C821" s="112"/>
      <c r="D821" s="113"/>
      <c r="E821" s="117"/>
      <c r="F821" s="37"/>
      <c r="G821" s="38"/>
      <c r="H821" s="37"/>
      <c r="I821" s="37"/>
      <c r="J821" s="37"/>
      <c r="K821" s="37"/>
      <c r="L821" s="37"/>
      <c r="M821" s="37"/>
      <c r="N821" s="37"/>
      <c r="O821" s="37"/>
      <c r="P821" s="37"/>
      <c r="Q821" s="37"/>
      <c r="R821" s="112"/>
      <c r="S821" s="113"/>
      <c r="T821" s="115"/>
    </row>
    <row r="822" spans="2:23" ht="18.75" customHeight="1">
      <c r="F822" s="39"/>
      <c r="G822" s="40"/>
    </row>
    <row r="823" spans="2:23" ht="18.75" customHeight="1">
      <c r="C823" s="110" t="s">
        <v>3185</v>
      </c>
      <c r="D823" s="111"/>
      <c r="E823" s="114" t="str">
        <f>エンティティ一覧!$O$2</f>
        <v>milscm_2023_009</v>
      </c>
      <c r="G823" s="41"/>
    </row>
    <row r="824" spans="2:23" ht="18.75" customHeight="1">
      <c r="C824" s="112"/>
      <c r="D824" s="113"/>
      <c r="E824" s="115"/>
      <c r="F824" s="37"/>
    </row>
    <row r="826" spans="2:23" ht="18.75" customHeight="1" thickBot="1">
      <c r="B826" s="42"/>
      <c r="C826" s="42"/>
      <c r="D826" s="42"/>
      <c r="E826" s="42"/>
      <c r="F826" s="42"/>
      <c r="G826" s="42"/>
      <c r="H826" s="42"/>
      <c r="I826" s="42"/>
      <c r="J826" s="42"/>
      <c r="K826" s="42"/>
      <c r="L826" s="42"/>
      <c r="M826" s="42"/>
      <c r="N826" s="42"/>
      <c r="O826" s="42"/>
      <c r="P826" s="42"/>
      <c r="Q826" s="42"/>
      <c r="R826" s="42"/>
      <c r="S826" s="42"/>
      <c r="T826" s="42"/>
      <c r="U826" s="42"/>
    </row>
    <row r="828" spans="2:23" ht="18.75" customHeight="1">
      <c r="B828" s="43" t="s">
        <v>163</v>
      </c>
      <c r="C828" s="51" t="s">
        <v>3629</v>
      </c>
      <c r="D828" s="88"/>
      <c r="W828" s="35" t="str">
        <f>"-- "&amp;B828&amp;" : "&amp;C828</f>
        <v>-- SQL_ID : 01_A6-44</v>
      </c>
    </row>
    <row r="829" spans="2:23" ht="18.75" customHeight="1">
      <c r="B829" s="43" t="s">
        <v>158</v>
      </c>
      <c r="C829" s="118" t="str">
        <f>R832&amp;"登録"</f>
        <v>バックアップ_MML_手術モジュール_診断履歴情報登録</v>
      </c>
      <c r="D829" s="119"/>
      <c r="E829" s="119"/>
      <c r="F829" s="119"/>
      <c r="G829" s="119"/>
      <c r="H829" s="119"/>
      <c r="I829" s="119"/>
      <c r="J829" s="119"/>
      <c r="K829" s="119"/>
      <c r="L829" s="119"/>
      <c r="M829" s="119"/>
      <c r="N829" s="119"/>
      <c r="O829" s="119"/>
      <c r="P829" s="119"/>
      <c r="Q829" s="119"/>
      <c r="R829" s="119"/>
      <c r="S829" s="119"/>
      <c r="T829" s="119"/>
      <c r="U829" s="120"/>
      <c r="W829" s="35" t="str">
        <f>"-- "&amp;C829</f>
        <v>-- バックアップ_MML_手術モジュール_診断履歴情報登録</v>
      </c>
    </row>
    <row r="830" spans="2:23" ht="18.75" customHeight="1">
      <c r="B830" s="43" t="s">
        <v>159</v>
      </c>
      <c r="C830" s="121" t="str">
        <f>C832&amp;"テーブルから組入れ条件の第一条件で絞り込んだ結果を"&amp;R832&amp;"テーブルに格納する。"</f>
        <v>MML_手術モジュール_診断履歴情報テーブルから組入れ条件の第一条件で絞り込んだ結果をバックアップ_MML_手術モジュール_診断履歴情報テーブルに格納する。</v>
      </c>
      <c r="D830" s="122"/>
      <c r="E830" s="122"/>
      <c r="F830" s="122"/>
      <c r="G830" s="122"/>
      <c r="H830" s="122"/>
      <c r="I830" s="122"/>
      <c r="J830" s="122"/>
      <c r="K830" s="122"/>
      <c r="L830" s="122"/>
      <c r="M830" s="122"/>
      <c r="N830" s="122"/>
      <c r="O830" s="122"/>
      <c r="P830" s="122"/>
      <c r="Q830" s="122"/>
      <c r="R830" s="122"/>
      <c r="S830" s="122"/>
      <c r="T830" s="122"/>
      <c r="U830" s="123"/>
      <c r="W830" s="35" t="str">
        <f>"-- "&amp;C830</f>
        <v>-- MML_手術モジュール_診断履歴情報テーブルから組入れ条件の第一条件で絞り込んだ結果をバックアップ_MML_手術モジュール_診断履歴情報テーブルに格納する。</v>
      </c>
    </row>
    <row r="832" spans="2:23" ht="18.75" customHeight="1">
      <c r="C832" s="110" t="s">
        <v>3630</v>
      </c>
      <c r="D832" s="111"/>
      <c r="E832" s="116" t="s">
        <v>162</v>
      </c>
      <c r="H832" s="36"/>
      <c r="I832" s="36"/>
      <c r="J832" s="36"/>
      <c r="K832" s="36"/>
      <c r="L832" s="36"/>
      <c r="M832" s="36"/>
      <c r="N832" s="36"/>
      <c r="O832" s="36"/>
      <c r="P832" s="36"/>
      <c r="Q832" s="36"/>
      <c r="R832" s="110" t="str">
        <f>"バックアップ_"&amp;SUBSTITUTE(C832,"_結合","")</f>
        <v>バックアップ_MML_手術モジュール_診断履歴情報</v>
      </c>
      <c r="S832" s="111"/>
      <c r="T832" s="114" t="str">
        <f>エンティティ一覧!$O$2</f>
        <v>milscm_2023_009</v>
      </c>
    </row>
    <row r="833" spans="2:23" ht="18.75" customHeight="1">
      <c r="C833" s="112"/>
      <c r="D833" s="113"/>
      <c r="E833" s="117"/>
      <c r="F833" s="37"/>
      <c r="G833" s="38"/>
      <c r="H833" s="37"/>
      <c r="I833" s="37"/>
      <c r="J833" s="37"/>
      <c r="K833" s="37"/>
      <c r="L833" s="37"/>
      <c r="M833" s="37"/>
      <c r="N833" s="37"/>
      <c r="O833" s="37"/>
      <c r="P833" s="37"/>
      <c r="Q833" s="37"/>
      <c r="R833" s="112"/>
      <c r="S833" s="113"/>
      <c r="T833" s="115"/>
    </row>
    <row r="834" spans="2:23" ht="18.75" customHeight="1">
      <c r="F834" s="39"/>
      <c r="G834" s="40"/>
    </row>
    <row r="835" spans="2:23" ht="18.75" customHeight="1">
      <c r="C835" s="110" t="s">
        <v>3185</v>
      </c>
      <c r="D835" s="111"/>
      <c r="E835" s="114" t="str">
        <f>エンティティ一覧!$O$2</f>
        <v>milscm_2023_009</v>
      </c>
      <c r="G835" s="41"/>
    </row>
    <row r="836" spans="2:23" ht="18.75" customHeight="1">
      <c r="C836" s="112"/>
      <c r="D836" s="113"/>
      <c r="E836" s="115"/>
      <c r="F836" s="37"/>
    </row>
    <row r="838" spans="2:23" ht="18.75" customHeight="1" thickBot="1">
      <c r="B838" s="42"/>
      <c r="C838" s="42"/>
      <c r="D838" s="42"/>
      <c r="E838" s="42"/>
      <c r="F838" s="42"/>
      <c r="G838" s="42"/>
      <c r="H838" s="42"/>
      <c r="I838" s="42"/>
      <c r="J838" s="42"/>
      <c r="K838" s="42"/>
      <c r="L838" s="42"/>
      <c r="M838" s="42"/>
      <c r="N838" s="42"/>
      <c r="O838" s="42"/>
      <c r="P838" s="42"/>
      <c r="Q838" s="42"/>
      <c r="R838" s="42"/>
      <c r="S838" s="42"/>
      <c r="T838" s="42"/>
      <c r="U838" s="42"/>
    </row>
    <row r="840" spans="2:23" ht="18.75" customHeight="1">
      <c r="B840" s="43" t="s">
        <v>163</v>
      </c>
      <c r="C840" s="51" t="s">
        <v>3631</v>
      </c>
      <c r="D840" s="88"/>
      <c r="W840" s="35" t="str">
        <f>"-- "&amp;B840&amp;" : "&amp;C840</f>
        <v>-- SQL_ID : 01_A6-45</v>
      </c>
    </row>
    <row r="841" spans="2:23" ht="18.75" customHeight="1">
      <c r="B841" s="43" t="s">
        <v>158</v>
      </c>
      <c r="C841" s="118" t="str">
        <f>R844&amp;"登録"</f>
        <v>バックアップ_MML_手術モジュール_病名登録</v>
      </c>
      <c r="D841" s="119"/>
      <c r="E841" s="119"/>
      <c r="F841" s="119"/>
      <c r="G841" s="119"/>
      <c r="H841" s="119"/>
      <c r="I841" s="119"/>
      <c r="J841" s="119"/>
      <c r="K841" s="119"/>
      <c r="L841" s="119"/>
      <c r="M841" s="119"/>
      <c r="N841" s="119"/>
      <c r="O841" s="119"/>
      <c r="P841" s="119"/>
      <c r="Q841" s="119"/>
      <c r="R841" s="119"/>
      <c r="S841" s="119"/>
      <c r="T841" s="119"/>
      <c r="U841" s="120"/>
      <c r="W841" s="35" t="str">
        <f>"-- "&amp;C841</f>
        <v>-- バックアップ_MML_手術モジュール_病名登録</v>
      </c>
    </row>
    <row r="842" spans="2:23" ht="18.75" customHeight="1">
      <c r="B842" s="43" t="s">
        <v>159</v>
      </c>
      <c r="C842" s="121" t="str">
        <f>C844&amp;"テーブルから組入れ条件の第一条件で絞り込んだ結果を"&amp;R844&amp;"テーブルに格納する。"</f>
        <v>MML_手術モジュール_病名テーブルから組入れ条件の第一条件で絞り込んだ結果をバックアップ_MML_手術モジュール_病名テーブルに格納する。</v>
      </c>
      <c r="D842" s="122"/>
      <c r="E842" s="122"/>
      <c r="F842" s="122"/>
      <c r="G842" s="122"/>
      <c r="H842" s="122"/>
      <c r="I842" s="122"/>
      <c r="J842" s="122"/>
      <c r="K842" s="122"/>
      <c r="L842" s="122"/>
      <c r="M842" s="122"/>
      <c r="N842" s="122"/>
      <c r="O842" s="122"/>
      <c r="P842" s="122"/>
      <c r="Q842" s="122"/>
      <c r="R842" s="122"/>
      <c r="S842" s="122"/>
      <c r="T842" s="122"/>
      <c r="U842" s="123"/>
      <c r="W842" s="35" t="str">
        <f>"-- "&amp;C842</f>
        <v>-- MML_手術モジュール_病名テーブルから組入れ条件の第一条件で絞り込んだ結果をバックアップ_MML_手術モジュール_病名テーブルに格納する。</v>
      </c>
    </row>
    <row r="844" spans="2:23" ht="18.75" customHeight="1">
      <c r="C844" s="110" t="s">
        <v>3632</v>
      </c>
      <c r="D844" s="111"/>
      <c r="E844" s="116" t="s">
        <v>162</v>
      </c>
      <c r="H844" s="36"/>
      <c r="I844" s="36"/>
      <c r="J844" s="36"/>
      <c r="K844" s="36"/>
      <c r="L844" s="36"/>
      <c r="M844" s="36"/>
      <c r="N844" s="36"/>
      <c r="O844" s="36"/>
      <c r="P844" s="36"/>
      <c r="Q844" s="36"/>
      <c r="R844" s="110" t="str">
        <f>"バックアップ_"&amp;SUBSTITUTE(C844,"_結合","")</f>
        <v>バックアップ_MML_手術モジュール_病名</v>
      </c>
      <c r="S844" s="111"/>
      <c r="T844" s="114" t="str">
        <f>エンティティ一覧!$O$2</f>
        <v>milscm_2023_009</v>
      </c>
    </row>
    <row r="845" spans="2:23" ht="18.75" customHeight="1">
      <c r="C845" s="112"/>
      <c r="D845" s="113"/>
      <c r="E845" s="117"/>
      <c r="F845" s="37"/>
      <c r="G845" s="38"/>
      <c r="H845" s="37"/>
      <c r="I845" s="37"/>
      <c r="J845" s="37"/>
      <c r="K845" s="37"/>
      <c r="L845" s="37"/>
      <c r="M845" s="37"/>
      <c r="N845" s="37"/>
      <c r="O845" s="37"/>
      <c r="P845" s="37"/>
      <c r="Q845" s="37"/>
      <c r="R845" s="112"/>
      <c r="S845" s="113"/>
      <c r="T845" s="115"/>
    </row>
    <row r="846" spans="2:23" ht="18.75" customHeight="1">
      <c r="F846" s="39"/>
      <c r="G846" s="40"/>
    </row>
    <row r="847" spans="2:23" ht="18.75" customHeight="1">
      <c r="C847" s="110" t="s">
        <v>3185</v>
      </c>
      <c r="D847" s="111"/>
      <c r="E847" s="114" t="str">
        <f>エンティティ一覧!$O$2</f>
        <v>milscm_2023_009</v>
      </c>
      <c r="G847" s="41"/>
    </row>
    <row r="848" spans="2:23" ht="18.75" customHeight="1">
      <c r="C848" s="112"/>
      <c r="D848" s="113"/>
      <c r="E848" s="115"/>
      <c r="F848" s="37"/>
    </row>
    <row r="850" spans="2:23" ht="18.75" customHeight="1" thickBot="1">
      <c r="B850" s="42"/>
      <c r="C850" s="42"/>
      <c r="D850" s="42"/>
      <c r="E850" s="42"/>
      <c r="F850" s="42"/>
      <c r="G850" s="42"/>
      <c r="H850" s="42"/>
      <c r="I850" s="42"/>
      <c r="J850" s="42"/>
      <c r="K850" s="42"/>
      <c r="L850" s="42"/>
      <c r="M850" s="42"/>
      <c r="N850" s="42"/>
      <c r="O850" s="42"/>
      <c r="P850" s="42"/>
      <c r="Q850" s="42"/>
      <c r="R850" s="42"/>
      <c r="S850" s="42"/>
      <c r="T850" s="42"/>
      <c r="U850" s="42"/>
    </row>
    <row r="852" spans="2:23" ht="18.75" customHeight="1">
      <c r="B852" s="43" t="s">
        <v>163</v>
      </c>
      <c r="C852" s="51" t="s">
        <v>3633</v>
      </c>
      <c r="D852" s="88"/>
      <c r="W852" s="35" t="str">
        <f>"-- "&amp;B852&amp;" : "&amp;C852</f>
        <v>-- SQL_ID : 01_A6-46</v>
      </c>
    </row>
    <row r="853" spans="2:23" ht="18.75" customHeight="1">
      <c r="B853" s="43" t="s">
        <v>158</v>
      </c>
      <c r="C853" s="118" t="str">
        <f>R856&amp;"登録"</f>
        <v>バックアップ_MML_手術モジュール_カテゴリ名登録</v>
      </c>
      <c r="D853" s="119"/>
      <c r="E853" s="119"/>
      <c r="F853" s="119"/>
      <c r="G853" s="119"/>
      <c r="H853" s="119"/>
      <c r="I853" s="119"/>
      <c r="J853" s="119"/>
      <c r="K853" s="119"/>
      <c r="L853" s="119"/>
      <c r="M853" s="119"/>
      <c r="N853" s="119"/>
      <c r="O853" s="119"/>
      <c r="P853" s="119"/>
      <c r="Q853" s="119"/>
      <c r="R853" s="119"/>
      <c r="S853" s="119"/>
      <c r="T853" s="119"/>
      <c r="U853" s="120"/>
      <c r="W853" s="35" t="str">
        <f>"-- "&amp;C853</f>
        <v>-- バックアップ_MML_手術モジュール_カテゴリ名登録</v>
      </c>
    </row>
    <row r="854" spans="2:23" ht="18.75" customHeight="1">
      <c r="B854" s="43" t="s">
        <v>159</v>
      </c>
      <c r="C854" s="121" t="str">
        <f>C856&amp;"テーブルから組入れ条件の第一条件で絞り込んだ結果を"&amp;R856&amp;"テーブルに格納する。"</f>
        <v>MML_手術モジュール_カテゴリ名テーブルから組入れ条件の第一条件で絞り込んだ結果をバックアップ_MML_手術モジュール_カテゴリ名テーブルに格納する。</v>
      </c>
      <c r="D854" s="122"/>
      <c r="E854" s="122"/>
      <c r="F854" s="122"/>
      <c r="G854" s="122"/>
      <c r="H854" s="122"/>
      <c r="I854" s="122"/>
      <c r="J854" s="122"/>
      <c r="K854" s="122"/>
      <c r="L854" s="122"/>
      <c r="M854" s="122"/>
      <c r="N854" s="122"/>
      <c r="O854" s="122"/>
      <c r="P854" s="122"/>
      <c r="Q854" s="122"/>
      <c r="R854" s="122"/>
      <c r="S854" s="122"/>
      <c r="T854" s="122"/>
      <c r="U854" s="123"/>
      <c r="W854" s="35" t="str">
        <f>"-- "&amp;C854</f>
        <v>-- MML_手術モジュール_カテゴリ名テーブルから組入れ条件の第一条件で絞り込んだ結果をバックアップ_MML_手術モジュール_カテゴリ名テーブルに格納する。</v>
      </c>
    </row>
    <row r="856" spans="2:23" ht="18.75" customHeight="1">
      <c r="C856" s="110" t="s">
        <v>3634</v>
      </c>
      <c r="D856" s="111"/>
      <c r="E856" s="116" t="s">
        <v>162</v>
      </c>
      <c r="H856" s="36"/>
      <c r="I856" s="36"/>
      <c r="J856" s="36"/>
      <c r="K856" s="36"/>
      <c r="L856" s="36"/>
      <c r="M856" s="36"/>
      <c r="N856" s="36"/>
      <c r="O856" s="36"/>
      <c r="P856" s="36"/>
      <c r="Q856" s="36"/>
      <c r="R856" s="110" t="str">
        <f>"バックアップ_"&amp;SUBSTITUTE(C856,"_結合","")</f>
        <v>バックアップ_MML_手術モジュール_カテゴリ名</v>
      </c>
      <c r="S856" s="111"/>
      <c r="T856" s="114" t="str">
        <f>エンティティ一覧!$O$2</f>
        <v>milscm_2023_009</v>
      </c>
    </row>
    <row r="857" spans="2:23" ht="18.75" customHeight="1">
      <c r="C857" s="112"/>
      <c r="D857" s="113"/>
      <c r="E857" s="117"/>
      <c r="F857" s="37"/>
      <c r="G857" s="38"/>
      <c r="H857" s="37"/>
      <c r="I857" s="37"/>
      <c r="J857" s="37"/>
      <c r="K857" s="37"/>
      <c r="L857" s="37"/>
      <c r="M857" s="37"/>
      <c r="N857" s="37"/>
      <c r="O857" s="37"/>
      <c r="P857" s="37"/>
      <c r="Q857" s="37"/>
      <c r="R857" s="112"/>
      <c r="S857" s="113"/>
      <c r="T857" s="115"/>
    </row>
    <row r="858" spans="2:23" ht="18.75" customHeight="1">
      <c r="F858" s="39"/>
      <c r="G858" s="40"/>
    </row>
    <row r="859" spans="2:23" ht="18.75" customHeight="1">
      <c r="C859" s="110" t="s">
        <v>3185</v>
      </c>
      <c r="D859" s="111"/>
      <c r="E859" s="114" t="str">
        <f>エンティティ一覧!$O$2</f>
        <v>milscm_2023_009</v>
      </c>
      <c r="G859" s="41"/>
    </row>
    <row r="860" spans="2:23" ht="18.75" customHeight="1">
      <c r="C860" s="112"/>
      <c r="D860" s="113"/>
      <c r="E860" s="115"/>
      <c r="F860" s="37"/>
    </row>
    <row r="862" spans="2:23" ht="18.75" customHeight="1" thickBot="1">
      <c r="B862" s="42"/>
      <c r="C862" s="42"/>
      <c r="D862" s="42"/>
      <c r="E862" s="42"/>
      <c r="F862" s="42"/>
      <c r="G862" s="42"/>
      <c r="H862" s="42"/>
      <c r="I862" s="42"/>
      <c r="J862" s="42"/>
      <c r="K862" s="42"/>
      <c r="L862" s="42"/>
      <c r="M862" s="42"/>
      <c r="N862" s="42"/>
      <c r="O862" s="42"/>
      <c r="P862" s="42"/>
      <c r="Q862" s="42"/>
      <c r="R862" s="42"/>
      <c r="S862" s="42"/>
      <c r="T862" s="42"/>
      <c r="U862" s="42"/>
    </row>
    <row r="864" spans="2:23" ht="18.75" customHeight="1">
      <c r="B864" s="43" t="s">
        <v>163</v>
      </c>
      <c r="C864" s="51" t="s">
        <v>3635</v>
      </c>
      <c r="D864" s="88"/>
      <c r="W864" s="35" t="str">
        <f>"-- "&amp;B864&amp;" : "&amp;C864</f>
        <v>-- SQL_ID : 01_A6-47</v>
      </c>
    </row>
    <row r="865" spans="2:23" ht="18.75" customHeight="1">
      <c r="B865" s="43" t="s">
        <v>158</v>
      </c>
      <c r="C865" s="118" t="str">
        <f>R868&amp;"登録"</f>
        <v>バックアップ_MML_手術モジュール_手術法登録</v>
      </c>
      <c r="D865" s="119"/>
      <c r="E865" s="119"/>
      <c r="F865" s="119"/>
      <c r="G865" s="119"/>
      <c r="H865" s="119"/>
      <c r="I865" s="119"/>
      <c r="J865" s="119"/>
      <c r="K865" s="119"/>
      <c r="L865" s="119"/>
      <c r="M865" s="119"/>
      <c r="N865" s="119"/>
      <c r="O865" s="119"/>
      <c r="P865" s="119"/>
      <c r="Q865" s="119"/>
      <c r="R865" s="119"/>
      <c r="S865" s="119"/>
      <c r="T865" s="119"/>
      <c r="U865" s="120"/>
      <c r="W865" s="35" t="str">
        <f>"-- "&amp;C865</f>
        <v>-- バックアップ_MML_手術モジュール_手術法登録</v>
      </c>
    </row>
    <row r="866" spans="2:23" ht="18.75" customHeight="1">
      <c r="B866" s="43" t="s">
        <v>159</v>
      </c>
      <c r="C866" s="121" t="str">
        <f>C868&amp;"テーブルから組入れ条件の第一条件で絞り込んだ結果を"&amp;R868&amp;"テーブルに格納する。"</f>
        <v>MML_手術モジュール_手術法テーブルから組入れ条件の第一条件で絞り込んだ結果をバックアップ_MML_手術モジュール_手術法テーブルに格納する。</v>
      </c>
      <c r="D866" s="122"/>
      <c r="E866" s="122"/>
      <c r="F866" s="122"/>
      <c r="G866" s="122"/>
      <c r="H866" s="122"/>
      <c r="I866" s="122"/>
      <c r="J866" s="122"/>
      <c r="K866" s="122"/>
      <c r="L866" s="122"/>
      <c r="M866" s="122"/>
      <c r="N866" s="122"/>
      <c r="O866" s="122"/>
      <c r="P866" s="122"/>
      <c r="Q866" s="122"/>
      <c r="R866" s="122"/>
      <c r="S866" s="122"/>
      <c r="T866" s="122"/>
      <c r="U866" s="123"/>
      <c r="W866" s="35" t="str">
        <f>"-- "&amp;C866</f>
        <v>-- MML_手術モジュール_手術法テーブルから組入れ条件の第一条件で絞り込んだ結果をバックアップ_MML_手術モジュール_手術法テーブルに格納する。</v>
      </c>
    </row>
    <row r="868" spans="2:23" ht="18.75" customHeight="1">
      <c r="C868" s="110" t="s">
        <v>3636</v>
      </c>
      <c r="D868" s="111"/>
      <c r="E868" s="116" t="s">
        <v>162</v>
      </c>
      <c r="H868" s="36"/>
      <c r="I868" s="36"/>
      <c r="J868" s="36"/>
      <c r="K868" s="36"/>
      <c r="L868" s="36"/>
      <c r="M868" s="36"/>
      <c r="N868" s="36"/>
      <c r="O868" s="36"/>
      <c r="P868" s="36"/>
      <c r="Q868" s="36"/>
      <c r="R868" s="110" t="str">
        <f>"バックアップ_"&amp;SUBSTITUTE(C868,"_結合","")</f>
        <v>バックアップ_MML_手術モジュール_手術法</v>
      </c>
      <c r="S868" s="111"/>
      <c r="T868" s="114" t="str">
        <f>エンティティ一覧!$O$2</f>
        <v>milscm_2023_009</v>
      </c>
    </row>
    <row r="869" spans="2:23" ht="18.75" customHeight="1">
      <c r="C869" s="112"/>
      <c r="D869" s="113"/>
      <c r="E869" s="117"/>
      <c r="F869" s="37"/>
      <c r="G869" s="38"/>
      <c r="H869" s="37"/>
      <c r="I869" s="37"/>
      <c r="J869" s="37"/>
      <c r="K869" s="37"/>
      <c r="L869" s="37"/>
      <c r="M869" s="37"/>
      <c r="N869" s="37"/>
      <c r="O869" s="37"/>
      <c r="P869" s="37"/>
      <c r="Q869" s="37"/>
      <c r="R869" s="112"/>
      <c r="S869" s="113"/>
      <c r="T869" s="115"/>
    </row>
    <row r="870" spans="2:23" ht="18.75" customHeight="1">
      <c r="F870" s="39"/>
      <c r="G870" s="40"/>
    </row>
    <row r="871" spans="2:23" ht="18.75" customHeight="1">
      <c r="C871" s="110" t="s">
        <v>3185</v>
      </c>
      <c r="D871" s="111"/>
      <c r="E871" s="114" t="str">
        <f>エンティティ一覧!$O$2</f>
        <v>milscm_2023_009</v>
      </c>
      <c r="G871" s="41"/>
    </row>
    <row r="872" spans="2:23" ht="18.75" customHeight="1">
      <c r="C872" s="112"/>
      <c r="D872" s="113"/>
      <c r="E872" s="115"/>
      <c r="F872" s="37"/>
    </row>
    <row r="874" spans="2:23" ht="18.75" customHeight="1" thickBot="1">
      <c r="B874" s="42"/>
      <c r="C874" s="42"/>
      <c r="D874" s="42"/>
      <c r="E874" s="42"/>
      <c r="F874" s="42"/>
      <c r="G874" s="42"/>
      <c r="H874" s="42"/>
      <c r="I874" s="42"/>
      <c r="J874" s="42"/>
      <c r="K874" s="42"/>
      <c r="L874" s="42"/>
      <c r="M874" s="42"/>
      <c r="N874" s="42"/>
      <c r="O874" s="42"/>
      <c r="P874" s="42"/>
      <c r="Q874" s="42"/>
      <c r="R874" s="42"/>
      <c r="S874" s="42"/>
      <c r="T874" s="42"/>
      <c r="U874" s="42"/>
    </row>
    <row r="876" spans="2:23" ht="18.75" customHeight="1">
      <c r="B876" s="43" t="s">
        <v>163</v>
      </c>
      <c r="C876" s="51" t="s">
        <v>3637</v>
      </c>
      <c r="D876" s="88"/>
      <c r="W876" s="35" t="str">
        <f>"-- "&amp;B876&amp;" : "&amp;C876</f>
        <v>-- SQL_ID : 01_A6-48</v>
      </c>
    </row>
    <row r="877" spans="2:23" ht="18.75" customHeight="1">
      <c r="B877" s="43" t="s">
        <v>158</v>
      </c>
      <c r="C877" s="118" t="str">
        <f>R880&amp;"登録"</f>
        <v>バックアップ_MML_手術モジュール_手術要素登録</v>
      </c>
      <c r="D877" s="119"/>
      <c r="E877" s="119"/>
      <c r="F877" s="119"/>
      <c r="G877" s="119"/>
      <c r="H877" s="119"/>
      <c r="I877" s="119"/>
      <c r="J877" s="119"/>
      <c r="K877" s="119"/>
      <c r="L877" s="119"/>
      <c r="M877" s="119"/>
      <c r="N877" s="119"/>
      <c r="O877" s="119"/>
      <c r="P877" s="119"/>
      <c r="Q877" s="119"/>
      <c r="R877" s="119"/>
      <c r="S877" s="119"/>
      <c r="T877" s="119"/>
      <c r="U877" s="120"/>
      <c r="W877" s="35" t="str">
        <f>"-- "&amp;C877</f>
        <v>-- バックアップ_MML_手術モジュール_手術要素登録</v>
      </c>
    </row>
    <row r="878" spans="2:23" ht="18.75" customHeight="1">
      <c r="B878" s="43" t="s">
        <v>159</v>
      </c>
      <c r="C878" s="121" t="str">
        <f>C880&amp;"テーブルから組入れ条件の第一条件で絞り込んだ結果を"&amp;R880&amp;"テーブルに格納する。"</f>
        <v>MML_手術モジュール_手術要素テーブルから組入れ条件の第一条件で絞り込んだ結果をバックアップ_MML_手術モジュール_手術要素テーブルに格納する。</v>
      </c>
      <c r="D878" s="122"/>
      <c r="E878" s="122"/>
      <c r="F878" s="122"/>
      <c r="G878" s="122"/>
      <c r="H878" s="122"/>
      <c r="I878" s="122"/>
      <c r="J878" s="122"/>
      <c r="K878" s="122"/>
      <c r="L878" s="122"/>
      <c r="M878" s="122"/>
      <c r="N878" s="122"/>
      <c r="O878" s="122"/>
      <c r="P878" s="122"/>
      <c r="Q878" s="122"/>
      <c r="R878" s="122"/>
      <c r="S878" s="122"/>
      <c r="T878" s="122"/>
      <c r="U878" s="123"/>
      <c r="W878" s="35" t="str">
        <f>"-- "&amp;C878</f>
        <v>-- MML_手術モジュール_手術要素テーブルから組入れ条件の第一条件で絞り込んだ結果をバックアップ_MML_手術モジュール_手術要素テーブルに格納する。</v>
      </c>
    </row>
    <row r="880" spans="2:23" ht="18.75" customHeight="1">
      <c r="C880" s="110" t="s">
        <v>3638</v>
      </c>
      <c r="D880" s="111"/>
      <c r="E880" s="116" t="s">
        <v>162</v>
      </c>
      <c r="H880" s="36"/>
      <c r="I880" s="36"/>
      <c r="J880" s="36"/>
      <c r="K880" s="36"/>
      <c r="L880" s="36"/>
      <c r="M880" s="36"/>
      <c r="N880" s="36"/>
      <c r="O880" s="36"/>
      <c r="P880" s="36"/>
      <c r="Q880" s="36"/>
      <c r="R880" s="110" t="str">
        <f>"バックアップ_"&amp;SUBSTITUTE(C880,"_結合","")</f>
        <v>バックアップ_MML_手術モジュール_手術要素</v>
      </c>
      <c r="S880" s="111"/>
      <c r="T880" s="114" t="str">
        <f>エンティティ一覧!$O$2</f>
        <v>milscm_2023_009</v>
      </c>
    </row>
    <row r="881" spans="2:23" ht="18.75" customHeight="1">
      <c r="C881" s="112"/>
      <c r="D881" s="113"/>
      <c r="E881" s="117"/>
      <c r="F881" s="37"/>
      <c r="G881" s="38"/>
      <c r="H881" s="37"/>
      <c r="I881" s="37"/>
      <c r="J881" s="37"/>
      <c r="K881" s="37"/>
      <c r="L881" s="37"/>
      <c r="M881" s="37"/>
      <c r="N881" s="37"/>
      <c r="O881" s="37"/>
      <c r="P881" s="37"/>
      <c r="Q881" s="37"/>
      <c r="R881" s="112"/>
      <c r="S881" s="113"/>
      <c r="T881" s="115"/>
    </row>
    <row r="882" spans="2:23" ht="18.75" customHeight="1">
      <c r="F882" s="39"/>
      <c r="G882" s="40"/>
    </row>
    <row r="883" spans="2:23" ht="18.75" customHeight="1">
      <c r="C883" s="110" t="s">
        <v>3185</v>
      </c>
      <c r="D883" s="111"/>
      <c r="E883" s="114" t="str">
        <f>エンティティ一覧!$O$2</f>
        <v>milscm_2023_009</v>
      </c>
      <c r="G883" s="41"/>
    </row>
    <row r="884" spans="2:23" ht="18.75" customHeight="1">
      <c r="C884" s="112"/>
      <c r="D884" s="113"/>
      <c r="E884" s="115"/>
      <c r="F884" s="37"/>
    </row>
    <row r="886" spans="2:23" ht="18.75" customHeight="1" thickBot="1">
      <c r="B886" s="42"/>
      <c r="C886" s="42"/>
      <c r="D886" s="42"/>
      <c r="E886" s="42"/>
      <c r="F886" s="42"/>
      <c r="G886" s="42"/>
      <c r="H886" s="42"/>
      <c r="I886" s="42"/>
      <c r="J886" s="42"/>
      <c r="K886" s="42"/>
      <c r="L886" s="42"/>
      <c r="M886" s="42"/>
      <c r="N886" s="42"/>
      <c r="O886" s="42"/>
      <c r="P886" s="42"/>
      <c r="Q886" s="42"/>
      <c r="R886" s="42"/>
      <c r="S886" s="42"/>
      <c r="T886" s="42"/>
      <c r="U886" s="42"/>
    </row>
    <row r="888" spans="2:23" ht="18.75" customHeight="1">
      <c r="B888" s="43" t="s">
        <v>163</v>
      </c>
      <c r="C888" s="51" t="s">
        <v>3639</v>
      </c>
      <c r="D888" s="88"/>
      <c r="W888" s="35" t="str">
        <f>"-- "&amp;B888&amp;" : "&amp;C888</f>
        <v>-- SQL_ID : 01_A6-49</v>
      </c>
    </row>
    <row r="889" spans="2:23" ht="18.75" customHeight="1">
      <c r="B889" s="43" t="s">
        <v>158</v>
      </c>
      <c r="C889" s="118" t="str">
        <f>R892&amp;"登録"</f>
        <v>バックアップ_MML_手術モジュール_麻酔法登録</v>
      </c>
      <c r="D889" s="119"/>
      <c r="E889" s="119"/>
      <c r="F889" s="119"/>
      <c r="G889" s="119"/>
      <c r="H889" s="119"/>
      <c r="I889" s="119"/>
      <c r="J889" s="119"/>
      <c r="K889" s="119"/>
      <c r="L889" s="119"/>
      <c r="M889" s="119"/>
      <c r="N889" s="119"/>
      <c r="O889" s="119"/>
      <c r="P889" s="119"/>
      <c r="Q889" s="119"/>
      <c r="R889" s="119"/>
      <c r="S889" s="119"/>
      <c r="T889" s="119"/>
      <c r="U889" s="120"/>
      <c r="W889" s="35" t="str">
        <f>"-- "&amp;C889</f>
        <v>-- バックアップ_MML_手術モジュール_麻酔法登録</v>
      </c>
    </row>
    <row r="890" spans="2:23" ht="18.75" customHeight="1">
      <c r="B890" s="43" t="s">
        <v>159</v>
      </c>
      <c r="C890" s="121" t="str">
        <f>C892&amp;"テーブルから組入れ条件の第一条件で絞り込んだ結果を"&amp;R892&amp;"テーブルに格納する。"</f>
        <v>MML_手術モジュール_麻酔法テーブルから組入れ条件の第一条件で絞り込んだ結果をバックアップ_MML_手術モジュール_麻酔法テーブルに格納する。</v>
      </c>
      <c r="D890" s="122"/>
      <c r="E890" s="122"/>
      <c r="F890" s="122"/>
      <c r="G890" s="122"/>
      <c r="H890" s="122"/>
      <c r="I890" s="122"/>
      <c r="J890" s="122"/>
      <c r="K890" s="122"/>
      <c r="L890" s="122"/>
      <c r="M890" s="122"/>
      <c r="N890" s="122"/>
      <c r="O890" s="122"/>
      <c r="P890" s="122"/>
      <c r="Q890" s="122"/>
      <c r="R890" s="122"/>
      <c r="S890" s="122"/>
      <c r="T890" s="122"/>
      <c r="U890" s="123"/>
      <c r="W890" s="35" t="str">
        <f>"-- "&amp;C890</f>
        <v>-- MML_手術モジュール_麻酔法テーブルから組入れ条件の第一条件で絞り込んだ結果をバックアップ_MML_手術モジュール_麻酔法テーブルに格納する。</v>
      </c>
    </row>
    <row r="892" spans="2:23" ht="18.75" customHeight="1">
      <c r="C892" s="110" t="s">
        <v>3640</v>
      </c>
      <c r="D892" s="111"/>
      <c r="E892" s="116" t="s">
        <v>162</v>
      </c>
      <c r="H892" s="36"/>
      <c r="I892" s="36"/>
      <c r="J892" s="36"/>
      <c r="K892" s="36"/>
      <c r="L892" s="36"/>
      <c r="M892" s="36"/>
      <c r="N892" s="36"/>
      <c r="O892" s="36"/>
      <c r="P892" s="36"/>
      <c r="Q892" s="36"/>
      <c r="R892" s="110" t="str">
        <f>"バックアップ_"&amp;SUBSTITUTE(C892,"_結合","")</f>
        <v>バックアップ_MML_手術モジュール_麻酔法</v>
      </c>
      <c r="S892" s="111"/>
      <c r="T892" s="114" t="str">
        <f>エンティティ一覧!$O$2</f>
        <v>milscm_2023_009</v>
      </c>
    </row>
    <row r="893" spans="2:23" ht="18.75" customHeight="1">
      <c r="C893" s="112"/>
      <c r="D893" s="113"/>
      <c r="E893" s="117"/>
      <c r="F893" s="37"/>
      <c r="G893" s="38"/>
      <c r="H893" s="37"/>
      <c r="I893" s="37"/>
      <c r="J893" s="37"/>
      <c r="K893" s="37"/>
      <c r="L893" s="37"/>
      <c r="M893" s="37"/>
      <c r="N893" s="37"/>
      <c r="O893" s="37"/>
      <c r="P893" s="37"/>
      <c r="Q893" s="37"/>
      <c r="R893" s="112"/>
      <c r="S893" s="113"/>
      <c r="T893" s="115"/>
    </row>
    <row r="894" spans="2:23" ht="18.75" customHeight="1">
      <c r="F894" s="39"/>
      <c r="G894" s="40"/>
    </row>
    <row r="895" spans="2:23" ht="18.75" customHeight="1">
      <c r="C895" s="110" t="s">
        <v>3185</v>
      </c>
      <c r="D895" s="111"/>
      <c r="E895" s="114" t="str">
        <f>エンティティ一覧!$O$2</f>
        <v>milscm_2023_009</v>
      </c>
      <c r="G895" s="41"/>
    </row>
    <row r="896" spans="2:23" ht="18.75" customHeight="1">
      <c r="C896" s="112"/>
      <c r="D896" s="113"/>
      <c r="E896" s="115"/>
      <c r="F896" s="37"/>
    </row>
    <row r="898" spans="2:23" ht="18.75" customHeight="1" thickBot="1">
      <c r="B898" s="42"/>
      <c r="C898" s="42"/>
      <c r="D898" s="42"/>
      <c r="E898" s="42"/>
      <c r="F898" s="42"/>
      <c r="G898" s="42"/>
      <c r="H898" s="42"/>
      <c r="I898" s="42"/>
      <c r="J898" s="42"/>
      <c r="K898" s="42"/>
      <c r="L898" s="42"/>
      <c r="M898" s="42"/>
      <c r="N898" s="42"/>
      <c r="O898" s="42"/>
      <c r="P898" s="42"/>
      <c r="Q898" s="42"/>
      <c r="R898" s="42"/>
      <c r="S898" s="42"/>
      <c r="T898" s="42"/>
      <c r="U898" s="42"/>
    </row>
    <row r="900" spans="2:23" ht="18.75" customHeight="1">
      <c r="B900" s="43" t="s">
        <v>163</v>
      </c>
      <c r="C900" s="51" t="s">
        <v>3641</v>
      </c>
      <c r="D900" s="88"/>
      <c r="W900" s="35" t="str">
        <f>"-- "&amp;B900&amp;" : "&amp;C900</f>
        <v>-- SQL_ID : 01_A6-50</v>
      </c>
    </row>
    <row r="901" spans="2:23" ht="18.75" customHeight="1">
      <c r="B901" s="43" t="s">
        <v>158</v>
      </c>
      <c r="C901" s="118" t="str">
        <f>R904&amp;"登録"</f>
        <v>バックアップ_MML_報告書情報モジュール_本文登録</v>
      </c>
      <c r="D901" s="119"/>
      <c r="E901" s="119"/>
      <c r="F901" s="119"/>
      <c r="G901" s="119"/>
      <c r="H901" s="119"/>
      <c r="I901" s="119"/>
      <c r="J901" s="119"/>
      <c r="K901" s="119"/>
      <c r="L901" s="119"/>
      <c r="M901" s="119"/>
      <c r="N901" s="119"/>
      <c r="O901" s="119"/>
      <c r="P901" s="119"/>
      <c r="Q901" s="119"/>
      <c r="R901" s="119"/>
      <c r="S901" s="119"/>
      <c r="T901" s="119"/>
      <c r="U901" s="120"/>
      <c r="W901" s="35" t="str">
        <f>"-- "&amp;C901</f>
        <v>-- バックアップ_MML_報告書情報モジュール_本文登録</v>
      </c>
    </row>
    <row r="902" spans="2:23" ht="18.75" customHeight="1">
      <c r="B902" s="43" t="s">
        <v>159</v>
      </c>
      <c r="C902" s="121" t="str">
        <f>C904&amp;"テーブルから組入れ条件の第一条件で絞り込んだ結果を"&amp;R904&amp;"テーブルに格納する。"</f>
        <v>MML_報告書情報モジュール_本文テーブルから組入れ条件の第一条件で絞り込んだ結果をバックアップ_MML_報告書情報モジュール_本文テーブルに格納する。</v>
      </c>
      <c r="D902" s="122"/>
      <c r="E902" s="122"/>
      <c r="F902" s="122"/>
      <c r="G902" s="122"/>
      <c r="H902" s="122"/>
      <c r="I902" s="122"/>
      <c r="J902" s="122"/>
      <c r="K902" s="122"/>
      <c r="L902" s="122"/>
      <c r="M902" s="122"/>
      <c r="N902" s="122"/>
      <c r="O902" s="122"/>
      <c r="P902" s="122"/>
      <c r="Q902" s="122"/>
      <c r="R902" s="122"/>
      <c r="S902" s="122"/>
      <c r="T902" s="122"/>
      <c r="U902" s="123"/>
      <c r="W902" s="35" t="str">
        <f>"-- "&amp;C902</f>
        <v>-- MML_報告書情報モジュール_本文テーブルから組入れ条件の第一条件で絞り込んだ結果をバックアップ_MML_報告書情報モジュール_本文テーブルに格納する。</v>
      </c>
    </row>
    <row r="904" spans="2:23" ht="18.75" customHeight="1">
      <c r="C904" s="110" t="s">
        <v>3642</v>
      </c>
      <c r="D904" s="111"/>
      <c r="E904" s="116" t="s">
        <v>162</v>
      </c>
      <c r="H904" s="36"/>
      <c r="I904" s="36"/>
      <c r="J904" s="36"/>
      <c r="K904" s="36"/>
      <c r="L904" s="36"/>
      <c r="M904" s="36"/>
      <c r="N904" s="36"/>
      <c r="O904" s="36"/>
      <c r="P904" s="36"/>
      <c r="Q904" s="36"/>
      <c r="R904" s="110" t="str">
        <f>"バックアップ_"&amp;SUBSTITUTE(C904,"_結合","")</f>
        <v>バックアップ_MML_報告書情報モジュール_本文</v>
      </c>
      <c r="S904" s="111"/>
      <c r="T904" s="114" t="str">
        <f>エンティティ一覧!$O$2</f>
        <v>milscm_2023_009</v>
      </c>
    </row>
    <row r="905" spans="2:23" ht="18.75" customHeight="1">
      <c r="C905" s="112"/>
      <c r="D905" s="113"/>
      <c r="E905" s="117"/>
      <c r="F905" s="37"/>
      <c r="G905" s="38"/>
      <c r="H905" s="37"/>
      <c r="I905" s="37"/>
      <c r="J905" s="37"/>
      <c r="K905" s="37"/>
      <c r="L905" s="37"/>
      <c r="M905" s="37"/>
      <c r="N905" s="37"/>
      <c r="O905" s="37"/>
      <c r="P905" s="37"/>
      <c r="Q905" s="37"/>
      <c r="R905" s="112"/>
      <c r="S905" s="113"/>
      <c r="T905" s="115"/>
    </row>
    <row r="906" spans="2:23" ht="18.75" customHeight="1">
      <c r="F906" s="39"/>
      <c r="G906" s="40"/>
    </row>
    <row r="907" spans="2:23" ht="18.75" customHeight="1">
      <c r="C907" s="110" t="s">
        <v>3185</v>
      </c>
      <c r="D907" s="111"/>
      <c r="E907" s="114" t="str">
        <f>エンティティ一覧!$O$2</f>
        <v>milscm_2023_009</v>
      </c>
      <c r="G907" s="41"/>
    </row>
    <row r="908" spans="2:23" ht="18.75" customHeight="1">
      <c r="C908" s="112"/>
      <c r="D908" s="113"/>
      <c r="E908" s="115"/>
      <c r="F908" s="37"/>
    </row>
    <row r="910" spans="2:23" ht="18.75" customHeight="1" thickBot="1">
      <c r="B910" s="42"/>
      <c r="C910" s="42"/>
      <c r="D910" s="42"/>
      <c r="E910" s="42"/>
      <c r="F910" s="42"/>
      <c r="G910" s="42"/>
      <c r="H910" s="42"/>
      <c r="I910" s="42"/>
      <c r="J910" s="42"/>
      <c r="K910" s="42"/>
      <c r="L910" s="42"/>
      <c r="M910" s="42"/>
      <c r="N910" s="42"/>
      <c r="O910" s="42"/>
      <c r="P910" s="42"/>
      <c r="Q910" s="42"/>
      <c r="R910" s="42"/>
      <c r="S910" s="42"/>
      <c r="T910" s="42"/>
      <c r="U910" s="42"/>
    </row>
    <row r="912" spans="2:23" ht="18.75" customHeight="1">
      <c r="B912" s="43" t="s">
        <v>163</v>
      </c>
      <c r="C912" s="51" t="s">
        <v>3643</v>
      </c>
      <c r="D912" s="88"/>
      <c r="W912" s="35" t="str">
        <f>"-- "&amp;B912&amp;" : "&amp;C912</f>
        <v>-- SQL_ID : 01_A6-51</v>
      </c>
    </row>
    <row r="913" spans="2:23" ht="18.75" customHeight="1">
      <c r="B913" s="43" t="s">
        <v>158</v>
      </c>
      <c r="C913" s="118" t="str">
        <f>R916&amp;"登録"</f>
        <v>バックアップ_MML_報告書情報モジュール_検査コメント登録</v>
      </c>
      <c r="D913" s="119"/>
      <c r="E913" s="119"/>
      <c r="F913" s="119"/>
      <c r="G913" s="119"/>
      <c r="H913" s="119"/>
      <c r="I913" s="119"/>
      <c r="J913" s="119"/>
      <c r="K913" s="119"/>
      <c r="L913" s="119"/>
      <c r="M913" s="119"/>
      <c r="N913" s="119"/>
      <c r="O913" s="119"/>
      <c r="P913" s="119"/>
      <c r="Q913" s="119"/>
      <c r="R913" s="119"/>
      <c r="S913" s="119"/>
      <c r="T913" s="119"/>
      <c r="U913" s="120"/>
      <c r="W913" s="35" t="str">
        <f>"-- "&amp;C913</f>
        <v>-- バックアップ_MML_報告書情報モジュール_検査コメント登録</v>
      </c>
    </row>
    <row r="914" spans="2:23" ht="18.75" customHeight="1">
      <c r="B914" s="43" t="s">
        <v>159</v>
      </c>
      <c r="C914" s="121" t="str">
        <f>C916&amp;"テーブルから組入れ条件の第一条件で絞り込んだ結果を"&amp;R916&amp;"テーブルに格納する。"</f>
        <v>MML_報告書情報モジュール_検査コメントテーブルから組入れ条件の第一条件で絞り込んだ結果をバックアップ_MML_報告書情報モジュール_検査コメントテーブルに格納する。</v>
      </c>
      <c r="D914" s="122"/>
      <c r="E914" s="122"/>
      <c r="F914" s="122"/>
      <c r="G914" s="122"/>
      <c r="H914" s="122"/>
      <c r="I914" s="122"/>
      <c r="J914" s="122"/>
      <c r="K914" s="122"/>
      <c r="L914" s="122"/>
      <c r="M914" s="122"/>
      <c r="N914" s="122"/>
      <c r="O914" s="122"/>
      <c r="P914" s="122"/>
      <c r="Q914" s="122"/>
      <c r="R914" s="122"/>
      <c r="S914" s="122"/>
      <c r="T914" s="122"/>
      <c r="U914" s="123"/>
      <c r="W914" s="35" t="str">
        <f>"-- "&amp;C914</f>
        <v>-- MML_報告書情報モジュール_検査コメントテーブルから組入れ条件の第一条件で絞り込んだ結果をバックアップ_MML_報告書情報モジュール_検査コメントテーブルに格納する。</v>
      </c>
    </row>
    <row r="916" spans="2:23" ht="18.75" customHeight="1">
      <c r="C916" s="110" t="s">
        <v>3644</v>
      </c>
      <c r="D916" s="111"/>
      <c r="E916" s="116" t="s">
        <v>162</v>
      </c>
      <c r="H916" s="36"/>
      <c r="I916" s="36"/>
      <c r="J916" s="36"/>
      <c r="K916" s="36"/>
      <c r="L916" s="36"/>
      <c r="M916" s="36"/>
      <c r="N916" s="36"/>
      <c r="O916" s="36"/>
      <c r="P916" s="36"/>
      <c r="Q916" s="36"/>
      <c r="R916" s="124" t="str">
        <f>"バックアップ_"&amp;SUBSTITUTE(C916,"_結合","")</f>
        <v>バックアップ_MML_報告書情報モジュール_検査コメント</v>
      </c>
      <c r="S916" s="125"/>
      <c r="T916" s="114" t="str">
        <f>エンティティ一覧!$O$2</f>
        <v>milscm_2023_009</v>
      </c>
    </row>
    <row r="917" spans="2:23" ht="18.75" customHeight="1">
      <c r="C917" s="112"/>
      <c r="D917" s="113"/>
      <c r="E917" s="117"/>
      <c r="F917" s="37"/>
      <c r="G917" s="38"/>
      <c r="H917" s="37"/>
      <c r="I917" s="37"/>
      <c r="J917" s="37"/>
      <c r="K917" s="37"/>
      <c r="L917" s="37"/>
      <c r="M917" s="37"/>
      <c r="N917" s="37"/>
      <c r="O917" s="37"/>
      <c r="P917" s="37"/>
      <c r="Q917" s="37"/>
      <c r="R917" s="126"/>
      <c r="S917" s="127"/>
      <c r="T917" s="115"/>
    </row>
    <row r="918" spans="2:23" ht="18.75" customHeight="1">
      <c r="F918" s="39"/>
      <c r="G918" s="40"/>
    </row>
    <row r="919" spans="2:23" ht="18.75" customHeight="1">
      <c r="C919" s="110" t="s">
        <v>3185</v>
      </c>
      <c r="D919" s="111"/>
      <c r="E919" s="114" t="str">
        <f>エンティティ一覧!$O$2</f>
        <v>milscm_2023_009</v>
      </c>
      <c r="G919" s="41"/>
    </row>
    <row r="920" spans="2:23" ht="18.75" customHeight="1">
      <c r="C920" s="112"/>
      <c r="D920" s="113"/>
      <c r="E920" s="115"/>
      <c r="F920" s="37"/>
    </row>
    <row r="922" spans="2:23" ht="18.75" customHeight="1" thickBot="1">
      <c r="B922" s="42"/>
      <c r="C922" s="42"/>
      <c r="D922" s="42"/>
      <c r="E922" s="42"/>
      <c r="F922" s="42"/>
      <c r="G922" s="42"/>
      <c r="H922" s="42"/>
      <c r="I922" s="42"/>
      <c r="J922" s="42"/>
      <c r="K922" s="42"/>
      <c r="L922" s="42"/>
      <c r="M922" s="42"/>
      <c r="N922" s="42"/>
      <c r="O922" s="42"/>
      <c r="P922" s="42"/>
      <c r="Q922" s="42"/>
      <c r="R922" s="42"/>
      <c r="S922" s="42"/>
      <c r="T922" s="42"/>
      <c r="U922" s="42"/>
    </row>
    <row r="924" spans="2:23" ht="18.75" customHeight="1">
      <c r="B924" s="43" t="s">
        <v>163</v>
      </c>
      <c r="C924" s="51" t="s">
        <v>3645</v>
      </c>
      <c r="D924" s="88"/>
      <c r="W924" s="35" t="str">
        <f>"-- "&amp;B924&amp;" : "&amp;C924</f>
        <v>-- SQL_ID : 01_A6-52</v>
      </c>
    </row>
    <row r="925" spans="2:23" ht="18.75" customHeight="1">
      <c r="B925" s="43" t="s">
        <v>158</v>
      </c>
      <c r="C925" s="118" t="str">
        <f>R928&amp;"登録"</f>
        <v>バックアップ_MML_生活習慣情報モジュール_本文登録</v>
      </c>
      <c r="D925" s="119"/>
      <c r="E925" s="119"/>
      <c r="F925" s="119"/>
      <c r="G925" s="119"/>
      <c r="H925" s="119"/>
      <c r="I925" s="119"/>
      <c r="J925" s="119"/>
      <c r="K925" s="119"/>
      <c r="L925" s="119"/>
      <c r="M925" s="119"/>
      <c r="N925" s="119"/>
      <c r="O925" s="119"/>
      <c r="P925" s="119"/>
      <c r="Q925" s="119"/>
      <c r="R925" s="119"/>
      <c r="S925" s="119"/>
      <c r="T925" s="119"/>
      <c r="U925" s="120"/>
      <c r="W925" s="35" t="str">
        <f>"-- "&amp;C925</f>
        <v>-- バックアップ_MML_生活習慣情報モジュール_本文登録</v>
      </c>
    </row>
    <row r="926" spans="2:23" ht="18.75" customHeight="1">
      <c r="B926" s="43" t="s">
        <v>159</v>
      </c>
      <c r="C926" s="121" t="str">
        <f>C928&amp;"テーブルから組入れ条件の第一条件で絞り込んだ結果を"&amp;R928&amp;"テーブルに格納する。"</f>
        <v>MML_生活習慣情報モジュール_本文テーブルから組入れ条件の第一条件で絞り込んだ結果をバックアップ_MML_生活習慣情報モジュール_本文テーブルに格納する。</v>
      </c>
      <c r="D926" s="122"/>
      <c r="E926" s="122"/>
      <c r="F926" s="122"/>
      <c r="G926" s="122"/>
      <c r="H926" s="122"/>
      <c r="I926" s="122"/>
      <c r="J926" s="122"/>
      <c r="K926" s="122"/>
      <c r="L926" s="122"/>
      <c r="M926" s="122"/>
      <c r="N926" s="122"/>
      <c r="O926" s="122"/>
      <c r="P926" s="122"/>
      <c r="Q926" s="122"/>
      <c r="R926" s="122"/>
      <c r="S926" s="122"/>
      <c r="T926" s="122"/>
      <c r="U926" s="123"/>
      <c r="W926" s="35" t="str">
        <f>"-- "&amp;C926</f>
        <v>-- MML_生活習慣情報モジュール_本文テーブルから組入れ条件の第一条件で絞り込んだ結果をバックアップ_MML_生活習慣情報モジュール_本文テーブルに格納する。</v>
      </c>
    </row>
    <row r="928" spans="2:23" ht="18.75" customHeight="1">
      <c r="C928" s="110" t="s">
        <v>3646</v>
      </c>
      <c r="D928" s="111"/>
      <c r="E928" s="116" t="s">
        <v>162</v>
      </c>
      <c r="H928" s="36"/>
      <c r="I928" s="36"/>
      <c r="J928" s="36"/>
      <c r="K928" s="36"/>
      <c r="L928" s="36"/>
      <c r="M928" s="36"/>
      <c r="N928" s="36"/>
      <c r="O928" s="36"/>
      <c r="P928" s="36"/>
      <c r="Q928" s="36"/>
      <c r="R928" s="110" t="str">
        <f>"バックアップ_"&amp;SUBSTITUTE(C928,"_結合","")</f>
        <v>バックアップ_MML_生活習慣情報モジュール_本文</v>
      </c>
      <c r="S928" s="111"/>
      <c r="T928" s="114" t="str">
        <f>エンティティ一覧!$O$2</f>
        <v>milscm_2023_009</v>
      </c>
    </row>
    <row r="929" spans="2:23" ht="18.75" customHeight="1">
      <c r="C929" s="112"/>
      <c r="D929" s="113"/>
      <c r="E929" s="117"/>
      <c r="F929" s="37"/>
      <c r="G929" s="38"/>
      <c r="H929" s="37"/>
      <c r="I929" s="37"/>
      <c r="J929" s="37"/>
      <c r="K929" s="37"/>
      <c r="L929" s="37"/>
      <c r="M929" s="37"/>
      <c r="N929" s="37"/>
      <c r="O929" s="37"/>
      <c r="P929" s="37"/>
      <c r="Q929" s="37"/>
      <c r="R929" s="112"/>
      <c r="S929" s="113"/>
      <c r="T929" s="115"/>
    </row>
    <row r="930" spans="2:23" ht="18.75" customHeight="1">
      <c r="F930" s="39"/>
      <c r="G930" s="40"/>
    </row>
    <row r="931" spans="2:23" ht="18.75" customHeight="1">
      <c r="C931" s="110" t="s">
        <v>3185</v>
      </c>
      <c r="D931" s="111"/>
      <c r="E931" s="114" t="str">
        <f>エンティティ一覧!$O$2</f>
        <v>milscm_2023_009</v>
      </c>
      <c r="G931" s="41"/>
    </row>
    <row r="932" spans="2:23" ht="18.75" customHeight="1">
      <c r="C932" s="112"/>
      <c r="D932" s="113"/>
      <c r="E932" s="115"/>
      <c r="F932" s="37"/>
    </row>
    <row r="934" spans="2:23" ht="18.75" customHeight="1" thickBot="1">
      <c r="B934" s="42"/>
      <c r="C934" s="42"/>
      <c r="D934" s="42"/>
      <c r="E934" s="42"/>
      <c r="F934" s="42"/>
      <c r="G934" s="42"/>
      <c r="H934" s="42"/>
      <c r="I934" s="42"/>
      <c r="J934" s="42"/>
      <c r="K934" s="42"/>
      <c r="L934" s="42"/>
      <c r="M934" s="42"/>
      <c r="N934" s="42"/>
      <c r="O934" s="42"/>
      <c r="P934" s="42"/>
      <c r="Q934" s="42"/>
      <c r="R934" s="42"/>
      <c r="S934" s="42"/>
      <c r="T934" s="42"/>
      <c r="U934" s="42"/>
    </row>
    <row r="936" spans="2:23" ht="18.75" customHeight="1">
      <c r="B936" s="43" t="s">
        <v>163</v>
      </c>
      <c r="C936" s="51" t="s">
        <v>3647</v>
      </c>
      <c r="D936" s="88"/>
      <c r="W936" s="35" t="str">
        <f>"-- "&amp;B936&amp;" : "&amp;C936</f>
        <v>-- SQL_ID : 01_A6-53</v>
      </c>
    </row>
    <row r="937" spans="2:23" ht="18.75" customHeight="1">
      <c r="B937" s="43" t="s">
        <v>158</v>
      </c>
      <c r="C937" s="118" t="str">
        <f>R940&amp;"登録"</f>
        <v>バックアップ_MML_紹介状モジュール_本文登録</v>
      </c>
      <c r="D937" s="119"/>
      <c r="E937" s="119"/>
      <c r="F937" s="119"/>
      <c r="G937" s="119"/>
      <c r="H937" s="119"/>
      <c r="I937" s="119"/>
      <c r="J937" s="119"/>
      <c r="K937" s="119"/>
      <c r="L937" s="119"/>
      <c r="M937" s="119"/>
      <c r="N937" s="119"/>
      <c r="O937" s="119"/>
      <c r="P937" s="119"/>
      <c r="Q937" s="119"/>
      <c r="R937" s="119"/>
      <c r="S937" s="119"/>
      <c r="T937" s="119"/>
      <c r="U937" s="120"/>
      <c r="W937" s="35" t="str">
        <f>"-- "&amp;C937</f>
        <v>-- バックアップ_MML_紹介状モジュール_本文登録</v>
      </c>
    </row>
    <row r="938" spans="2:23" ht="18.75" customHeight="1">
      <c r="B938" s="43" t="s">
        <v>159</v>
      </c>
      <c r="C938" s="121" t="str">
        <f>C940&amp;"テーブルから組入れ条件の第一条件で絞り込んだ結果を"&amp;R940&amp;"テーブルに格納する。"</f>
        <v>MML_紹介状モジュール_本文テーブルから組入れ条件の第一条件で絞り込んだ結果をバックアップ_MML_紹介状モジュール_本文テーブルに格納する。</v>
      </c>
      <c r="D938" s="122"/>
      <c r="E938" s="122"/>
      <c r="F938" s="122"/>
      <c r="G938" s="122"/>
      <c r="H938" s="122"/>
      <c r="I938" s="122"/>
      <c r="J938" s="122"/>
      <c r="K938" s="122"/>
      <c r="L938" s="122"/>
      <c r="M938" s="122"/>
      <c r="N938" s="122"/>
      <c r="O938" s="122"/>
      <c r="P938" s="122"/>
      <c r="Q938" s="122"/>
      <c r="R938" s="122"/>
      <c r="S938" s="122"/>
      <c r="T938" s="122"/>
      <c r="U938" s="123"/>
      <c r="W938" s="35" t="str">
        <f>"-- "&amp;C938</f>
        <v>-- MML_紹介状モジュール_本文テーブルから組入れ条件の第一条件で絞り込んだ結果をバックアップ_MML_紹介状モジュール_本文テーブルに格納する。</v>
      </c>
    </row>
    <row r="940" spans="2:23" ht="18.75" customHeight="1">
      <c r="C940" s="110" t="s">
        <v>3648</v>
      </c>
      <c r="D940" s="111"/>
      <c r="E940" s="116" t="s">
        <v>162</v>
      </c>
      <c r="H940" s="36"/>
      <c r="I940" s="36"/>
      <c r="J940" s="36"/>
      <c r="K940" s="36"/>
      <c r="L940" s="36"/>
      <c r="M940" s="36"/>
      <c r="N940" s="36"/>
      <c r="O940" s="36"/>
      <c r="P940" s="36"/>
      <c r="Q940" s="36"/>
      <c r="R940" s="110" t="str">
        <f>"バックアップ_"&amp;SUBSTITUTE(C940,"_結合","")</f>
        <v>バックアップ_MML_紹介状モジュール_本文</v>
      </c>
      <c r="S940" s="111"/>
      <c r="T940" s="114" t="str">
        <f>エンティティ一覧!$O$2</f>
        <v>milscm_2023_009</v>
      </c>
    </row>
    <row r="941" spans="2:23" ht="18.75" customHeight="1">
      <c r="C941" s="112"/>
      <c r="D941" s="113"/>
      <c r="E941" s="117"/>
      <c r="F941" s="37"/>
      <c r="G941" s="38"/>
      <c r="H941" s="37"/>
      <c r="I941" s="37"/>
      <c r="J941" s="37"/>
      <c r="K941" s="37"/>
      <c r="L941" s="37"/>
      <c r="M941" s="37"/>
      <c r="N941" s="37"/>
      <c r="O941" s="37"/>
      <c r="P941" s="37"/>
      <c r="Q941" s="37"/>
      <c r="R941" s="112"/>
      <c r="S941" s="113"/>
      <c r="T941" s="115"/>
    </row>
    <row r="942" spans="2:23" ht="18.75" customHeight="1">
      <c r="F942" s="39"/>
      <c r="G942" s="40"/>
    </row>
    <row r="943" spans="2:23" ht="18.75" customHeight="1">
      <c r="C943" s="110" t="s">
        <v>3185</v>
      </c>
      <c r="D943" s="111"/>
      <c r="E943" s="114" t="str">
        <f>エンティティ一覧!$O$2</f>
        <v>milscm_2023_009</v>
      </c>
      <c r="G943" s="41"/>
    </row>
    <row r="944" spans="2:23" ht="18.75" customHeight="1">
      <c r="C944" s="112"/>
      <c r="D944" s="113"/>
      <c r="E944" s="115"/>
      <c r="F944" s="37"/>
    </row>
    <row r="946" spans="2:23" ht="18.75" customHeight="1" thickBot="1">
      <c r="B946" s="42"/>
      <c r="C946" s="42"/>
      <c r="D946" s="42"/>
      <c r="E946" s="42"/>
      <c r="F946" s="42"/>
      <c r="G946" s="42"/>
      <c r="H946" s="42"/>
      <c r="I946" s="42"/>
      <c r="J946" s="42"/>
      <c r="K946" s="42"/>
      <c r="L946" s="42"/>
      <c r="M946" s="42"/>
      <c r="N946" s="42"/>
      <c r="O946" s="42"/>
      <c r="P946" s="42"/>
      <c r="Q946" s="42"/>
      <c r="R946" s="42"/>
      <c r="S946" s="42"/>
      <c r="T946" s="42"/>
      <c r="U946" s="42"/>
    </row>
    <row r="948" spans="2:23" ht="18.75" customHeight="1">
      <c r="B948" s="43" t="s">
        <v>163</v>
      </c>
      <c r="C948" s="51" t="s">
        <v>3649</v>
      </c>
      <c r="D948" s="88"/>
      <c r="W948" s="35" t="str">
        <f>"-- "&amp;B948&amp;" : "&amp;C948</f>
        <v>-- SQL_ID : 01_A6-54</v>
      </c>
    </row>
    <row r="949" spans="2:23" ht="18.75" customHeight="1">
      <c r="B949" s="43" t="s">
        <v>158</v>
      </c>
      <c r="C949" s="118" t="str">
        <f>R952&amp;"登録"</f>
        <v>バックアップ_MML_紹介状モジュール_注射記録登録</v>
      </c>
      <c r="D949" s="119"/>
      <c r="E949" s="119"/>
      <c r="F949" s="119"/>
      <c r="G949" s="119"/>
      <c r="H949" s="119"/>
      <c r="I949" s="119"/>
      <c r="J949" s="119"/>
      <c r="K949" s="119"/>
      <c r="L949" s="119"/>
      <c r="M949" s="119"/>
      <c r="N949" s="119"/>
      <c r="O949" s="119"/>
      <c r="P949" s="119"/>
      <c r="Q949" s="119"/>
      <c r="R949" s="119"/>
      <c r="S949" s="119"/>
      <c r="T949" s="119"/>
      <c r="U949" s="120"/>
      <c r="W949" s="35" t="str">
        <f>"-- "&amp;C949</f>
        <v>-- バックアップ_MML_紹介状モジュール_注射記録登録</v>
      </c>
    </row>
    <row r="950" spans="2:23" ht="18.75" customHeight="1">
      <c r="B950" s="43" t="s">
        <v>159</v>
      </c>
      <c r="C950" s="121" t="str">
        <f>C952&amp;"テーブルから組入れ条件の第一条件で絞り込んだ結果を"&amp;R952&amp;"テーブルに格納する。"</f>
        <v>MML_紹介状モジュール_注射記録テーブルから組入れ条件の第一条件で絞り込んだ結果をバックアップ_MML_紹介状モジュール_注射記録テーブルに格納する。</v>
      </c>
      <c r="D950" s="122"/>
      <c r="E950" s="122"/>
      <c r="F950" s="122"/>
      <c r="G950" s="122"/>
      <c r="H950" s="122"/>
      <c r="I950" s="122"/>
      <c r="J950" s="122"/>
      <c r="K950" s="122"/>
      <c r="L950" s="122"/>
      <c r="M950" s="122"/>
      <c r="N950" s="122"/>
      <c r="O950" s="122"/>
      <c r="P950" s="122"/>
      <c r="Q950" s="122"/>
      <c r="R950" s="122"/>
      <c r="S950" s="122"/>
      <c r="T950" s="122"/>
      <c r="U950" s="123"/>
      <c r="W950" s="35" t="str">
        <f>"-- "&amp;C950</f>
        <v>-- MML_紹介状モジュール_注射記録テーブルから組入れ条件の第一条件で絞り込んだ結果をバックアップ_MML_紹介状モジュール_注射記録テーブルに格納する。</v>
      </c>
    </row>
    <row r="952" spans="2:23" ht="18.75" customHeight="1">
      <c r="C952" s="110" t="s">
        <v>3650</v>
      </c>
      <c r="D952" s="111"/>
      <c r="E952" s="116" t="s">
        <v>162</v>
      </c>
      <c r="H952" s="36"/>
      <c r="I952" s="36"/>
      <c r="J952" s="36"/>
      <c r="K952" s="36"/>
      <c r="L952" s="36"/>
      <c r="M952" s="36"/>
      <c r="N952" s="36"/>
      <c r="O952" s="36"/>
      <c r="P952" s="36"/>
      <c r="Q952" s="36"/>
      <c r="R952" s="110" t="str">
        <f>"バックアップ_"&amp;SUBSTITUTE(C952,"_結合","")</f>
        <v>バックアップ_MML_紹介状モジュール_注射記録</v>
      </c>
      <c r="S952" s="111"/>
      <c r="T952" s="114" t="str">
        <f>エンティティ一覧!$O$2</f>
        <v>milscm_2023_009</v>
      </c>
    </row>
    <row r="953" spans="2:23" ht="18.75" customHeight="1">
      <c r="C953" s="112"/>
      <c r="D953" s="113"/>
      <c r="E953" s="117"/>
      <c r="F953" s="37"/>
      <c r="G953" s="38"/>
      <c r="H953" s="37"/>
      <c r="I953" s="37"/>
      <c r="J953" s="37"/>
      <c r="K953" s="37"/>
      <c r="L953" s="37"/>
      <c r="M953" s="37"/>
      <c r="N953" s="37"/>
      <c r="O953" s="37"/>
      <c r="P953" s="37"/>
      <c r="Q953" s="37"/>
      <c r="R953" s="112"/>
      <c r="S953" s="113"/>
      <c r="T953" s="115"/>
    </row>
    <row r="954" spans="2:23" ht="18.75" customHeight="1">
      <c r="F954" s="39"/>
      <c r="G954" s="40"/>
    </row>
    <row r="955" spans="2:23" ht="18.75" customHeight="1">
      <c r="C955" s="110" t="s">
        <v>3185</v>
      </c>
      <c r="D955" s="111"/>
      <c r="E955" s="114" t="str">
        <f>エンティティ一覧!$O$2</f>
        <v>milscm_2023_009</v>
      </c>
      <c r="G955" s="41"/>
    </row>
    <row r="956" spans="2:23" ht="18.75" customHeight="1">
      <c r="C956" s="112"/>
      <c r="D956" s="113"/>
      <c r="E956" s="115"/>
      <c r="F956" s="37"/>
    </row>
    <row r="958" spans="2:23" ht="18.75" customHeight="1" thickBot="1">
      <c r="B958" s="42"/>
      <c r="C958" s="42"/>
      <c r="D958" s="42"/>
      <c r="E958" s="42"/>
      <c r="F958" s="42"/>
      <c r="G958" s="42"/>
      <c r="H958" s="42"/>
      <c r="I958" s="42"/>
      <c r="J958" s="42"/>
      <c r="K958" s="42"/>
      <c r="L958" s="42"/>
      <c r="M958" s="42"/>
      <c r="N958" s="42"/>
      <c r="O958" s="42"/>
      <c r="P958" s="42"/>
      <c r="Q958" s="42"/>
      <c r="R958" s="42"/>
      <c r="S958" s="42"/>
      <c r="T958" s="42"/>
      <c r="U958" s="42"/>
    </row>
    <row r="960" spans="2:23" ht="18.75" customHeight="1">
      <c r="B960" s="43" t="s">
        <v>163</v>
      </c>
      <c r="C960" s="51" t="s">
        <v>3651</v>
      </c>
      <c r="D960" s="88"/>
      <c r="W960" s="35" t="str">
        <f>"-- "&amp;B960&amp;" : "&amp;C960</f>
        <v>-- SQL_ID : 01_A6-55</v>
      </c>
    </row>
    <row r="961" spans="2:23" ht="18.75" customHeight="1">
      <c r="B961" s="43" t="s">
        <v>158</v>
      </c>
      <c r="C961" s="118" t="str">
        <f>R964&amp;"登録"</f>
        <v>バックアップ_MML_紹介状モジュール_注射記録投薬登録</v>
      </c>
      <c r="D961" s="119"/>
      <c r="E961" s="119"/>
      <c r="F961" s="119"/>
      <c r="G961" s="119"/>
      <c r="H961" s="119"/>
      <c r="I961" s="119"/>
      <c r="J961" s="119"/>
      <c r="K961" s="119"/>
      <c r="L961" s="119"/>
      <c r="M961" s="119"/>
      <c r="N961" s="119"/>
      <c r="O961" s="119"/>
      <c r="P961" s="119"/>
      <c r="Q961" s="119"/>
      <c r="R961" s="119"/>
      <c r="S961" s="119"/>
      <c r="T961" s="119"/>
      <c r="U961" s="120"/>
      <c r="W961" s="35" t="str">
        <f>"-- "&amp;C961</f>
        <v>-- バックアップ_MML_紹介状モジュール_注射記録投薬登録</v>
      </c>
    </row>
    <row r="962" spans="2:23" ht="18.75" customHeight="1">
      <c r="B962" s="43" t="s">
        <v>159</v>
      </c>
      <c r="C962" s="121" t="str">
        <f>C964&amp;"テーブルから組入れ条件の第一条件で絞り込んだ結果を"&amp;R964&amp;"テーブルに格納する。"</f>
        <v>MML_紹介状モジュール_注射記録投薬テーブルから組入れ条件の第一条件で絞り込んだ結果をバックアップ_MML_紹介状モジュール_注射記録投薬テーブルに格納する。</v>
      </c>
      <c r="D962" s="122"/>
      <c r="E962" s="122"/>
      <c r="F962" s="122"/>
      <c r="G962" s="122"/>
      <c r="H962" s="122"/>
      <c r="I962" s="122"/>
      <c r="J962" s="122"/>
      <c r="K962" s="122"/>
      <c r="L962" s="122"/>
      <c r="M962" s="122"/>
      <c r="N962" s="122"/>
      <c r="O962" s="122"/>
      <c r="P962" s="122"/>
      <c r="Q962" s="122"/>
      <c r="R962" s="122"/>
      <c r="S962" s="122"/>
      <c r="T962" s="122"/>
      <c r="U962" s="123"/>
      <c r="W962" s="35" t="str">
        <f>"-- "&amp;C962</f>
        <v>-- MML_紹介状モジュール_注射記録投薬テーブルから組入れ条件の第一条件で絞り込んだ結果をバックアップ_MML_紹介状モジュール_注射記録投薬テーブルに格納する。</v>
      </c>
    </row>
    <row r="964" spans="2:23" ht="18.75" customHeight="1">
      <c r="C964" s="110" t="s">
        <v>3652</v>
      </c>
      <c r="D964" s="111"/>
      <c r="E964" s="116" t="s">
        <v>162</v>
      </c>
      <c r="H964" s="36"/>
      <c r="I964" s="36"/>
      <c r="J964" s="36"/>
      <c r="K964" s="36"/>
      <c r="L964" s="36"/>
      <c r="M964" s="36"/>
      <c r="N964" s="36"/>
      <c r="O964" s="36"/>
      <c r="P964" s="36"/>
      <c r="Q964" s="36"/>
      <c r="R964" s="110" t="str">
        <f>"バックアップ_"&amp;SUBSTITUTE(C964,"_結合","")</f>
        <v>バックアップ_MML_紹介状モジュール_注射記録投薬</v>
      </c>
      <c r="S964" s="111"/>
      <c r="T964" s="114" t="str">
        <f>エンティティ一覧!$O$2</f>
        <v>milscm_2023_009</v>
      </c>
    </row>
    <row r="965" spans="2:23" ht="18.75" customHeight="1">
      <c r="C965" s="112"/>
      <c r="D965" s="113"/>
      <c r="E965" s="117"/>
      <c r="F965" s="37"/>
      <c r="G965" s="38"/>
      <c r="H965" s="37"/>
      <c r="I965" s="37"/>
      <c r="J965" s="37"/>
      <c r="K965" s="37"/>
      <c r="L965" s="37"/>
      <c r="M965" s="37"/>
      <c r="N965" s="37"/>
      <c r="O965" s="37"/>
      <c r="P965" s="37"/>
      <c r="Q965" s="37"/>
      <c r="R965" s="112"/>
      <c r="S965" s="113"/>
      <c r="T965" s="115"/>
    </row>
    <row r="966" spans="2:23" ht="18.75" customHeight="1">
      <c r="F966" s="39"/>
      <c r="G966" s="40"/>
    </row>
    <row r="967" spans="2:23" ht="18.75" customHeight="1">
      <c r="C967" s="110" t="s">
        <v>3185</v>
      </c>
      <c r="D967" s="111"/>
      <c r="E967" s="114" t="str">
        <f>エンティティ一覧!$O$2</f>
        <v>milscm_2023_009</v>
      </c>
      <c r="G967" s="41"/>
    </row>
    <row r="968" spans="2:23" ht="18.75" customHeight="1">
      <c r="C968" s="112"/>
      <c r="D968" s="113"/>
      <c r="E968" s="115"/>
      <c r="F968" s="37"/>
    </row>
    <row r="970" spans="2:23" ht="18.75" customHeight="1" thickBot="1">
      <c r="B970" s="42"/>
      <c r="C970" s="42"/>
      <c r="D970" s="42"/>
      <c r="E970" s="42"/>
      <c r="F970" s="42"/>
      <c r="G970" s="42"/>
      <c r="H970" s="42"/>
      <c r="I970" s="42"/>
      <c r="J970" s="42"/>
      <c r="K970" s="42"/>
      <c r="L970" s="42"/>
      <c r="M970" s="42"/>
      <c r="N970" s="42"/>
      <c r="O970" s="42"/>
      <c r="P970" s="42"/>
      <c r="Q970" s="42"/>
      <c r="R970" s="42"/>
      <c r="S970" s="42"/>
      <c r="T970" s="42"/>
      <c r="U970" s="42"/>
    </row>
    <row r="972" spans="2:23" ht="18.75" customHeight="1">
      <c r="B972" s="43" t="s">
        <v>163</v>
      </c>
      <c r="C972" s="51" t="s">
        <v>3653</v>
      </c>
      <c r="D972" s="88"/>
      <c r="W972" s="35" t="str">
        <f>"-- "&amp;B972&amp;" : "&amp;C972</f>
        <v>-- SQL_ID : 01_A6-56</v>
      </c>
    </row>
    <row r="973" spans="2:23" ht="18.75" customHeight="1">
      <c r="B973" s="43" t="s">
        <v>158</v>
      </c>
      <c r="C973" s="118" t="str">
        <f>R976&amp;"登録"</f>
        <v>バックアップ_MML_紹介状モジュール_注射記録薬剤登録</v>
      </c>
      <c r="D973" s="119"/>
      <c r="E973" s="119"/>
      <c r="F973" s="119"/>
      <c r="G973" s="119"/>
      <c r="H973" s="119"/>
      <c r="I973" s="119"/>
      <c r="J973" s="119"/>
      <c r="K973" s="119"/>
      <c r="L973" s="119"/>
      <c r="M973" s="119"/>
      <c r="N973" s="119"/>
      <c r="O973" s="119"/>
      <c r="P973" s="119"/>
      <c r="Q973" s="119"/>
      <c r="R973" s="119"/>
      <c r="S973" s="119"/>
      <c r="T973" s="119"/>
      <c r="U973" s="120"/>
      <c r="W973" s="35" t="str">
        <f>"-- "&amp;C973</f>
        <v>-- バックアップ_MML_紹介状モジュール_注射記録薬剤登録</v>
      </c>
    </row>
    <row r="974" spans="2:23" ht="18.75" customHeight="1">
      <c r="B974" s="43" t="s">
        <v>159</v>
      </c>
      <c r="C974" s="121" t="str">
        <f>C976&amp;"テーブルから組入れ条件の第一条件で絞り込んだ結果を"&amp;R976&amp;"テーブルに格納する。"</f>
        <v>MML_紹介状モジュール_注射記録薬剤テーブルから組入れ条件の第一条件で絞り込んだ結果をバックアップ_MML_紹介状モジュール_注射記録薬剤テーブルに格納する。</v>
      </c>
      <c r="D974" s="122"/>
      <c r="E974" s="122"/>
      <c r="F974" s="122"/>
      <c r="G974" s="122"/>
      <c r="H974" s="122"/>
      <c r="I974" s="122"/>
      <c r="J974" s="122"/>
      <c r="K974" s="122"/>
      <c r="L974" s="122"/>
      <c r="M974" s="122"/>
      <c r="N974" s="122"/>
      <c r="O974" s="122"/>
      <c r="P974" s="122"/>
      <c r="Q974" s="122"/>
      <c r="R974" s="122"/>
      <c r="S974" s="122"/>
      <c r="T974" s="122"/>
      <c r="U974" s="123"/>
      <c r="W974" s="35" t="str">
        <f>"-- "&amp;C974</f>
        <v>-- MML_紹介状モジュール_注射記録薬剤テーブルから組入れ条件の第一条件で絞り込んだ結果をバックアップ_MML_紹介状モジュール_注射記録薬剤テーブルに格納する。</v>
      </c>
    </row>
    <row r="976" spans="2:23" ht="18.75" customHeight="1">
      <c r="C976" s="110" t="s">
        <v>3654</v>
      </c>
      <c r="D976" s="111"/>
      <c r="E976" s="116" t="s">
        <v>162</v>
      </c>
      <c r="H976" s="36"/>
      <c r="I976" s="36"/>
      <c r="J976" s="36"/>
      <c r="K976" s="36"/>
      <c r="L976" s="36"/>
      <c r="M976" s="36"/>
      <c r="N976" s="36"/>
      <c r="O976" s="36"/>
      <c r="P976" s="36"/>
      <c r="Q976" s="36"/>
      <c r="R976" s="110" t="str">
        <f>"バックアップ_"&amp;SUBSTITUTE(C976,"_結合","")</f>
        <v>バックアップ_MML_紹介状モジュール_注射記録薬剤</v>
      </c>
      <c r="S976" s="111"/>
      <c r="T976" s="114" t="str">
        <f>エンティティ一覧!$O$2</f>
        <v>milscm_2023_009</v>
      </c>
    </row>
    <row r="977" spans="2:23" ht="18.75" customHeight="1">
      <c r="C977" s="112"/>
      <c r="D977" s="113"/>
      <c r="E977" s="117"/>
      <c r="F977" s="37"/>
      <c r="G977" s="38"/>
      <c r="H977" s="37"/>
      <c r="I977" s="37"/>
      <c r="J977" s="37"/>
      <c r="K977" s="37"/>
      <c r="L977" s="37"/>
      <c r="M977" s="37"/>
      <c r="N977" s="37"/>
      <c r="O977" s="37"/>
      <c r="P977" s="37"/>
      <c r="Q977" s="37"/>
      <c r="R977" s="112"/>
      <c r="S977" s="113"/>
      <c r="T977" s="115"/>
    </row>
    <row r="978" spans="2:23" ht="18.75" customHeight="1">
      <c r="F978" s="39"/>
      <c r="G978" s="40"/>
    </row>
    <row r="979" spans="2:23" ht="18.75" customHeight="1">
      <c r="C979" s="110" t="s">
        <v>3185</v>
      </c>
      <c r="D979" s="111"/>
      <c r="E979" s="114" t="str">
        <f>エンティティ一覧!$O$2</f>
        <v>milscm_2023_009</v>
      </c>
      <c r="G979" s="41"/>
    </row>
    <row r="980" spans="2:23" ht="18.75" customHeight="1">
      <c r="C980" s="112"/>
      <c r="D980" s="113"/>
      <c r="E980" s="115"/>
      <c r="F980" s="37"/>
    </row>
    <row r="982" spans="2:23" ht="18.75" customHeight="1" thickBot="1">
      <c r="B982" s="42"/>
      <c r="C982" s="42"/>
      <c r="D982" s="42"/>
      <c r="E982" s="42"/>
      <c r="F982" s="42"/>
      <c r="G982" s="42"/>
      <c r="H982" s="42"/>
      <c r="I982" s="42"/>
      <c r="J982" s="42"/>
      <c r="K982" s="42"/>
      <c r="L982" s="42"/>
      <c r="M982" s="42"/>
      <c r="N982" s="42"/>
      <c r="O982" s="42"/>
      <c r="P982" s="42"/>
      <c r="Q982" s="42"/>
      <c r="R982" s="42"/>
      <c r="S982" s="42"/>
      <c r="T982" s="42"/>
      <c r="U982" s="42"/>
    </row>
    <row r="984" spans="2:23" ht="18.75" customHeight="1">
      <c r="B984" s="43" t="s">
        <v>163</v>
      </c>
      <c r="C984" s="51" t="s">
        <v>3655</v>
      </c>
      <c r="D984" s="88"/>
      <c r="W984" s="35" t="str">
        <f>"-- "&amp;B984&amp;" : "&amp;C984</f>
        <v>-- SQL_ID : 01_A6-57</v>
      </c>
    </row>
    <row r="985" spans="2:23" ht="18.75" customHeight="1">
      <c r="B985" s="43" t="s">
        <v>158</v>
      </c>
      <c r="C985" s="118" t="str">
        <f>R988&amp;"登録"</f>
        <v>バックアップ_MML_紹介状モジュール_患者情報登録</v>
      </c>
      <c r="D985" s="119"/>
      <c r="E985" s="119"/>
      <c r="F985" s="119"/>
      <c r="G985" s="119"/>
      <c r="H985" s="119"/>
      <c r="I985" s="119"/>
      <c r="J985" s="119"/>
      <c r="K985" s="119"/>
      <c r="L985" s="119"/>
      <c r="M985" s="119"/>
      <c r="N985" s="119"/>
      <c r="O985" s="119"/>
      <c r="P985" s="119"/>
      <c r="Q985" s="119"/>
      <c r="R985" s="119"/>
      <c r="S985" s="119"/>
      <c r="T985" s="119"/>
      <c r="U985" s="120"/>
      <c r="W985" s="35" t="str">
        <f>"-- "&amp;C985</f>
        <v>-- バックアップ_MML_紹介状モジュール_患者情報登録</v>
      </c>
    </row>
    <row r="986" spans="2:23" ht="18.75" customHeight="1">
      <c r="B986" s="43" t="s">
        <v>159</v>
      </c>
      <c r="C986" s="121" t="str">
        <f>C988&amp;"テーブルから組入れ条件の第一条件で絞り込んだ結果を"&amp;R988&amp;"テーブルに格納する。"</f>
        <v>MML_紹介状モジュール_患者情報テーブルから組入れ条件の第一条件で絞り込んだ結果をバックアップ_MML_紹介状モジュール_患者情報テーブルに格納する。</v>
      </c>
      <c r="D986" s="122"/>
      <c r="E986" s="122"/>
      <c r="F986" s="122"/>
      <c r="G986" s="122"/>
      <c r="H986" s="122"/>
      <c r="I986" s="122"/>
      <c r="J986" s="122"/>
      <c r="K986" s="122"/>
      <c r="L986" s="122"/>
      <c r="M986" s="122"/>
      <c r="N986" s="122"/>
      <c r="O986" s="122"/>
      <c r="P986" s="122"/>
      <c r="Q986" s="122"/>
      <c r="R986" s="122"/>
      <c r="S986" s="122"/>
      <c r="T986" s="122"/>
      <c r="U986" s="123"/>
      <c r="W986" s="35" t="str">
        <f>"-- "&amp;C986</f>
        <v>-- MML_紹介状モジュール_患者情報テーブルから組入れ条件の第一条件で絞り込んだ結果をバックアップ_MML_紹介状モジュール_患者情報テーブルに格納する。</v>
      </c>
    </row>
    <row r="988" spans="2:23" ht="18.75" customHeight="1">
      <c r="C988" s="110" t="s">
        <v>3656</v>
      </c>
      <c r="D988" s="111"/>
      <c r="E988" s="116" t="s">
        <v>162</v>
      </c>
      <c r="H988" s="36"/>
      <c r="I988" s="36"/>
      <c r="J988" s="36"/>
      <c r="K988" s="36"/>
      <c r="L988" s="36"/>
      <c r="M988" s="36"/>
      <c r="N988" s="36"/>
      <c r="O988" s="36"/>
      <c r="P988" s="36"/>
      <c r="Q988" s="36"/>
      <c r="R988" s="110" t="str">
        <f>"バックアップ_"&amp;SUBSTITUTE(C988,"_結合","")</f>
        <v>バックアップ_MML_紹介状モジュール_患者情報</v>
      </c>
      <c r="S988" s="111"/>
      <c r="T988" s="114" t="str">
        <f>エンティティ一覧!$O$2</f>
        <v>milscm_2023_009</v>
      </c>
    </row>
    <row r="989" spans="2:23" ht="18.75" customHeight="1">
      <c r="C989" s="112"/>
      <c r="D989" s="113"/>
      <c r="E989" s="117"/>
      <c r="F989" s="37"/>
      <c r="G989" s="38"/>
      <c r="H989" s="37"/>
      <c r="I989" s="37"/>
      <c r="J989" s="37"/>
      <c r="K989" s="37"/>
      <c r="L989" s="37"/>
      <c r="M989" s="37"/>
      <c r="N989" s="37"/>
      <c r="O989" s="37"/>
      <c r="P989" s="37"/>
      <c r="Q989" s="37"/>
      <c r="R989" s="112"/>
      <c r="S989" s="113"/>
      <c r="T989" s="115"/>
    </row>
    <row r="990" spans="2:23" ht="18.75" customHeight="1">
      <c r="F990" s="39"/>
      <c r="G990" s="40"/>
    </row>
    <row r="991" spans="2:23" ht="18.75" customHeight="1">
      <c r="C991" s="110" t="s">
        <v>3185</v>
      </c>
      <c r="D991" s="111"/>
      <c r="E991" s="114" t="str">
        <f>エンティティ一覧!$O$2</f>
        <v>milscm_2023_009</v>
      </c>
      <c r="G991" s="41"/>
    </row>
    <row r="992" spans="2:23" ht="18.75" customHeight="1">
      <c r="C992" s="112"/>
      <c r="D992" s="113"/>
      <c r="E992" s="115"/>
      <c r="F992" s="37"/>
    </row>
    <row r="994" spans="2:23" ht="18.75" customHeight="1" thickBot="1">
      <c r="B994" s="42"/>
      <c r="C994" s="42"/>
      <c r="D994" s="42"/>
      <c r="E994" s="42"/>
      <c r="F994" s="42"/>
      <c r="G994" s="42"/>
      <c r="H994" s="42"/>
      <c r="I994" s="42"/>
      <c r="J994" s="42"/>
      <c r="K994" s="42"/>
      <c r="L994" s="42"/>
      <c r="M994" s="42"/>
      <c r="N994" s="42"/>
      <c r="O994" s="42"/>
      <c r="P994" s="42"/>
      <c r="Q994" s="42"/>
      <c r="R994" s="42"/>
      <c r="S994" s="42"/>
      <c r="T994" s="42"/>
      <c r="U994" s="42"/>
    </row>
    <row r="996" spans="2:23" ht="18.75" customHeight="1">
      <c r="B996" s="43" t="s">
        <v>163</v>
      </c>
      <c r="C996" s="51" t="s">
        <v>3657</v>
      </c>
      <c r="D996" s="88"/>
      <c r="W996" s="35" t="str">
        <f>"-- "&amp;B996&amp;" : "&amp;C996</f>
        <v>-- SQL_ID : 01_A6-58</v>
      </c>
    </row>
    <row r="997" spans="2:23" ht="18.75" customHeight="1">
      <c r="B997" s="43" t="s">
        <v>158</v>
      </c>
      <c r="C997" s="118" t="str">
        <f>R1000&amp;"登録"</f>
        <v>バックアップ_MML_紹介状モジュール_患者情報住所登録</v>
      </c>
      <c r="D997" s="119"/>
      <c r="E997" s="119"/>
      <c r="F997" s="119"/>
      <c r="G997" s="119"/>
      <c r="H997" s="119"/>
      <c r="I997" s="119"/>
      <c r="J997" s="119"/>
      <c r="K997" s="119"/>
      <c r="L997" s="119"/>
      <c r="M997" s="119"/>
      <c r="N997" s="119"/>
      <c r="O997" s="119"/>
      <c r="P997" s="119"/>
      <c r="Q997" s="119"/>
      <c r="R997" s="119"/>
      <c r="S997" s="119"/>
      <c r="T997" s="119"/>
      <c r="U997" s="120"/>
      <c r="W997" s="35" t="str">
        <f>"-- "&amp;C997</f>
        <v>-- バックアップ_MML_紹介状モジュール_患者情報住所登録</v>
      </c>
    </row>
    <row r="998" spans="2:23" ht="18.75" customHeight="1">
      <c r="B998" s="43" t="s">
        <v>159</v>
      </c>
      <c r="C998" s="121" t="str">
        <f>C1000&amp;"テーブルから組入れ条件の第一条件で絞り込んだ結果を"&amp;R1000&amp;"テーブルに格納する。"</f>
        <v>MML_紹介状モジュール_患者情報住所テーブルから組入れ条件の第一条件で絞り込んだ結果をバックアップ_MML_紹介状モジュール_患者情報住所テーブルに格納する。</v>
      </c>
      <c r="D998" s="122"/>
      <c r="E998" s="122"/>
      <c r="F998" s="122"/>
      <c r="G998" s="122"/>
      <c r="H998" s="122"/>
      <c r="I998" s="122"/>
      <c r="J998" s="122"/>
      <c r="K998" s="122"/>
      <c r="L998" s="122"/>
      <c r="M998" s="122"/>
      <c r="N998" s="122"/>
      <c r="O998" s="122"/>
      <c r="P998" s="122"/>
      <c r="Q998" s="122"/>
      <c r="R998" s="122"/>
      <c r="S998" s="122"/>
      <c r="T998" s="122"/>
      <c r="U998" s="123"/>
      <c r="W998" s="35" t="str">
        <f>"-- "&amp;C998</f>
        <v>-- MML_紹介状モジュール_患者情報住所テーブルから組入れ条件の第一条件で絞り込んだ結果をバックアップ_MML_紹介状モジュール_患者情報住所テーブルに格納する。</v>
      </c>
    </row>
    <row r="1000" spans="2:23" ht="18.75" customHeight="1">
      <c r="C1000" s="110" t="s">
        <v>3658</v>
      </c>
      <c r="D1000" s="111"/>
      <c r="E1000" s="116" t="s">
        <v>162</v>
      </c>
      <c r="H1000" s="36"/>
      <c r="I1000" s="36"/>
      <c r="J1000" s="36"/>
      <c r="K1000" s="36"/>
      <c r="L1000" s="36"/>
      <c r="M1000" s="36"/>
      <c r="N1000" s="36"/>
      <c r="O1000" s="36"/>
      <c r="P1000" s="36"/>
      <c r="Q1000" s="36"/>
      <c r="R1000" s="110" t="str">
        <f>"バックアップ_"&amp;SUBSTITUTE(C1000,"_結合","")</f>
        <v>バックアップ_MML_紹介状モジュール_患者情報住所</v>
      </c>
      <c r="S1000" s="111"/>
      <c r="T1000" s="114" t="str">
        <f>エンティティ一覧!$O$2</f>
        <v>milscm_2023_009</v>
      </c>
    </row>
    <row r="1001" spans="2:23" ht="18.75" customHeight="1">
      <c r="C1001" s="112"/>
      <c r="D1001" s="113"/>
      <c r="E1001" s="117"/>
      <c r="F1001" s="37"/>
      <c r="G1001" s="38"/>
      <c r="H1001" s="37"/>
      <c r="I1001" s="37"/>
      <c r="J1001" s="37"/>
      <c r="K1001" s="37"/>
      <c r="L1001" s="37"/>
      <c r="M1001" s="37"/>
      <c r="N1001" s="37"/>
      <c r="O1001" s="37"/>
      <c r="P1001" s="37"/>
      <c r="Q1001" s="37"/>
      <c r="R1001" s="112"/>
      <c r="S1001" s="113"/>
      <c r="T1001" s="115"/>
    </row>
    <row r="1002" spans="2:23" ht="18.75" customHeight="1">
      <c r="F1002" s="39"/>
      <c r="G1002" s="40"/>
    </row>
    <row r="1003" spans="2:23" ht="18.75" customHeight="1">
      <c r="C1003" s="110" t="s">
        <v>3185</v>
      </c>
      <c r="D1003" s="111"/>
      <c r="E1003" s="114" t="str">
        <f>エンティティ一覧!$O$2</f>
        <v>milscm_2023_009</v>
      </c>
      <c r="G1003" s="41"/>
    </row>
    <row r="1004" spans="2:23" ht="18.75" customHeight="1">
      <c r="C1004" s="112"/>
      <c r="D1004" s="113"/>
      <c r="E1004" s="115"/>
      <c r="F1004" s="37"/>
    </row>
    <row r="1006" spans="2:23" ht="18.75" customHeight="1" thickBot="1">
      <c r="B1006" s="42"/>
      <c r="C1006" s="42"/>
      <c r="D1006" s="42"/>
      <c r="E1006" s="42"/>
      <c r="F1006" s="42"/>
      <c r="G1006" s="42"/>
      <c r="H1006" s="42"/>
      <c r="I1006" s="42"/>
      <c r="J1006" s="42"/>
      <c r="K1006" s="42"/>
      <c r="L1006" s="42"/>
      <c r="M1006" s="42"/>
      <c r="N1006" s="42"/>
      <c r="O1006" s="42"/>
      <c r="P1006" s="42"/>
      <c r="Q1006" s="42"/>
      <c r="R1006" s="42"/>
      <c r="S1006" s="42"/>
      <c r="T1006" s="42"/>
      <c r="U1006" s="42"/>
    </row>
    <row r="1008" spans="2:23" ht="18.75" customHeight="1">
      <c r="B1008" s="43" t="s">
        <v>163</v>
      </c>
      <c r="C1008" s="51" t="s">
        <v>3659</v>
      </c>
      <c r="D1008" s="88"/>
      <c r="W1008" s="35" t="str">
        <f>"-- "&amp;B1008&amp;" : "&amp;C1008</f>
        <v>-- SQL_ID : 01_A6-59</v>
      </c>
    </row>
    <row r="1009" spans="2:23" ht="18.75" customHeight="1">
      <c r="B1009" s="43" t="s">
        <v>158</v>
      </c>
      <c r="C1009" s="118" t="str">
        <f>R1012&amp;"登録"</f>
        <v>バックアップ_MML_紹介状モジュール_処方箋登録</v>
      </c>
      <c r="D1009" s="119"/>
      <c r="E1009" s="119"/>
      <c r="F1009" s="119"/>
      <c r="G1009" s="119"/>
      <c r="H1009" s="119"/>
      <c r="I1009" s="119"/>
      <c r="J1009" s="119"/>
      <c r="K1009" s="119"/>
      <c r="L1009" s="119"/>
      <c r="M1009" s="119"/>
      <c r="N1009" s="119"/>
      <c r="O1009" s="119"/>
      <c r="P1009" s="119"/>
      <c r="Q1009" s="119"/>
      <c r="R1009" s="119"/>
      <c r="S1009" s="119"/>
      <c r="T1009" s="119"/>
      <c r="U1009" s="120"/>
      <c r="W1009" s="35" t="str">
        <f>"-- "&amp;C1009</f>
        <v>-- バックアップ_MML_紹介状モジュール_処方箋登録</v>
      </c>
    </row>
    <row r="1010" spans="2:23" ht="18.75" customHeight="1">
      <c r="B1010" s="43" t="s">
        <v>159</v>
      </c>
      <c r="C1010" s="121" t="str">
        <f>C1012&amp;"テーブルから組入れ条件の第一条件で絞り込んだ結果を"&amp;R1012&amp;"テーブルに格納する。"</f>
        <v>MML_紹介状モジュール_処方箋テーブルから組入れ条件の第一条件で絞り込んだ結果をバックアップ_MML_紹介状モジュール_処方箋テーブルに格納する。</v>
      </c>
      <c r="D1010" s="122"/>
      <c r="E1010" s="122"/>
      <c r="F1010" s="122"/>
      <c r="G1010" s="122"/>
      <c r="H1010" s="122"/>
      <c r="I1010" s="122"/>
      <c r="J1010" s="122"/>
      <c r="K1010" s="122"/>
      <c r="L1010" s="122"/>
      <c r="M1010" s="122"/>
      <c r="N1010" s="122"/>
      <c r="O1010" s="122"/>
      <c r="P1010" s="122"/>
      <c r="Q1010" s="122"/>
      <c r="R1010" s="122"/>
      <c r="S1010" s="122"/>
      <c r="T1010" s="122"/>
      <c r="U1010" s="123"/>
      <c r="W1010" s="35" t="str">
        <f>"-- "&amp;C1010</f>
        <v>-- MML_紹介状モジュール_処方箋テーブルから組入れ条件の第一条件で絞り込んだ結果をバックアップ_MML_紹介状モジュール_処方箋テーブルに格納する。</v>
      </c>
    </row>
    <row r="1012" spans="2:23" ht="18.75" customHeight="1">
      <c r="C1012" s="110" t="s">
        <v>3660</v>
      </c>
      <c r="D1012" s="111"/>
      <c r="E1012" s="116" t="s">
        <v>162</v>
      </c>
      <c r="H1012" s="36"/>
      <c r="I1012" s="36"/>
      <c r="J1012" s="36"/>
      <c r="K1012" s="36"/>
      <c r="L1012" s="36"/>
      <c r="M1012" s="36"/>
      <c r="N1012" s="36"/>
      <c r="O1012" s="36"/>
      <c r="P1012" s="36"/>
      <c r="Q1012" s="36"/>
      <c r="R1012" s="110" t="str">
        <f>"バックアップ_"&amp;SUBSTITUTE(C1012,"_結合","")</f>
        <v>バックアップ_MML_紹介状モジュール_処方箋</v>
      </c>
      <c r="S1012" s="111"/>
      <c r="T1012" s="114" t="str">
        <f>エンティティ一覧!$O$2</f>
        <v>milscm_2023_009</v>
      </c>
    </row>
    <row r="1013" spans="2:23" ht="18.75" customHeight="1">
      <c r="C1013" s="112"/>
      <c r="D1013" s="113"/>
      <c r="E1013" s="117"/>
      <c r="F1013" s="37"/>
      <c r="G1013" s="38"/>
      <c r="H1013" s="37"/>
      <c r="I1013" s="37"/>
      <c r="J1013" s="37"/>
      <c r="K1013" s="37"/>
      <c r="L1013" s="37"/>
      <c r="M1013" s="37"/>
      <c r="N1013" s="37"/>
      <c r="O1013" s="37"/>
      <c r="P1013" s="37"/>
      <c r="Q1013" s="37"/>
      <c r="R1013" s="112"/>
      <c r="S1013" s="113"/>
      <c r="T1013" s="115"/>
    </row>
    <row r="1014" spans="2:23" ht="18.75" customHeight="1">
      <c r="F1014" s="39"/>
      <c r="G1014" s="40"/>
    </row>
    <row r="1015" spans="2:23" ht="18.75" customHeight="1">
      <c r="C1015" s="110" t="s">
        <v>3185</v>
      </c>
      <c r="D1015" s="111"/>
      <c r="E1015" s="114" t="str">
        <f>エンティティ一覧!$O$2</f>
        <v>milscm_2023_009</v>
      </c>
      <c r="G1015" s="41"/>
    </row>
    <row r="1016" spans="2:23" ht="18.75" customHeight="1">
      <c r="C1016" s="112"/>
      <c r="D1016" s="113"/>
      <c r="E1016" s="115"/>
      <c r="F1016" s="37"/>
    </row>
    <row r="1018" spans="2:23" ht="18.75" customHeight="1" thickBot="1">
      <c r="B1018" s="42"/>
      <c r="C1018" s="42"/>
      <c r="D1018" s="42"/>
      <c r="E1018" s="42"/>
      <c r="F1018" s="42"/>
      <c r="G1018" s="42"/>
      <c r="H1018" s="42"/>
      <c r="I1018" s="42"/>
      <c r="J1018" s="42"/>
      <c r="K1018" s="42"/>
      <c r="L1018" s="42"/>
      <c r="M1018" s="42"/>
      <c r="N1018" s="42"/>
      <c r="O1018" s="42"/>
      <c r="P1018" s="42"/>
      <c r="Q1018" s="42"/>
      <c r="R1018" s="42"/>
      <c r="S1018" s="42"/>
      <c r="T1018" s="42"/>
      <c r="U1018" s="42"/>
    </row>
    <row r="1020" spans="2:23" ht="18.75" customHeight="1">
      <c r="B1020" s="43" t="s">
        <v>163</v>
      </c>
      <c r="C1020" s="51" t="s">
        <v>3661</v>
      </c>
      <c r="D1020" s="88"/>
      <c r="W1020" s="35" t="str">
        <f>"-- "&amp;B1020&amp;" : "&amp;C1020</f>
        <v>-- SQL_ID : 01_A6-60</v>
      </c>
    </row>
    <row r="1021" spans="2:23" ht="18.75" customHeight="1">
      <c r="B1021" s="43" t="s">
        <v>158</v>
      </c>
      <c r="C1021" s="118" t="str">
        <f>R1024&amp;"登録"</f>
        <v>バックアップ_MML_紹介状モジュール_処方箋投薬登録</v>
      </c>
      <c r="D1021" s="119"/>
      <c r="E1021" s="119"/>
      <c r="F1021" s="119"/>
      <c r="G1021" s="119"/>
      <c r="H1021" s="119"/>
      <c r="I1021" s="119"/>
      <c r="J1021" s="119"/>
      <c r="K1021" s="119"/>
      <c r="L1021" s="119"/>
      <c r="M1021" s="119"/>
      <c r="N1021" s="119"/>
      <c r="O1021" s="119"/>
      <c r="P1021" s="119"/>
      <c r="Q1021" s="119"/>
      <c r="R1021" s="119"/>
      <c r="S1021" s="119"/>
      <c r="T1021" s="119"/>
      <c r="U1021" s="120"/>
      <c r="W1021" s="35" t="str">
        <f>"-- "&amp;C1021</f>
        <v>-- バックアップ_MML_紹介状モジュール_処方箋投薬登録</v>
      </c>
    </row>
    <row r="1022" spans="2:23" ht="18.75" customHeight="1">
      <c r="B1022" s="43" t="s">
        <v>159</v>
      </c>
      <c r="C1022" s="121" t="str">
        <f>C1024&amp;"テーブルから組入れ条件の第一条件で絞り込んだ結果を"&amp;R1024&amp;"テーブルに格納する。"</f>
        <v>MML_紹介状モジュール_処方箋投薬テーブルから組入れ条件の第一条件で絞り込んだ結果をバックアップ_MML_紹介状モジュール_処方箋投薬テーブルに格納する。</v>
      </c>
      <c r="D1022" s="122"/>
      <c r="E1022" s="122"/>
      <c r="F1022" s="122"/>
      <c r="G1022" s="122"/>
      <c r="H1022" s="122"/>
      <c r="I1022" s="122"/>
      <c r="J1022" s="122"/>
      <c r="K1022" s="122"/>
      <c r="L1022" s="122"/>
      <c r="M1022" s="122"/>
      <c r="N1022" s="122"/>
      <c r="O1022" s="122"/>
      <c r="P1022" s="122"/>
      <c r="Q1022" s="122"/>
      <c r="R1022" s="122"/>
      <c r="S1022" s="122"/>
      <c r="T1022" s="122"/>
      <c r="U1022" s="123"/>
      <c r="W1022" s="35" t="str">
        <f>"-- "&amp;C1022</f>
        <v>-- MML_紹介状モジュール_処方箋投薬テーブルから組入れ条件の第一条件で絞り込んだ結果をバックアップ_MML_紹介状モジュール_処方箋投薬テーブルに格納する。</v>
      </c>
    </row>
    <row r="1024" spans="2:23" ht="18.75" customHeight="1">
      <c r="C1024" s="110" t="s">
        <v>3662</v>
      </c>
      <c r="D1024" s="111"/>
      <c r="E1024" s="116" t="s">
        <v>162</v>
      </c>
      <c r="H1024" s="36"/>
      <c r="I1024" s="36"/>
      <c r="J1024" s="36"/>
      <c r="K1024" s="36"/>
      <c r="L1024" s="36"/>
      <c r="M1024" s="36"/>
      <c r="N1024" s="36"/>
      <c r="O1024" s="36"/>
      <c r="P1024" s="36"/>
      <c r="Q1024" s="36"/>
      <c r="R1024" s="110" t="str">
        <f>"バックアップ_"&amp;SUBSTITUTE(C1024,"_結合","")</f>
        <v>バックアップ_MML_紹介状モジュール_処方箋投薬</v>
      </c>
      <c r="S1024" s="111"/>
      <c r="T1024" s="114" t="str">
        <f>エンティティ一覧!$O$2</f>
        <v>milscm_2023_009</v>
      </c>
    </row>
    <row r="1025" spans="2:23" ht="18.75" customHeight="1">
      <c r="C1025" s="112"/>
      <c r="D1025" s="113"/>
      <c r="E1025" s="117"/>
      <c r="F1025" s="37"/>
      <c r="G1025" s="38"/>
      <c r="H1025" s="37"/>
      <c r="I1025" s="37"/>
      <c r="J1025" s="37"/>
      <c r="K1025" s="37"/>
      <c r="L1025" s="37"/>
      <c r="M1025" s="37"/>
      <c r="N1025" s="37"/>
      <c r="O1025" s="37"/>
      <c r="P1025" s="37"/>
      <c r="Q1025" s="37"/>
      <c r="R1025" s="112"/>
      <c r="S1025" s="113"/>
      <c r="T1025" s="115"/>
    </row>
    <row r="1026" spans="2:23" ht="18.75" customHeight="1">
      <c r="F1026" s="39"/>
      <c r="G1026" s="40"/>
    </row>
    <row r="1027" spans="2:23" ht="18.75" customHeight="1">
      <c r="C1027" s="110" t="s">
        <v>3185</v>
      </c>
      <c r="D1027" s="111"/>
      <c r="E1027" s="114" t="str">
        <f>エンティティ一覧!$O$2</f>
        <v>milscm_2023_009</v>
      </c>
      <c r="G1027" s="41"/>
    </row>
    <row r="1028" spans="2:23" ht="18.75" customHeight="1">
      <c r="C1028" s="112"/>
      <c r="D1028" s="113"/>
      <c r="E1028" s="115"/>
      <c r="F1028" s="37"/>
    </row>
    <row r="1030" spans="2:23" ht="18.75" customHeight="1" thickBot="1">
      <c r="B1030" s="42"/>
      <c r="C1030" s="42"/>
      <c r="D1030" s="42"/>
      <c r="E1030" s="42"/>
      <c r="F1030" s="42"/>
      <c r="G1030" s="42"/>
      <c r="H1030" s="42"/>
      <c r="I1030" s="42"/>
      <c r="J1030" s="42"/>
      <c r="K1030" s="42"/>
      <c r="L1030" s="42"/>
      <c r="M1030" s="42"/>
      <c r="N1030" s="42"/>
      <c r="O1030" s="42"/>
      <c r="P1030" s="42"/>
      <c r="Q1030" s="42"/>
      <c r="R1030" s="42"/>
      <c r="S1030" s="42"/>
      <c r="T1030" s="42"/>
      <c r="U1030" s="42"/>
    </row>
    <row r="1032" spans="2:23" ht="18.75" customHeight="1">
      <c r="B1032" s="43" t="s">
        <v>163</v>
      </c>
      <c r="C1032" s="51" t="s">
        <v>3663</v>
      </c>
      <c r="D1032" s="88"/>
      <c r="W1032" s="35" t="str">
        <f>"-- "&amp;B1032&amp;" : "&amp;C1032</f>
        <v>-- SQL_ID : 01_A6-61</v>
      </c>
    </row>
    <row r="1033" spans="2:23" ht="18.75" customHeight="1">
      <c r="B1033" s="43" t="s">
        <v>158</v>
      </c>
      <c r="C1033" s="118" t="str">
        <f>R1036&amp;"登録"</f>
        <v>バックアップ_MML_紹介状モジュール_処方箋薬剤登録</v>
      </c>
      <c r="D1033" s="119"/>
      <c r="E1033" s="119"/>
      <c r="F1033" s="119"/>
      <c r="G1033" s="119"/>
      <c r="H1033" s="119"/>
      <c r="I1033" s="119"/>
      <c r="J1033" s="119"/>
      <c r="K1033" s="119"/>
      <c r="L1033" s="119"/>
      <c r="M1033" s="119"/>
      <c r="N1033" s="119"/>
      <c r="O1033" s="119"/>
      <c r="P1033" s="119"/>
      <c r="Q1033" s="119"/>
      <c r="R1033" s="119"/>
      <c r="S1033" s="119"/>
      <c r="T1033" s="119"/>
      <c r="U1033" s="120"/>
      <c r="W1033" s="35" t="str">
        <f>"-- "&amp;C1033</f>
        <v>-- バックアップ_MML_紹介状モジュール_処方箋薬剤登録</v>
      </c>
    </row>
    <row r="1034" spans="2:23" ht="18.75" customHeight="1">
      <c r="B1034" s="43" t="s">
        <v>159</v>
      </c>
      <c r="C1034" s="121" t="str">
        <f>C1036&amp;"テーブルから組入れ条件の第一条件で絞り込んだ結果を"&amp;R1036&amp;"テーブルに格納する。"</f>
        <v>MML_紹介状モジュール_処方箋薬剤テーブルから組入れ条件の第一条件で絞り込んだ結果をバックアップ_MML_紹介状モジュール_処方箋薬剤テーブルに格納する。</v>
      </c>
      <c r="D1034" s="122"/>
      <c r="E1034" s="122"/>
      <c r="F1034" s="122"/>
      <c r="G1034" s="122"/>
      <c r="H1034" s="122"/>
      <c r="I1034" s="122"/>
      <c r="J1034" s="122"/>
      <c r="K1034" s="122"/>
      <c r="L1034" s="122"/>
      <c r="M1034" s="122"/>
      <c r="N1034" s="122"/>
      <c r="O1034" s="122"/>
      <c r="P1034" s="122"/>
      <c r="Q1034" s="122"/>
      <c r="R1034" s="122"/>
      <c r="S1034" s="122"/>
      <c r="T1034" s="122"/>
      <c r="U1034" s="123"/>
      <c r="W1034" s="35" t="str">
        <f>"-- "&amp;C1034</f>
        <v>-- MML_紹介状モジュール_処方箋薬剤テーブルから組入れ条件の第一条件で絞り込んだ結果をバックアップ_MML_紹介状モジュール_処方箋薬剤テーブルに格納する。</v>
      </c>
    </row>
    <row r="1036" spans="2:23" ht="18.75" customHeight="1">
      <c r="C1036" s="110" t="s">
        <v>3664</v>
      </c>
      <c r="D1036" s="111"/>
      <c r="E1036" s="116" t="s">
        <v>162</v>
      </c>
      <c r="H1036" s="36"/>
      <c r="I1036" s="36"/>
      <c r="J1036" s="36"/>
      <c r="K1036" s="36"/>
      <c r="L1036" s="36"/>
      <c r="M1036" s="36"/>
      <c r="N1036" s="36"/>
      <c r="O1036" s="36"/>
      <c r="P1036" s="36"/>
      <c r="Q1036" s="36"/>
      <c r="R1036" s="110" t="str">
        <f>"バックアップ_"&amp;SUBSTITUTE(C1036,"_結合","")</f>
        <v>バックアップ_MML_紹介状モジュール_処方箋薬剤</v>
      </c>
      <c r="S1036" s="111"/>
      <c r="T1036" s="114" t="str">
        <f>エンティティ一覧!$O$2</f>
        <v>milscm_2023_009</v>
      </c>
    </row>
    <row r="1037" spans="2:23" ht="18.75" customHeight="1">
      <c r="C1037" s="112"/>
      <c r="D1037" s="113"/>
      <c r="E1037" s="117"/>
      <c r="F1037" s="37"/>
      <c r="G1037" s="38"/>
      <c r="H1037" s="37"/>
      <c r="I1037" s="37"/>
      <c r="J1037" s="37"/>
      <c r="K1037" s="37"/>
      <c r="L1037" s="37"/>
      <c r="M1037" s="37"/>
      <c r="N1037" s="37"/>
      <c r="O1037" s="37"/>
      <c r="P1037" s="37"/>
      <c r="Q1037" s="37"/>
      <c r="R1037" s="112"/>
      <c r="S1037" s="113"/>
      <c r="T1037" s="115"/>
    </row>
    <row r="1038" spans="2:23" ht="18.75" customHeight="1">
      <c r="F1038" s="39"/>
      <c r="G1038" s="40"/>
    </row>
    <row r="1039" spans="2:23" ht="18.75" customHeight="1">
      <c r="C1039" s="110" t="s">
        <v>3185</v>
      </c>
      <c r="D1039" s="111"/>
      <c r="E1039" s="114" t="str">
        <f>エンティティ一覧!$O$2</f>
        <v>milscm_2023_009</v>
      </c>
      <c r="G1039" s="41"/>
    </row>
    <row r="1040" spans="2:23" ht="18.75" customHeight="1">
      <c r="C1040" s="112"/>
      <c r="D1040" s="113"/>
      <c r="E1040" s="115"/>
      <c r="F1040" s="37"/>
    </row>
    <row r="1042" spans="2:23" ht="18.75" customHeight="1" thickBot="1">
      <c r="B1042" s="42"/>
      <c r="C1042" s="42"/>
      <c r="D1042" s="42"/>
      <c r="E1042" s="42"/>
      <c r="F1042" s="42"/>
      <c r="G1042" s="42"/>
      <c r="H1042" s="42"/>
      <c r="I1042" s="42"/>
      <c r="J1042" s="42"/>
      <c r="K1042" s="42"/>
      <c r="L1042" s="42"/>
      <c r="M1042" s="42"/>
      <c r="N1042" s="42"/>
      <c r="O1042" s="42"/>
      <c r="P1042" s="42"/>
      <c r="Q1042" s="42"/>
      <c r="R1042" s="42"/>
      <c r="S1042" s="42"/>
      <c r="T1042" s="42"/>
      <c r="U1042" s="42"/>
    </row>
    <row r="1044" spans="2:23" ht="18.75" customHeight="1">
      <c r="B1044" s="43" t="s">
        <v>163</v>
      </c>
      <c r="C1044" s="51" t="s">
        <v>3665</v>
      </c>
      <c r="D1044" s="88"/>
      <c r="W1044" s="35" t="str">
        <f>"-- "&amp;B1044&amp;" : "&amp;C1044</f>
        <v>-- SQL_ID : 01_A6-62</v>
      </c>
    </row>
    <row r="1045" spans="2:23" ht="18.75" customHeight="1">
      <c r="B1045" s="43" t="s">
        <v>158</v>
      </c>
      <c r="C1045" s="118" t="str">
        <f>R1048&amp;"登録"</f>
        <v>バックアップ_MML_紹介状モジュール_臨床サマリー情報経過記録登録</v>
      </c>
      <c r="D1045" s="119"/>
      <c r="E1045" s="119"/>
      <c r="F1045" s="119"/>
      <c r="G1045" s="119"/>
      <c r="H1045" s="119"/>
      <c r="I1045" s="119"/>
      <c r="J1045" s="119"/>
      <c r="K1045" s="119"/>
      <c r="L1045" s="119"/>
      <c r="M1045" s="119"/>
      <c r="N1045" s="119"/>
      <c r="O1045" s="119"/>
      <c r="P1045" s="119"/>
      <c r="Q1045" s="119"/>
      <c r="R1045" s="119"/>
      <c r="S1045" s="119"/>
      <c r="T1045" s="119"/>
      <c r="U1045" s="120"/>
      <c r="W1045" s="35" t="str">
        <f>"-- "&amp;C1045</f>
        <v>-- バックアップ_MML_紹介状モジュール_臨床サマリー情報経過記録登録</v>
      </c>
    </row>
    <row r="1046" spans="2:23" ht="18.75" customHeight="1">
      <c r="B1046" s="43" t="s">
        <v>159</v>
      </c>
      <c r="C1046" s="121" t="str">
        <f>C1048&amp;"テーブルから組入れ条件の第一条件で絞り込んだ結果を"&amp;R1048&amp;"テーブルに格納する。"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6" s="122"/>
      <c r="E1046" s="122"/>
      <c r="F1046" s="122"/>
      <c r="G1046" s="122"/>
      <c r="H1046" s="122"/>
      <c r="I1046" s="122"/>
      <c r="J1046" s="122"/>
      <c r="K1046" s="122"/>
      <c r="L1046" s="122"/>
      <c r="M1046" s="122"/>
      <c r="N1046" s="122"/>
      <c r="O1046" s="122"/>
      <c r="P1046" s="122"/>
      <c r="Q1046" s="122"/>
      <c r="R1046" s="122"/>
      <c r="S1046" s="122"/>
      <c r="T1046" s="122"/>
      <c r="U1046" s="123"/>
      <c r="W1046" s="35" t="str">
        <f>"-- "&amp;C1046</f>
        <v>-- MML_紹介状モジュール_臨床サマリー情報経過記録テーブルから組入れ条件の第一条件で絞り込んだ結果をバックアップ_MML_紹介状モジュール_臨床サマリー情報経過記録テーブルに格納する。</v>
      </c>
    </row>
    <row r="1048" spans="2:23" ht="18.75" customHeight="1">
      <c r="C1048" s="110" t="s">
        <v>3666</v>
      </c>
      <c r="D1048" s="111"/>
      <c r="E1048" s="116" t="s">
        <v>162</v>
      </c>
      <c r="H1048" s="36"/>
      <c r="I1048" s="36"/>
      <c r="J1048" s="36"/>
      <c r="K1048" s="36"/>
      <c r="L1048" s="36"/>
      <c r="M1048" s="36"/>
      <c r="N1048" s="36"/>
      <c r="O1048" s="36"/>
      <c r="P1048" s="36"/>
      <c r="Q1048" s="36"/>
      <c r="R1048" s="132" t="str">
        <f>"バックアップ_"&amp;SUBSTITUTE(C1048,"_結合","")</f>
        <v>バックアップ_MML_紹介状モジュール_臨床サマリー情報経過記録</v>
      </c>
      <c r="S1048" s="133"/>
      <c r="T1048" s="114" t="str">
        <f>エンティティ一覧!$O$2</f>
        <v>milscm_2023_009</v>
      </c>
    </row>
    <row r="1049" spans="2:23" ht="18.75" customHeight="1">
      <c r="C1049" s="112"/>
      <c r="D1049" s="113"/>
      <c r="E1049" s="117"/>
      <c r="F1049" s="37"/>
      <c r="G1049" s="38"/>
      <c r="H1049" s="37"/>
      <c r="I1049" s="37"/>
      <c r="J1049" s="37"/>
      <c r="K1049" s="37"/>
      <c r="L1049" s="37"/>
      <c r="M1049" s="37"/>
      <c r="N1049" s="37"/>
      <c r="O1049" s="37"/>
      <c r="P1049" s="37"/>
      <c r="Q1049" s="37"/>
      <c r="R1049" s="134"/>
      <c r="S1049" s="135"/>
      <c r="T1049" s="115"/>
    </row>
    <row r="1050" spans="2:23" ht="18.75" customHeight="1">
      <c r="F1050" s="39"/>
      <c r="G1050" s="40"/>
    </row>
    <row r="1051" spans="2:23" ht="18.75" customHeight="1">
      <c r="C1051" s="110" t="s">
        <v>3185</v>
      </c>
      <c r="D1051" s="111"/>
      <c r="E1051" s="114" t="str">
        <f>エンティティ一覧!$O$2</f>
        <v>milscm_2023_009</v>
      </c>
      <c r="G1051" s="41"/>
    </row>
    <row r="1052" spans="2:23" ht="18.75" customHeight="1">
      <c r="C1052" s="112"/>
      <c r="D1052" s="113"/>
      <c r="E1052" s="115"/>
      <c r="F1052" s="37"/>
    </row>
    <row r="1054" spans="2:23" ht="18.75" customHeight="1" thickBot="1">
      <c r="B1054" s="42"/>
      <c r="C1054" s="42"/>
      <c r="D1054" s="42"/>
      <c r="E1054" s="42"/>
      <c r="F1054" s="42"/>
      <c r="G1054" s="42"/>
      <c r="H1054" s="42"/>
      <c r="I1054" s="42"/>
      <c r="J1054" s="42"/>
      <c r="K1054" s="42"/>
      <c r="L1054" s="42"/>
      <c r="M1054" s="42"/>
      <c r="N1054" s="42"/>
      <c r="O1054" s="42"/>
      <c r="P1054" s="42"/>
      <c r="Q1054" s="42"/>
      <c r="R1054" s="42"/>
      <c r="S1054" s="42"/>
      <c r="T1054" s="42"/>
      <c r="U1054" s="42"/>
    </row>
    <row r="1056" spans="2:23" ht="18.75" customHeight="1">
      <c r="B1056" s="43" t="s">
        <v>163</v>
      </c>
      <c r="C1056" s="51" t="s">
        <v>3667</v>
      </c>
      <c r="D1056" s="88"/>
      <c r="W1056" s="35" t="str">
        <f>"-- "&amp;B1056&amp;" : "&amp;C1056</f>
        <v>-- SQL_ID : 01_A6-63</v>
      </c>
    </row>
    <row r="1057" spans="2:23" ht="18.75" customHeight="1">
      <c r="B1057" s="43" t="s">
        <v>158</v>
      </c>
      <c r="C1057" s="118" t="str">
        <f>R1060&amp;"登録"</f>
        <v>バックアップ_MML_紹介状モジュール_診療科情報登録</v>
      </c>
      <c r="D1057" s="119"/>
      <c r="E1057" s="119"/>
      <c r="F1057" s="119"/>
      <c r="G1057" s="119"/>
      <c r="H1057" s="119"/>
      <c r="I1057" s="119"/>
      <c r="J1057" s="119"/>
      <c r="K1057" s="119"/>
      <c r="L1057" s="119"/>
      <c r="M1057" s="119"/>
      <c r="N1057" s="119"/>
      <c r="O1057" s="119"/>
      <c r="P1057" s="119"/>
      <c r="Q1057" s="119"/>
      <c r="R1057" s="119"/>
      <c r="S1057" s="119"/>
      <c r="T1057" s="119"/>
      <c r="U1057" s="120"/>
      <c r="W1057" s="35" t="str">
        <f>"-- "&amp;C1057</f>
        <v>-- バックアップ_MML_紹介状モジュール_診療科情報登録</v>
      </c>
    </row>
    <row r="1058" spans="2:23" ht="18.75" customHeight="1">
      <c r="B1058" s="43" t="s">
        <v>159</v>
      </c>
      <c r="C1058" s="121" t="str">
        <f>C1060&amp;"テーブルから組入れ条件の第一条件で絞り込んだ結果を"&amp;R1060&amp;"テーブルに格納する。"</f>
        <v>MML_紹介状モジュール_診療科情報テーブルから組入れ条件の第一条件で絞り込んだ結果をバックアップ_MML_紹介状モジュール_診療科情報テーブルに格納する。</v>
      </c>
      <c r="D1058" s="122"/>
      <c r="E1058" s="122"/>
      <c r="F1058" s="122"/>
      <c r="G1058" s="122"/>
      <c r="H1058" s="122"/>
      <c r="I1058" s="122"/>
      <c r="J1058" s="122"/>
      <c r="K1058" s="122"/>
      <c r="L1058" s="122"/>
      <c r="M1058" s="122"/>
      <c r="N1058" s="122"/>
      <c r="O1058" s="122"/>
      <c r="P1058" s="122"/>
      <c r="Q1058" s="122"/>
      <c r="R1058" s="122"/>
      <c r="S1058" s="122"/>
      <c r="T1058" s="122"/>
      <c r="U1058" s="123"/>
      <c r="W1058" s="35" t="str">
        <f>"-- "&amp;C1058</f>
        <v>-- MML_紹介状モジュール_診療科情報テーブルから組入れ条件の第一条件で絞り込んだ結果をバックアップ_MML_紹介状モジュール_診療科情報テーブルに格納する。</v>
      </c>
    </row>
    <row r="1060" spans="2:23" ht="18.75" customHeight="1">
      <c r="C1060" s="110" t="s">
        <v>3668</v>
      </c>
      <c r="D1060" s="111"/>
      <c r="E1060" s="116" t="s">
        <v>162</v>
      </c>
      <c r="H1060" s="36"/>
      <c r="I1060" s="36"/>
      <c r="J1060" s="36"/>
      <c r="K1060" s="36"/>
      <c r="L1060" s="36"/>
      <c r="M1060" s="36"/>
      <c r="N1060" s="36"/>
      <c r="O1060" s="36"/>
      <c r="P1060" s="36"/>
      <c r="Q1060" s="36"/>
      <c r="R1060" s="110" t="str">
        <f>"バックアップ_"&amp;SUBSTITUTE(C1060,"_結合","")</f>
        <v>バックアップ_MML_紹介状モジュール_診療科情報</v>
      </c>
      <c r="S1060" s="111"/>
      <c r="T1060" s="114" t="str">
        <f>エンティティ一覧!$O$2</f>
        <v>milscm_2023_009</v>
      </c>
    </row>
    <row r="1061" spans="2:23" ht="18.75" customHeight="1">
      <c r="C1061" s="112"/>
      <c r="D1061" s="113"/>
      <c r="E1061" s="117"/>
      <c r="F1061" s="37"/>
      <c r="G1061" s="38"/>
      <c r="H1061" s="37"/>
      <c r="I1061" s="37"/>
      <c r="J1061" s="37"/>
      <c r="K1061" s="37"/>
      <c r="L1061" s="37"/>
      <c r="M1061" s="37"/>
      <c r="N1061" s="37"/>
      <c r="O1061" s="37"/>
      <c r="P1061" s="37"/>
      <c r="Q1061" s="37"/>
      <c r="R1061" s="112"/>
      <c r="S1061" s="113"/>
      <c r="T1061" s="115"/>
    </row>
    <row r="1062" spans="2:23" ht="18.75" customHeight="1">
      <c r="F1062" s="39"/>
      <c r="G1062" s="40"/>
    </row>
    <row r="1063" spans="2:23" ht="18.75" customHeight="1">
      <c r="C1063" s="110" t="s">
        <v>3185</v>
      </c>
      <c r="D1063" s="111"/>
      <c r="E1063" s="114" t="str">
        <f>エンティティ一覧!$O$2</f>
        <v>milscm_2023_009</v>
      </c>
      <c r="G1063" s="41"/>
    </row>
    <row r="1064" spans="2:23" ht="18.75" customHeight="1">
      <c r="C1064" s="112"/>
      <c r="D1064" s="113"/>
      <c r="E1064" s="115"/>
      <c r="F1064" s="37"/>
    </row>
    <row r="1066" spans="2:23" ht="18.75" customHeight="1" thickBot="1">
      <c r="B1066" s="42"/>
      <c r="C1066" s="42"/>
      <c r="D1066" s="42"/>
      <c r="E1066" s="42"/>
      <c r="F1066" s="42"/>
      <c r="G1066" s="42"/>
      <c r="H1066" s="42"/>
      <c r="I1066" s="42"/>
      <c r="J1066" s="42"/>
      <c r="K1066" s="42"/>
      <c r="L1066" s="42"/>
      <c r="M1066" s="42"/>
      <c r="N1066" s="42"/>
      <c r="O1066" s="42"/>
      <c r="P1066" s="42"/>
      <c r="Q1066" s="42"/>
      <c r="R1066" s="42"/>
      <c r="S1066" s="42"/>
      <c r="T1066" s="42"/>
      <c r="U1066" s="42"/>
    </row>
    <row r="1068" spans="2:23" ht="18.75" customHeight="1">
      <c r="B1068" s="43" t="s">
        <v>163</v>
      </c>
      <c r="C1068" s="51" t="s">
        <v>3176</v>
      </c>
      <c r="D1068" s="50"/>
      <c r="W1068" s="35" t="str">
        <f>"-- "&amp;B1068&amp;" : "&amp;C1068</f>
        <v>-- SQL_ID : 01_C1-01</v>
      </c>
    </row>
    <row r="1069" spans="2:23" ht="18.75" customHeight="1">
      <c r="B1069" s="43" t="s">
        <v>158</v>
      </c>
      <c r="C1069" s="118" t="str">
        <f>R1072&amp;"登録"</f>
        <v>バックアップ_DPC調査データ_Dファイル登録</v>
      </c>
      <c r="D1069" s="119"/>
      <c r="E1069" s="119"/>
      <c r="F1069" s="119"/>
      <c r="G1069" s="119"/>
      <c r="H1069" s="119"/>
      <c r="I1069" s="119"/>
      <c r="J1069" s="119"/>
      <c r="K1069" s="119"/>
      <c r="L1069" s="119"/>
      <c r="M1069" s="119"/>
      <c r="N1069" s="119"/>
      <c r="O1069" s="119"/>
      <c r="P1069" s="119"/>
      <c r="Q1069" s="119"/>
      <c r="R1069" s="119"/>
      <c r="S1069" s="119"/>
      <c r="T1069" s="119"/>
      <c r="U1069" s="120"/>
      <c r="W1069" s="35" t="str">
        <f>"-- "&amp;C1069</f>
        <v>-- バックアップ_DPC調査データ_Dファイル登録</v>
      </c>
    </row>
    <row r="1070" spans="2:23" ht="18.75" customHeight="1">
      <c r="B1070" s="43" t="s">
        <v>159</v>
      </c>
      <c r="C1070" s="121" t="str">
        <f>C1072&amp;"テーブルから組入れ条件の第一条件で絞り込んだ結果を"&amp;R1072&amp;"テーブルに格納する。"</f>
        <v>DPC調査データ_Dファイル_結合テーブルから組入れ条件の第一条件で絞り込んだ結果をバックアップ_DPC調査データ_Dファイルテーブルに格納する。</v>
      </c>
      <c r="D1070" s="122"/>
      <c r="E1070" s="122"/>
      <c r="F1070" s="122"/>
      <c r="G1070" s="122"/>
      <c r="H1070" s="122"/>
      <c r="I1070" s="122"/>
      <c r="J1070" s="122"/>
      <c r="K1070" s="122"/>
      <c r="L1070" s="122"/>
      <c r="M1070" s="122"/>
      <c r="N1070" s="122"/>
      <c r="O1070" s="122"/>
      <c r="P1070" s="122"/>
      <c r="Q1070" s="122"/>
      <c r="R1070" s="122"/>
      <c r="S1070" s="122"/>
      <c r="T1070" s="122"/>
      <c r="U1070" s="123"/>
      <c r="W1070" s="35" t="str">
        <f>"-- "&amp;C1070</f>
        <v>-- DPC調査データ_Dファイル_結合テーブルから組入れ条件の第一条件で絞り込んだ結果をバックアップ_DPC調査データ_Dファイルテーブルに格納する。</v>
      </c>
    </row>
    <row r="1072" spans="2:23" ht="18.75" customHeight="1">
      <c r="C1072" s="110" t="s">
        <v>166</v>
      </c>
      <c r="D1072" s="111"/>
      <c r="E1072" s="116" t="s">
        <v>162</v>
      </c>
      <c r="H1072" s="36"/>
      <c r="I1072" s="36"/>
      <c r="J1072" s="36"/>
      <c r="K1072" s="36"/>
      <c r="L1072" s="36"/>
      <c r="M1072" s="36"/>
      <c r="N1072" s="36"/>
      <c r="O1072" s="36"/>
      <c r="P1072" s="36"/>
      <c r="Q1072" s="36"/>
      <c r="R1072" s="110" t="str">
        <f>"バックアップ_"&amp;SUBSTITUTE(C1072,"_結合","")</f>
        <v>バックアップ_DPC調査データ_Dファイル</v>
      </c>
      <c r="S1072" s="111"/>
      <c r="T1072" s="114" t="str">
        <f>エンティティ一覧!$O$2</f>
        <v>milscm_2023_009</v>
      </c>
    </row>
    <row r="1073" spans="2:23" ht="18.75" customHeight="1">
      <c r="C1073" s="112"/>
      <c r="D1073" s="113"/>
      <c r="E1073" s="117"/>
      <c r="F1073" s="37"/>
      <c r="G1073" s="38"/>
      <c r="H1073" s="37"/>
      <c r="I1073" s="37"/>
      <c r="J1073" s="37"/>
      <c r="K1073" s="37"/>
      <c r="L1073" s="37"/>
      <c r="M1073" s="37"/>
      <c r="N1073" s="37"/>
      <c r="O1073" s="37"/>
      <c r="P1073" s="37"/>
      <c r="Q1073" s="37"/>
      <c r="R1073" s="112"/>
      <c r="S1073" s="113"/>
      <c r="T1073" s="115"/>
    </row>
    <row r="1074" spans="2:23" ht="18.75" customHeight="1">
      <c r="F1074" s="39"/>
      <c r="G1074" s="40"/>
    </row>
    <row r="1075" spans="2:23" ht="18.75" customHeight="1">
      <c r="C1075" s="110" t="s">
        <v>3185</v>
      </c>
      <c r="D1075" s="111"/>
      <c r="E1075" s="114" t="str">
        <f>エンティティ一覧!$O$2</f>
        <v>milscm_2023_009</v>
      </c>
      <c r="G1075" s="41"/>
    </row>
    <row r="1076" spans="2:23" ht="18.75" customHeight="1">
      <c r="C1076" s="112"/>
      <c r="D1076" s="113"/>
      <c r="E1076" s="115"/>
      <c r="F1076" s="37"/>
    </row>
    <row r="1078" spans="2:23" ht="18.75" customHeight="1" thickBot="1">
      <c r="B1078" s="42"/>
      <c r="C1078" s="42"/>
      <c r="D1078" s="42"/>
      <c r="E1078" s="42"/>
      <c r="F1078" s="42"/>
      <c r="G1078" s="42"/>
      <c r="H1078" s="42"/>
      <c r="I1078" s="42"/>
      <c r="J1078" s="42"/>
      <c r="K1078" s="42"/>
      <c r="L1078" s="42"/>
      <c r="M1078" s="42"/>
      <c r="N1078" s="42"/>
      <c r="O1078" s="42"/>
      <c r="P1078" s="42"/>
      <c r="Q1078" s="42"/>
      <c r="R1078" s="42"/>
      <c r="S1078" s="42"/>
      <c r="T1078" s="42"/>
      <c r="U1078" s="42"/>
    </row>
    <row r="1080" spans="2:23" ht="18.75" customHeight="1">
      <c r="B1080" s="43" t="s">
        <v>163</v>
      </c>
      <c r="C1080" s="51" t="s">
        <v>3177</v>
      </c>
      <c r="D1080" s="50"/>
      <c r="W1080" s="35" t="str">
        <f>"-- "&amp;B1080&amp;" : "&amp;C1080</f>
        <v>-- SQL_ID : 01_C1-02</v>
      </c>
    </row>
    <row r="1081" spans="2:23" ht="18.75" customHeight="1">
      <c r="B1081" s="43" t="s">
        <v>158</v>
      </c>
      <c r="C1081" s="118" t="str">
        <f>R1084&amp;"登録"</f>
        <v>バックアップ_DPC調査データ_入院EF統合ファイル登録</v>
      </c>
      <c r="D1081" s="119"/>
      <c r="E1081" s="119"/>
      <c r="F1081" s="119"/>
      <c r="G1081" s="119"/>
      <c r="H1081" s="119"/>
      <c r="I1081" s="119"/>
      <c r="J1081" s="119"/>
      <c r="K1081" s="119"/>
      <c r="L1081" s="119"/>
      <c r="M1081" s="119"/>
      <c r="N1081" s="119"/>
      <c r="O1081" s="119"/>
      <c r="P1081" s="119"/>
      <c r="Q1081" s="119"/>
      <c r="R1081" s="119"/>
      <c r="S1081" s="119"/>
      <c r="T1081" s="119"/>
      <c r="U1081" s="120"/>
      <c r="W1081" s="35" t="str">
        <f>"-- "&amp;C1081</f>
        <v>-- バックアップ_DPC調査データ_入院EF統合ファイル登録</v>
      </c>
    </row>
    <row r="1082" spans="2:23" ht="18.75" customHeight="1">
      <c r="B1082" s="43" t="s">
        <v>159</v>
      </c>
      <c r="C1082" s="121" t="str">
        <f>C1084&amp;"テーブルから組入れ条件の第一条件で絞り込んだ結果を"&amp;R1084&amp;"テーブルに格納する。"</f>
        <v>DPC調査データ_入院EF統合ファイル_結合テーブルから組入れ条件の第一条件で絞り込んだ結果をバックアップ_DPC調査データ_入院EF統合ファイルテーブルに格納する。</v>
      </c>
      <c r="D1082" s="122"/>
      <c r="E1082" s="122"/>
      <c r="F1082" s="122"/>
      <c r="G1082" s="122"/>
      <c r="H1082" s="122"/>
      <c r="I1082" s="122"/>
      <c r="J1082" s="122"/>
      <c r="K1082" s="122"/>
      <c r="L1082" s="122"/>
      <c r="M1082" s="122"/>
      <c r="N1082" s="122"/>
      <c r="O1082" s="122"/>
      <c r="P1082" s="122"/>
      <c r="Q1082" s="122"/>
      <c r="R1082" s="122"/>
      <c r="S1082" s="122"/>
      <c r="T1082" s="122"/>
      <c r="U1082" s="123"/>
      <c r="W1082" s="35" t="str">
        <f>"-- "&amp;C1082</f>
        <v>-- DPC調査データ_入院EF統合ファイル_結合テーブルから組入れ条件の第一条件で絞り込んだ結果をバックアップ_DPC調査データ_入院EF統合ファイルテーブルに格納する。</v>
      </c>
    </row>
    <row r="1084" spans="2:23" ht="18.75" customHeight="1">
      <c r="C1084" s="110" t="s">
        <v>168</v>
      </c>
      <c r="D1084" s="111"/>
      <c r="E1084" s="116" t="s">
        <v>162</v>
      </c>
      <c r="H1084" s="36"/>
      <c r="I1084" s="36"/>
      <c r="J1084" s="36"/>
      <c r="K1084" s="36"/>
      <c r="L1084" s="36"/>
      <c r="M1084" s="36"/>
      <c r="N1084" s="36"/>
      <c r="O1084" s="36"/>
      <c r="P1084" s="36"/>
      <c r="Q1084" s="36"/>
      <c r="R1084" s="110" t="str">
        <f>"バックアップ_"&amp;SUBSTITUTE(C1084,"_結合","")</f>
        <v>バックアップ_DPC調査データ_入院EF統合ファイル</v>
      </c>
      <c r="S1084" s="111"/>
      <c r="T1084" s="114" t="str">
        <f>エンティティ一覧!$O$2</f>
        <v>milscm_2023_009</v>
      </c>
    </row>
    <row r="1085" spans="2:23" ht="18.75" customHeight="1">
      <c r="C1085" s="112"/>
      <c r="D1085" s="113"/>
      <c r="E1085" s="117"/>
      <c r="F1085" s="37"/>
      <c r="G1085" s="38"/>
      <c r="H1085" s="37"/>
      <c r="I1085" s="37"/>
      <c r="J1085" s="37"/>
      <c r="K1085" s="37"/>
      <c r="L1085" s="37"/>
      <c r="M1085" s="37"/>
      <c r="N1085" s="37"/>
      <c r="O1085" s="37"/>
      <c r="P1085" s="37"/>
      <c r="Q1085" s="37"/>
      <c r="R1085" s="112"/>
      <c r="S1085" s="113"/>
      <c r="T1085" s="115"/>
    </row>
    <row r="1086" spans="2:23" ht="18.75" customHeight="1">
      <c r="F1086" s="39"/>
      <c r="G1086" s="40"/>
    </row>
    <row r="1087" spans="2:23" ht="18.75" customHeight="1">
      <c r="C1087" s="110" t="s">
        <v>3185</v>
      </c>
      <c r="D1087" s="111"/>
      <c r="E1087" s="114" t="str">
        <f>エンティティ一覧!$O$2</f>
        <v>milscm_2023_009</v>
      </c>
      <c r="G1087" s="41"/>
    </row>
    <row r="1088" spans="2:23" ht="18.75" customHeight="1">
      <c r="C1088" s="112"/>
      <c r="D1088" s="113"/>
      <c r="E1088" s="115"/>
      <c r="F1088" s="37"/>
    </row>
    <row r="1090" spans="2:23" ht="18.75" customHeight="1" thickBot="1">
      <c r="B1090" s="42"/>
      <c r="C1090" s="42"/>
      <c r="D1090" s="42"/>
      <c r="E1090" s="42"/>
      <c r="F1090" s="42"/>
      <c r="G1090" s="42"/>
      <c r="H1090" s="42"/>
      <c r="I1090" s="42"/>
      <c r="J1090" s="42"/>
      <c r="K1090" s="42"/>
      <c r="L1090" s="42"/>
      <c r="M1090" s="42"/>
      <c r="N1090" s="42"/>
      <c r="O1090" s="42"/>
      <c r="P1090" s="42"/>
      <c r="Q1090" s="42"/>
      <c r="R1090" s="42"/>
      <c r="S1090" s="42"/>
      <c r="T1090" s="42"/>
      <c r="U1090" s="42"/>
    </row>
    <row r="1092" spans="2:23" ht="18.75" customHeight="1">
      <c r="B1092" s="43" t="s">
        <v>163</v>
      </c>
      <c r="C1092" s="51" t="s">
        <v>3178</v>
      </c>
      <c r="D1092" s="50"/>
      <c r="W1092" s="35" t="str">
        <f>"-- "&amp;B1092&amp;" : "&amp;C1092</f>
        <v>-- SQL_ID : 01_C1-03</v>
      </c>
    </row>
    <row r="1093" spans="2:23" ht="18.75" customHeight="1">
      <c r="B1093" s="43" t="s">
        <v>158</v>
      </c>
      <c r="C1093" s="118" t="str">
        <f>R1096&amp;"登録"</f>
        <v>バックアップ_DPC調査データ_外来EF統合ファイル登録</v>
      </c>
      <c r="D1093" s="119"/>
      <c r="E1093" s="119"/>
      <c r="F1093" s="119"/>
      <c r="G1093" s="119"/>
      <c r="H1093" s="119"/>
      <c r="I1093" s="119"/>
      <c r="J1093" s="119"/>
      <c r="K1093" s="119"/>
      <c r="L1093" s="119"/>
      <c r="M1093" s="119"/>
      <c r="N1093" s="119"/>
      <c r="O1093" s="119"/>
      <c r="P1093" s="119"/>
      <c r="Q1093" s="119"/>
      <c r="R1093" s="119"/>
      <c r="S1093" s="119"/>
      <c r="T1093" s="119"/>
      <c r="U1093" s="120"/>
      <c r="W1093" s="35" t="str">
        <f>"-- "&amp;C1093</f>
        <v>-- バックアップ_DPC調査データ_外来EF統合ファイル登録</v>
      </c>
    </row>
    <row r="1094" spans="2:23" ht="18.75" customHeight="1">
      <c r="B1094" s="43" t="s">
        <v>159</v>
      </c>
      <c r="C1094" s="121" t="str">
        <f>C1096&amp;"テーブルから組入れ条件の第一条件で絞り込んだ結果を"&amp;R1096&amp;"テーブルに格納する。"</f>
        <v>DPC調査データ_外来EF統合ファイル_結合テーブルから組入れ条件の第一条件で絞り込んだ結果をバックアップ_DPC調査データ_外来EF統合ファイルテーブルに格納する。</v>
      </c>
      <c r="D1094" s="122"/>
      <c r="E1094" s="122"/>
      <c r="F1094" s="122"/>
      <c r="G1094" s="122"/>
      <c r="H1094" s="122"/>
      <c r="I1094" s="122"/>
      <c r="J1094" s="122"/>
      <c r="K1094" s="122"/>
      <c r="L1094" s="122"/>
      <c r="M1094" s="122"/>
      <c r="N1094" s="122"/>
      <c r="O1094" s="122"/>
      <c r="P1094" s="122"/>
      <c r="Q1094" s="122"/>
      <c r="R1094" s="122"/>
      <c r="S1094" s="122"/>
      <c r="T1094" s="122"/>
      <c r="U1094" s="123"/>
      <c r="W1094" s="35" t="str">
        <f>"-- "&amp;C1094</f>
        <v>-- DPC調査データ_外来EF統合ファイル_結合テーブルから組入れ条件の第一条件で絞り込んだ結果をバックアップ_DPC調査データ_外来EF統合ファイルテーブルに格納する。</v>
      </c>
    </row>
    <row r="1096" spans="2:23" ht="18.75" customHeight="1">
      <c r="C1096" s="110" t="s">
        <v>169</v>
      </c>
      <c r="D1096" s="111"/>
      <c r="E1096" s="116" t="s">
        <v>162</v>
      </c>
      <c r="H1096" s="36"/>
      <c r="I1096" s="36"/>
      <c r="J1096" s="36"/>
      <c r="K1096" s="36"/>
      <c r="L1096" s="36"/>
      <c r="M1096" s="36"/>
      <c r="N1096" s="36"/>
      <c r="O1096" s="36"/>
      <c r="P1096" s="36"/>
      <c r="Q1096" s="36"/>
      <c r="R1096" s="110" t="str">
        <f>"バックアップ_"&amp;SUBSTITUTE(C1096,"_結合","")</f>
        <v>バックアップ_DPC調査データ_外来EF統合ファイル</v>
      </c>
      <c r="S1096" s="111"/>
      <c r="T1096" s="114" t="str">
        <f>エンティティ一覧!$O$2</f>
        <v>milscm_2023_009</v>
      </c>
    </row>
    <row r="1097" spans="2:23" ht="18.75" customHeight="1">
      <c r="C1097" s="112"/>
      <c r="D1097" s="113"/>
      <c r="E1097" s="117"/>
      <c r="F1097" s="37"/>
      <c r="G1097" s="38"/>
      <c r="H1097" s="37"/>
      <c r="I1097" s="37"/>
      <c r="J1097" s="37"/>
      <c r="K1097" s="37"/>
      <c r="L1097" s="37"/>
      <c r="M1097" s="37"/>
      <c r="N1097" s="37"/>
      <c r="O1097" s="37"/>
      <c r="P1097" s="37"/>
      <c r="Q1097" s="37"/>
      <c r="R1097" s="112"/>
      <c r="S1097" s="113"/>
      <c r="T1097" s="115"/>
    </row>
    <row r="1098" spans="2:23" ht="18.75" customHeight="1">
      <c r="F1098" s="39"/>
      <c r="G1098" s="40"/>
    </row>
    <row r="1099" spans="2:23" ht="18.75" customHeight="1">
      <c r="C1099" s="110" t="s">
        <v>3185</v>
      </c>
      <c r="D1099" s="111"/>
      <c r="E1099" s="114" t="str">
        <f>エンティティ一覧!$O$2</f>
        <v>milscm_2023_009</v>
      </c>
      <c r="G1099" s="41"/>
    </row>
    <row r="1100" spans="2:23" ht="18.75" customHeight="1">
      <c r="C1100" s="112"/>
      <c r="D1100" s="113"/>
      <c r="E1100" s="115"/>
      <c r="F1100" s="37"/>
    </row>
    <row r="1102" spans="2:23" ht="18.75" customHeight="1" thickBot="1">
      <c r="B1102" s="42"/>
      <c r="C1102" s="42"/>
      <c r="D1102" s="42"/>
      <c r="E1102" s="42"/>
      <c r="F1102" s="42"/>
      <c r="G1102" s="42"/>
      <c r="H1102" s="42"/>
      <c r="I1102" s="42"/>
      <c r="J1102" s="42"/>
      <c r="K1102" s="42"/>
      <c r="L1102" s="42"/>
      <c r="M1102" s="42"/>
      <c r="N1102" s="42"/>
      <c r="O1102" s="42"/>
      <c r="P1102" s="42"/>
      <c r="Q1102" s="42"/>
      <c r="R1102" s="42"/>
      <c r="S1102" s="42"/>
      <c r="T1102" s="42"/>
      <c r="U1102" s="42"/>
    </row>
    <row r="1104" spans="2:23" ht="18.75" customHeight="1">
      <c r="B1104" s="43" t="s">
        <v>163</v>
      </c>
      <c r="C1104" s="51" t="s">
        <v>3179</v>
      </c>
      <c r="D1104" s="50"/>
      <c r="W1104" s="35" t="str">
        <f>"-- "&amp;B1104&amp;" : "&amp;C1104</f>
        <v>-- SQL_ID : 01_C1-04</v>
      </c>
    </row>
    <row r="1105" spans="2:23" ht="18.75" customHeight="1">
      <c r="B1105" s="43" t="s">
        <v>158</v>
      </c>
      <c r="C1105" s="118" t="str">
        <f>R1108&amp;"登録"</f>
        <v>バックアップ_DPC調査データ_Hファイル登録</v>
      </c>
      <c r="D1105" s="119"/>
      <c r="E1105" s="119"/>
      <c r="F1105" s="119"/>
      <c r="G1105" s="119"/>
      <c r="H1105" s="119"/>
      <c r="I1105" s="119"/>
      <c r="J1105" s="119"/>
      <c r="K1105" s="119"/>
      <c r="L1105" s="119"/>
      <c r="M1105" s="119"/>
      <c r="N1105" s="119"/>
      <c r="O1105" s="119"/>
      <c r="P1105" s="119"/>
      <c r="Q1105" s="119"/>
      <c r="R1105" s="119"/>
      <c r="S1105" s="119"/>
      <c r="T1105" s="119"/>
      <c r="U1105" s="120"/>
      <c r="W1105" s="35" t="str">
        <f>"-- "&amp;C1105</f>
        <v>-- バックアップ_DPC調査データ_Hファイル登録</v>
      </c>
    </row>
    <row r="1106" spans="2:23" ht="18.75" customHeight="1">
      <c r="B1106" s="43" t="s">
        <v>159</v>
      </c>
      <c r="C1106" s="121" t="str">
        <f>C1108&amp;"テーブルから組入れ条件の第一条件で絞り込んだ結果を"&amp;R1108&amp;"テーブルに格納する。"</f>
        <v>DPC調査データ_Hファイル_結合テーブルから組入れ条件の第一条件で絞り込んだ結果をバックアップ_DPC調査データ_Hファイルテーブルに格納する。</v>
      </c>
      <c r="D1106" s="122"/>
      <c r="E1106" s="122"/>
      <c r="F1106" s="122"/>
      <c r="G1106" s="122"/>
      <c r="H1106" s="122"/>
      <c r="I1106" s="122"/>
      <c r="J1106" s="122"/>
      <c r="K1106" s="122"/>
      <c r="L1106" s="122"/>
      <c r="M1106" s="122"/>
      <c r="N1106" s="122"/>
      <c r="O1106" s="122"/>
      <c r="P1106" s="122"/>
      <c r="Q1106" s="122"/>
      <c r="R1106" s="122"/>
      <c r="S1106" s="122"/>
      <c r="T1106" s="122"/>
      <c r="U1106" s="123"/>
      <c r="W1106" s="35" t="str">
        <f>"-- "&amp;C1106</f>
        <v>-- DPC調査データ_Hファイル_結合テーブルから組入れ条件の第一条件で絞り込んだ結果をバックアップ_DPC調査データ_Hファイルテーブルに格納する。</v>
      </c>
    </row>
    <row r="1108" spans="2:23" ht="18.75" customHeight="1">
      <c r="C1108" s="110" t="s">
        <v>170</v>
      </c>
      <c r="D1108" s="111"/>
      <c r="E1108" s="116" t="s">
        <v>162</v>
      </c>
      <c r="H1108" s="36"/>
      <c r="I1108" s="36"/>
      <c r="J1108" s="36"/>
      <c r="K1108" s="36"/>
      <c r="L1108" s="36"/>
      <c r="M1108" s="36"/>
      <c r="N1108" s="36"/>
      <c r="O1108" s="36"/>
      <c r="P1108" s="36"/>
      <c r="Q1108" s="36"/>
      <c r="R1108" s="110" t="str">
        <f>"バックアップ_"&amp;SUBSTITUTE(C1108,"_結合","")</f>
        <v>バックアップ_DPC調査データ_Hファイル</v>
      </c>
      <c r="S1108" s="111"/>
      <c r="T1108" s="114" t="str">
        <f>エンティティ一覧!$O$2</f>
        <v>milscm_2023_009</v>
      </c>
    </row>
    <row r="1109" spans="2:23" ht="18.75" customHeight="1">
      <c r="C1109" s="112"/>
      <c r="D1109" s="113"/>
      <c r="E1109" s="117"/>
      <c r="F1109" s="37"/>
      <c r="G1109" s="38"/>
      <c r="H1109" s="37"/>
      <c r="I1109" s="37"/>
      <c r="J1109" s="37"/>
      <c r="K1109" s="37"/>
      <c r="L1109" s="37"/>
      <c r="M1109" s="37"/>
      <c r="N1109" s="37"/>
      <c r="O1109" s="37"/>
      <c r="P1109" s="37"/>
      <c r="Q1109" s="37"/>
      <c r="R1109" s="112"/>
      <c r="S1109" s="113"/>
      <c r="T1109" s="115"/>
    </row>
    <row r="1110" spans="2:23" ht="18.75" customHeight="1">
      <c r="F1110" s="39"/>
      <c r="G1110" s="40"/>
    </row>
    <row r="1111" spans="2:23" ht="18.75" customHeight="1">
      <c r="C1111" s="110" t="s">
        <v>3185</v>
      </c>
      <c r="D1111" s="111"/>
      <c r="E1111" s="114" t="str">
        <f>エンティティ一覧!$O$2</f>
        <v>milscm_2023_009</v>
      </c>
      <c r="G1111" s="41"/>
    </row>
    <row r="1112" spans="2:23" ht="18.75" customHeight="1">
      <c r="C1112" s="112"/>
      <c r="D1112" s="113"/>
      <c r="E1112" s="115"/>
      <c r="F1112" s="37"/>
    </row>
    <row r="1114" spans="2:23" ht="18.75" customHeight="1" thickBot="1">
      <c r="B1114" s="42"/>
      <c r="C1114" s="42"/>
      <c r="D1114" s="42"/>
      <c r="E1114" s="42"/>
      <c r="F1114" s="42"/>
      <c r="G1114" s="42"/>
      <c r="H1114" s="42"/>
      <c r="I1114" s="42"/>
      <c r="J1114" s="42"/>
      <c r="K1114" s="42"/>
      <c r="L1114" s="42"/>
      <c r="M1114" s="42"/>
      <c r="N1114" s="42"/>
      <c r="O1114" s="42"/>
      <c r="P1114" s="42"/>
      <c r="Q1114" s="42"/>
      <c r="R1114" s="42"/>
      <c r="S1114" s="42"/>
      <c r="T1114" s="42"/>
      <c r="U1114" s="42"/>
    </row>
    <row r="1116" spans="2:23" ht="18.75" customHeight="1">
      <c r="B1116" s="43" t="s">
        <v>163</v>
      </c>
      <c r="C1116" s="51" t="s">
        <v>3180</v>
      </c>
      <c r="D1116" s="50"/>
      <c r="W1116" s="35" t="str">
        <f>"-- "&amp;B1116&amp;" : "&amp;C1116</f>
        <v>-- SQL_ID : 01_C1-05</v>
      </c>
    </row>
    <row r="1117" spans="2:23" ht="18.75" customHeight="1">
      <c r="B1117" s="43" t="s">
        <v>158</v>
      </c>
      <c r="C1117" s="118" t="str">
        <f>R1120&amp;"登録"</f>
        <v>バックアップ_DPC調査データ_様式1登録</v>
      </c>
      <c r="D1117" s="119"/>
      <c r="E1117" s="119"/>
      <c r="F1117" s="119"/>
      <c r="G1117" s="119"/>
      <c r="H1117" s="119"/>
      <c r="I1117" s="119"/>
      <c r="J1117" s="119"/>
      <c r="K1117" s="119"/>
      <c r="L1117" s="119"/>
      <c r="M1117" s="119"/>
      <c r="N1117" s="119"/>
      <c r="O1117" s="119"/>
      <c r="P1117" s="119"/>
      <c r="Q1117" s="119"/>
      <c r="R1117" s="119"/>
      <c r="S1117" s="119"/>
      <c r="T1117" s="119"/>
      <c r="U1117" s="120"/>
      <c r="W1117" s="35" t="str">
        <f>"-- "&amp;C1117</f>
        <v>-- バックアップ_DPC調査データ_様式1登録</v>
      </c>
    </row>
    <row r="1118" spans="2:23" ht="18.75" customHeight="1">
      <c r="B1118" s="43" t="s">
        <v>159</v>
      </c>
      <c r="C1118" s="121" t="str">
        <f>C1120&amp;"テーブルから組入れ条件の第一条件で絞り込んだ結果を"&amp;R1120&amp;"テーブルに格納する。"</f>
        <v>DPC調査データ_様式1_結合テーブルから組入れ条件の第一条件で絞り込んだ結果をバックアップ_DPC調査データ_様式1テーブルに格納する。</v>
      </c>
      <c r="D1118" s="122"/>
      <c r="E1118" s="122"/>
      <c r="F1118" s="122"/>
      <c r="G1118" s="122"/>
      <c r="H1118" s="122"/>
      <c r="I1118" s="122"/>
      <c r="J1118" s="122"/>
      <c r="K1118" s="122"/>
      <c r="L1118" s="122"/>
      <c r="M1118" s="122"/>
      <c r="N1118" s="122"/>
      <c r="O1118" s="122"/>
      <c r="P1118" s="122"/>
      <c r="Q1118" s="122"/>
      <c r="R1118" s="122"/>
      <c r="S1118" s="122"/>
      <c r="T1118" s="122"/>
      <c r="U1118" s="123"/>
      <c r="W1118" s="35" t="str">
        <f>"-- "&amp;C1118</f>
        <v>-- DPC調査データ_様式1_結合テーブルから組入れ条件の第一条件で絞り込んだ結果をバックアップ_DPC調査データ_様式1テーブルに格納する。</v>
      </c>
    </row>
    <row r="1120" spans="2:23" ht="18.75" customHeight="1">
      <c r="C1120" s="110" t="s">
        <v>171</v>
      </c>
      <c r="D1120" s="111"/>
      <c r="E1120" s="116" t="s">
        <v>162</v>
      </c>
      <c r="H1120" s="36"/>
      <c r="I1120" s="36"/>
      <c r="J1120" s="36"/>
      <c r="K1120" s="36"/>
      <c r="L1120" s="36"/>
      <c r="M1120" s="36"/>
      <c r="N1120" s="36"/>
      <c r="O1120" s="36"/>
      <c r="P1120" s="36"/>
      <c r="Q1120" s="36"/>
      <c r="R1120" s="110" t="str">
        <f>"バックアップ_"&amp;SUBSTITUTE(C1120,"_結合","")</f>
        <v>バックアップ_DPC調査データ_様式1</v>
      </c>
      <c r="S1120" s="111"/>
      <c r="T1120" s="114" t="str">
        <f>エンティティ一覧!$O$2</f>
        <v>milscm_2023_009</v>
      </c>
    </row>
    <row r="1121" spans="2:23" ht="18.75" customHeight="1">
      <c r="C1121" s="112"/>
      <c r="D1121" s="113"/>
      <c r="E1121" s="117"/>
      <c r="F1121" s="37"/>
      <c r="G1121" s="38"/>
      <c r="H1121" s="37"/>
      <c r="I1121" s="37"/>
      <c r="J1121" s="37"/>
      <c r="K1121" s="37"/>
      <c r="L1121" s="37"/>
      <c r="M1121" s="37"/>
      <c r="N1121" s="37"/>
      <c r="O1121" s="37"/>
      <c r="P1121" s="37"/>
      <c r="Q1121" s="37"/>
      <c r="R1121" s="112"/>
      <c r="S1121" s="113"/>
      <c r="T1121" s="115"/>
    </row>
    <row r="1122" spans="2:23" ht="18.75" customHeight="1">
      <c r="F1122" s="39"/>
      <c r="G1122" s="40"/>
    </row>
    <row r="1123" spans="2:23" ht="18.75" customHeight="1">
      <c r="C1123" s="110" t="s">
        <v>3185</v>
      </c>
      <c r="D1123" s="111"/>
      <c r="E1123" s="114" t="str">
        <f>エンティティ一覧!$O$2</f>
        <v>milscm_2023_009</v>
      </c>
      <c r="G1123" s="41"/>
    </row>
    <row r="1124" spans="2:23" ht="18.75" customHeight="1">
      <c r="C1124" s="112"/>
      <c r="D1124" s="113"/>
      <c r="E1124" s="115"/>
      <c r="F1124" s="37"/>
    </row>
    <row r="1126" spans="2:23" ht="18.75" customHeight="1" thickBot="1">
      <c r="B1126" s="42"/>
      <c r="C1126" s="42"/>
      <c r="D1126" s="42"/>
      <c r="E1126" s="42"/>
      <c r="F1126" s="42"/>
      <c r="G1126" s="42"/>
      <c r="H1126" s="42"/>
      <c r="I1126" s="42"/>
      <c r="J1126" s="42"/>
      <c r="K1126" s="42"/>
      <c r="L1126" s="42"/>
      <c r="M1126" s="42"/>
      <c r="N1126" s="42"/>
      <c r="O1126" s="42"/>
      <c r="P1126" s="42"/>
      <c r="Q1126" s="42"/>
      <c r="R1126" s="42"/>
      <c r="S1126" s="42"/>
      <c r="T1126" s="42"/>
      <c r="U1126" s="42"/>
    </row>
    <row r="1128" spans="2:23" ht="18.75" customHeight="1">
      <c r="B1128" s="43" t="s">
        <v>163</v>
      </c>
      <c r="C1128" s="51" t="s">
        <v>3181</v>
      </c>
      <c r="D1128" s="50"/>
      <c r="W1128" s="35" t="str">
        <f>"-- "&amp;B1128&amp;" : "&amp;C1128</f>
        <v>-- SQL_ID : 01_C1-07</v>
      </c>
    </row>
    <row r="1129" spans="2:23" ht="18.75" customHeight="1">
      <c r="B1129" s="43" t="s">
        <v>158</v>
      </c>
      <c r="C1129" s="118" t="str">
        <f>R1132&amp;"登録"</f>
        <v>バックアップ_DPC調査データ_様式1_診断情報_併存症登録</v>
      </c>
      <c r="D1129" s="119"/>
      <c r="E1129" s="119"/>
      <c r="F1129" s="119"/>
      <c r="G1129" s="119"/>
      <c r="H1129" s="119"/>
      <c r="I1129" s="119"/>
      <c r="J1129" s="119"/>
      <c r="K1129" s="119"/>
      <c r="L1129" s="119"/>
      <c r="M1129" s="119"/>
      <c r="N1129" s="119"/>
      <c r="O1129" s="119"/>
      <c r="P1129" s="119"/>
      <c r="Q1129" s="119"/>
      <c r="R1129" s="119"/>
      <c r="S1129" s="119"/>
      <c r="T1129" s="119"/>
      <c r="U1129" s="120"/>
      <c r="W1129" s="35" t="str">
        <f>"-- "&amp;C1129</f>
        <v>-- バックアップ_DPC調査データ_様式1_診断情報_併存症登録</v>
      </c>
    </row>
    <row r="1130" spans="2:23" ht="18.75" customHeight="1">
      <c r="B1130" s="43" t="s">
        <v>159</v>
      </c>
      <c r="C1130" s="121" t="str">
        <f>C1132&amp;"テーブルから組入れ条件の第一条件で絞り込んだ結果を"&amp;R1132&amp;"テーブルに格納する。"</f>
        <v>DPC調査データ_様式1_診断情報_併存症_結合テーブルから組入れ条件の第一条件で絞り込んだ結果をバックアップ_DPC調査データ_様式1_診断情報_併存症テーブルに格納する。</v>
      </c>
      <c r="D1130" s="122"/>
      <c r="E1130" s="122"/>
      <c r="F1130" s="122"/>
      <c r="G1130" s="122"/>
      <c r="H1130" s="122"/>
      <c r="I1130" s="122"/>
      <c r="J1130" s="122"/>
      <c r="K1130" s="122"/>
      <c r="L1130" s="122"/>
      <c r="M1130" s="122"/>
      <c r="N1130" s="122"/>
      <c r="O1130" s="122"/>
      <c r="P1130" s="122"/>
      <c r="Q1130" s="122"/>
      <c r="R1130" s="122"/>
      <c r="S1130" s="122"/>
      <c r="T1130" s="122"/>
      <c r="U1130" s="123"/>
      <c r="W1130" s="35" t="str">
        <f>"-- "&amp;C1130</f>
        <v>-- DPC調査データ_様式1_診断情報_併存症_結合テーブルから組入れ条件の第一条件で絞り込んだ結果をバックアップ_DPC調査データ_様式1_診断情報_併存症テーブルに格納する。</v>
      </c>
    </row>
    <row r="1132" spans="2:23" ht="18.75" customHeight="1">
      <c r="C1132" s="110" t="s">
        <v>172</v>
      </c>
      <c r="D1132" s="111"/>
      <c r="E1132" s="116" t="s">
        <v>162</v>
      </c>
      <c r="H1132" s="36"/>
      <c r="I1132" s="36"/>
      <c r="J1132" s="36"/>
      <c r="K1132" s="36"/>
      <c r="L1132" s="36"/>
      <c r="M1132" s="36"/>
      <c r="N1132" s="36"/>
      <c r="O1132" s="36"/>
      <c r="P1132" s="36"/>
      <c r="Q1132" s="36"/>
      <c r="R1132" s="110" t="str">
        <f>"バックアップ_"&amp;SUBSTITUTE(C1132,"_結合","")</f>
        <v>バックアップ_DPC調査データ_様式1_診断情報_併存症</v>
      </c>
      <c r="S1132" s="111"/>
      <c r="T1132" s="114" t="str">
        <f>エンティティ一覧!$O$2</f>
        <v>milscm_2023_009</v>
      </c>
    </row>
    <row r="1133" spans="2:23" ht="18.75" customHeight="1">
      <c r="C1133" s="112"/>
      <c r="D1133" s="113"/>
      <c r="E1133" s="117"/>
      <c r="F1133" s="37"/>
      <c r="G1133" s="38"/>
      <c r="H1133" s="37"/>
      <c r="I1133" s="37"/>
      <c r="J1133" s="37"/>
      <c r="K1133" s="37"/>
      <c r="L1133" s="37"/>
      <c r="M1133" s="37"/>
      <c r="N1133" s="37"/>
      <c r="O1133" s="37"/>
      <c r="P1133" s="37"/>
      <c r="Q1133" s="37"/>
      <c r="R1133" s="112"/>
      <c r="S1133" s="113"/>
      <c r="T1133" s="115"/>
    </row>
    <row r="1134" spans="2:23" ht="18.75" customHeight="1">
      <c r="F1134" s="39"/>
      <c r="G1134" s="40"/>
    </row>
    <row r="1135" spans="2:23" ht="18.75" customHeight="1">
      <c r="C1135" s="110" t="s">
        <v>3185</v>
      </c>
      <c r="D1135" s="111"/>
      <c r="E1135" s="114" t="str">
        <f>エンティティ一覧!$O$2</f>
        <v>milscm_2023_009</v>
      </c>
      <c r="G1135" s="41"/>
    </row>
    <row r="1136" spans="2:23" ht="18.75" customHeight="1">
      <c r="C1136" s="112"/>
      <c r="D1136" s="113"/>
      <c r="E1136" s="115"/>
      <c r="F1136" s="37"/>
    </row>
    <row r="1138" spans="2:23" ht="18.75" customHeight="1" thickBot="1">
      <c r="B1138" s="42"/>
      <c r="C1138" s="42"/>
      <c r="D1138" s="42"/>
      <c r="E1138" s="42"/>
      <c r="F1138" s="42"/>
      <c r="G1138" s="42"/>
      <c r="H1138" s="42"/>
      <c r="I1138" s="42"/>
      <c r="J1138" s="42"/>
      <c r="K1138" s="42"/>
      <c r="L1138" s="42"/>
      <c r="M1138" s="42"/>
      <c r="N1138" s="42"/>
      <c r="O1138" s="42"/>
      <c r="P1138" s="42"/>
      <c r="Q1138" s="42"/>
      <c r="R1138" s="42"/>
      <c r="S1138" s="42"/>
      <c r="T1138" s="42"/>
      <c r="U1138" s="42"/>
    </row>
    <row r="1140" spans="2:23" ht="18.75" customHeight="1">
      <c r="B1140" s="43" t="s">
        <v>163</v>
      </c>
      <c r="C1140" s="51" t="s">
        <v>3182</v>
      </c>
      <c r="D1140" s="50"/>
      <c r="W1140" s="35" t="str">
        <f>"-- "&amp;B1140&amp;" : "&amp;C1140</f>
        <v>-- SQL_ID : 01_C1-08</v>
      </c>
    </row>
    <row r="1141" spans="2:23" ht="18.75" customHeight="1">
      <c r="B1141" s="43" t="s">
        <v>158</v>
      </c>
      <c r="C1141" s="118" t="str">
        <f>R1144&amp;"登録"</f>
        <v>バックアップ_DPC調査データ_様式1_診断情報_続発症登録</v>
      </c>
      <c r="D1141" s="119"/>
      <c r="E1141" s="119"/>
      <c r="F1141" s="119"/>
      <c r="G1141" s="119"/>
      <c r="H1141" s="119"/>
      <c r="I1141" s="119"/>
      <c r="J1141" s="119"/>
      <c r="K1141" s="119"/>
      <c r="L1141" s="119"/>
      <c r="M1141" s="119"/>
      <c r="N1141" s="119"/>
      <c r="O1141" s="119"/>
      <c r="P1141" s="119"/>
      <c r="Q1141" s="119"/>
      <c r="R1141" s="119"/>
      <c r="S1141" s="119"/>
      <c r="T1141" s="119"/>
      <c r="U1141" s="120"/>
      <c r="W1141" s="35" t="str">
        <f>"-- "&amp;C1141</f>
        <v>-- バックアップ_DPC調査データ_様式1_診断情報_続発症登録</v>
      </c>
    </row>
    <row r="1142" spans="2:23" ht="18.75" customHeight="1">
      <c r="B1142" s="43" t="s">
        <v>159</v>
      </c>
      <c r="C1142" s="121" t="str">
        <f>C1144&amp;"テーブルから組入れ条件の第一条件で絞り込んだ結果を"&amp;R1144&amp;"テーブルに格納する。"</f>
        <v>DPC調査データ_様式1_診断情報_続発症_結合テーブルから組入れ条件の第一条件で絞り込んだ結果をバックアップ_DPC調査データ_様式1_診断情報_続発症テーブルに格納する。</v>
      </c>
      <c r="D1142" s="122"/>
      <c r="E1142" s="122"/>
      <c r="F1142" s="122"/>
      <c r="G1142" s="122"/>
      <c r="H1142" s="122"/>
      <c r="I1142" s="122"/>
      <c r="J1142" s="122"/>
      <c r="K1142" s="122"/>
      <c r="L1142" s="122"/>
      <c r="M1142" s="122"/>
      <c r="N1142" s="122"/>
      <c r="O1142" s="122"/>
      <c r="P1142" s="122"/>
      <c r="Q1142" s="122"/>
      <c r="R1142" s="122"/>
      <c r="S1142" s="122"/>
      <c r="T1142" s="122"/>
      <c r="U1142" s="123"/>
      <c r="W1142" s="35" t="str">
        <f>"-- "&amp;C1142</f>
        <v>-- DPC調査データ_様式1_診断情報_続発症_結合テーブルから組入れ条件の第一条件で絞り込んだ結果をバックアップ_DPC調査データ_様式1_診断情報_続発症テーブルに格納する。</v>
      </c>
    </row>
    <row r="1144" spans="2:23" ht="18.75" customHeight="1">
      <c r="C1144" s="110" t="s">
        <v>173</v>
      </c>
      <c r="D1144" s="111"/>
      <c r="E1144" s="116" t="s">
        <v>162</v>
      </c>
      <c r="H1144" s="36"/>
      <c r="I1144" s="36"/>
      <c r="J1144" s="36"/>
      <c r="K1144" s="36"/>
      <c r="L1144" s="36"/>
      <c r="M1144" s="36"/>
      <c r="N1144" s="36"/>
      <c r="O1144" s="36"/>
      <c r="P1144" s="36"/>
      <c r="Q1144" s="36"/>
      <c r="R1144" s="110" t="str">
        <f>"バックアップ_"&amp;SUBSTITUTE(C1144,"_結合","")</f>
        <v>バックアップ_DPC調査データ_様式1_診断情報_続発症</v>
      </c>
      <c r="S1144" s="111"/>
      <c r="T1144" s="114" t="str">
        <f>エンティティ一覧!$O$2</f>
        <v>milscm_2023_009</v>
      </c>
    </row>
    <row r="1145" spans="2:23" ht="18.75" customHeight="1">
      <c r="C1145" s="112"/>
      <c r="D1145" s="113"/>
      <c r="E1145" s="117"/>
      <c r="F1145" s="37"/>
      <c r="G1145" s="38"/>
      <c r="H1145" s="37"/>
      <c r="I1145" s="37"/>
      <c r="J1145" s="37"/>
      <c r="K1145" s="37"/>
      <c r="L1145" s="37"/>
      <c r="M1145" s="37"/>
      <c r="N1145" s="37"/>
      <c r="O1145" s="37"/>
      <c r="P1145" s="37"/>
      <c r="Q1145" s="37"/>
      <c r="R1145" s="112"/>
      <c r="S1145" s="113"/>
      <c r="T1145" s="115"/>
    </row>
    <row r="1146" spans="2:23" ht="18.75" customHeight="1">
      <c r="F1146" s="39"/>
      <c r="G1146" s="40"/>
    </row>
    <row r="1147" spans="2:23" ht="18.75" customHeight="1">
      <c r="C1147" s="110" t="s">
        <v>3185</v>
      </c>
      <c r="D1147" s="111"/>
      <c r="E1147" s="114" t="str">
        <f>エンティティ一覧!$O$2</f>
        <v>milscm_2023_009</v>
      </c>
      <c r="G1147" s="41"/>
    </row>
    <row r="1148" spans="2:23" ht="18.75" customHeight="1">
      <c r="C1148" s="112"/>
      <c r="D1148" s="113"/>
      <c r="E1148" s="115"/>
      <c r="F1148" s="37"/>
    </row>
    <row r="1150" spans="2:23" ht="18.75" customHeight="1" thickBot="1">
      <c r="B1150" s="42"/>
      <c r="C1150" s="42"/>
      <c r="D1150" s="42"/>
      <c r="E1150" s="42"/>
      <c r="F1150" s="42"/>
      <c r="G1150" s="42"/>
      <c r="H1150" s="42"/>
      <c r="I1150" s="42"/>
      <c r="J1150" s="42"/>
      <c r="K1150" s="42"/>
      <c r="L1150" s="42"/>
      <c r="M1150" s="42"/>
      <c r="N1150" s="42"/>
      <c r="O1150" s="42"/>
      <c r="P1150" s="42"/>
      <c r="Q1150" s="42"/>
      <c r="R1150" s="42"/>
      <c r="S1150" s="42"/>
      <c r="T1150" s="42"/>
      <c r="U1150" s="42"/>
    </row>
    <row r="1152" spans="2:23" ht="18.75" customHeight="1">
      <c r="B1152" s="43" t="s">
        <v>163</v>
      </c>
      <c r="C1152" s="51" t="s">
        <v>3405</v>
      </c>
      <c r="D1152" s="88"/>
      <c r="W1152" s="35" t="str">
        <f>"-- "&amp;B1152&amp;" : "&amp;C1152</f>
        <v>-- SQL_ID : 01_C2-01</v>
      </c>
    </row>
    <row r="1153" spans="2:23" ht="18.75" customHeight="1">
      <c r="B1153" s="43" t="s">
        <v>158</v>
      </c>
      <c r="C1153" s="118" t="str">
        <f>R1156&amp;"登録"</f>
        <v>バックアップ_医科レセプト_医療機関情報レコード登録</v>
      </c>
      <c r="D1153" s="119"/>
      <c r="E1153" s="119"/>
      <c r="F1153" s="119"/>
      <c r="G1153" s="119"/>
      <c r="H1153" s="119"/>
      <c r="I1153" s="119"/>
      <c r="J1153" s="119"/>
      <c r="K1153" s="119"/>
      <c r="L1153" s="119"/>
      <c r="M1153" s="119"/>
      <c r="N1153" s="119"/>
      <c r="O1153" s="119"/>
      <c r="P1153" s="119"/>
      <c r="Q1153" s="119"/>
      <c r="R1153" s="119"/>
      <c r="S1153" s="119"/>
      <c r="T1153" s="119"/>
      <c r="U1153" s="120"/>
      <c r="W1153" s="35" t="str">
        <f>"-- "&amp;C1153</f>
        <v>-- バックアップ_医科レセプト_医療機関情報レコード登録</v>
      </c>
    </row>
    <row r="1154" spans="2:23" ht="18.75" customHeight="1">
      <c r="B1154" s="43" t="s">
        <v>159</v>
      </c>
      <c r="C1154" s="121" t="str">
        <f>C1156&amp;"テーブルから組入れ条件の第一条件で絞り込んだ結果を"&amp;R1156&amp;"テーブルに格納する。"</f>
        <v>医科レセプト_医療機関情報レコード_結合テーブルから組入れ条件の第一条件で絞り込んだ結果をバックアップ_医科レセプト_医療機関情報レコードテーブルに格納する。</v>
      </c>
      <c r="D1154" s="122"/>
      <c r="E1154" s="122"/>
      <c r="F1154" s="122"/>
      <c r="G1154" s="122"/>
      <c r="H1154" s="122"/>
      <c r="I1154" s="122"/>
      <c r="J1154" s="122"/>
      <c r="K1154" s="122"/>
      <c r="L1154" s="122"/>
      <c r="M1154" s="122"/>
      <c r="N1154" s="122"/>
      <c r="O1154" s="122"/>
      <c r="P1154" s="122"/>
      <c r="Q1154" s="122"/>
      <c r="R1154" s="122"/>
      <c r="S1154" s="122"/>
      <c r="T1154" s="122"/>
      <c r="U1154" s="123"/>
      <c r="W1154" s="35" t="str">
        <f>"-- "&amp;C1154</f>
        <v>-- 医科レセプト_医療機関情報レコード_結合テーブルから組入れ条件の第一条件で絞り込んだ結果をバックアップ_医科レセプト_医療機関情報レコードテーブルに格納する。</v>
      </c>
    </row>
    <row r="1156" spans="2:23" ht="18.75" customHeight="1">
      <c r="C1156" s="110" t="s">
        <v>3406</v>
      </c>
      <c r="D1156" s="111"/>
      <c r="E1156" s="116" t="s">
        <v>162</v>
      </c>
      <c r="H1156" s="36"/>
      <c r="I1156" s="36"/>
      <c r="J1156" s="36"/>
      <c r="K1156" s="36"/>
      <c r="L1156" s="36"/>
      <c r="M1156" s="36"/>
      <c r="N1156" s="36"/>
      <c r="O1156" s="36"/>
      <c r="P1156" s="36"/>
      <c r="Q1156" s="36"/>
      <c r="R1156" s="110" t="str">
        <f>"バックアップ_"&amp;SUBSTITUTE(C1156,"_結合","")</f>
        <v>バックアップ_医科レセプト_医療機関情報レコード</v>
      </c>
      <c r="S1156" s="111"/>
      <c r="T1156" s="114" t="str">
        <f>エンティティ一覧!$O$2</f>
        <v>milscm_2023_009</v>
      </c>
    </row>
    <row r="1157" spans="2:23" ht="18.75" customHeight="1">
      <c r="C1157" s="112"/>
      <c r="D1157" s="113"/>
      <c r="E1157" s="117"/>
      <c r="F1157" s="37"/>
      <c r="G1157" s="38"/>
      <c r="H1157" s="37"/>
      <c r="I1157" s="37"/>
      <c r="J1157" s="37"/>
      <c r="K1157" s="37"/>
      <c r="L1157" s="37"/>
      <c r="M1157" s="37"/>
      <c r="N1157" s="37"/>
      <c r="O1157" s="37"/>
      <c r="P1157" s="37"/>
      <c r="Q1157" s="37"/>
      <c r="R1157" s="112"/>
      <c r="S1157" s="113"/>
      <c r="T1157" s="115"/>
    </row>
    <row r="1158" spans="2:23" ht="18.75" customHeight="1">
      <c r="F1158" s="39"/>
      <c r="G1158" s="40"/>
    </row>
    <row r="1159" spans="2:23" ht="18.75" customHeight="1">
      <c r="C1159" s="110" t="s">
        <v>3185</v>
      </c>
      <c r="D1159" s="111"/>
      <c r="E1159" s="114" t="str">
        <f>エンティティ一覧!$O$2</f>
        <v>milscm_2023_009</v>
      </c>
      <c r="G1159" s="41"/>
    </row>
    <row r="1160" spans="2:23" ht="18.75" customHeight="1">
      <c r="C1160" s="112"/>
      <c r="D1160" s="113"/>
      <c r="E1160" s="115"/>
      <c r="F1160" s="37"/>
    </row>
    <row r="1162" spans="2:23" ht="18.75" customHeight="1" thickBot="1">
      <c r="B1162" s="42"/>
      <c r="C1162" s="42"/>
      <c r="D1162" s="42"/>
      <c r="E1162" s="42"/>
      <c r="F1162" s="42"/>
      <c r="G1162" s="42"/>
      <c r="H1162" s="42"/>
      <c r="I1162" s="42"/>
      <c r="J1162" s="42"/>
      <c r="K1162" s="42"/>
      <c r="L1162" s="42"/>
      <c r="M1162" s="42"/>
      <c r="N1162" s="42"/>
      <c r="O1162" s="42"/>
      <c r="P1162" s="42"/>
      <c r="Q1162" s="42"/>
      <c r="R1162" s="42"/>
      <c r="S1162" s="42"/>
      <c r="T1162" s="42"/>
      <c r="U1162" s="42"/>
    </row>
    <row r="1164" spans="2:23" ht="18.75" customHeight="1">
      <c r="B1164" s="43" t="s">
        <v>163</v>
      </c>
      <c r="C1164" s="51" t="s">
        <v>3407</v>
      </c>
      <c r="D1164" s="88"/>
      <c r="W1164" s="35" t="str">
        <f>"-- "&amp;B1164&amp;" : "&amp;C1164</f>
        <v>-- SQL_ID : 01_C2-02</v>
      </c>
    </row>
    <row r="1165" spans="2:23" ht="18.75" customHeight="1">
      <c r="B1165" s="43" t="s">
        <v>158</v>
      </c>
      <c r="C1165" s="118" t="str">
        <f>R1168&amp;"登録"</f>
        <v>バックアップ_医科レセプト_レセプト共通レコード登録</v>
      </c>
      <c r="D1165" s="119"/>
      <c r="E1165" s="119"/>
      <c r="F1165" s="119"/>
      <c r="G1165" s="119"/>
      <c r="H1165" s="119"/>
      <c r="I1165" s="119"/>
      <c r="J1165" s="119"/>
      <c r="K1165" s="119"/>
      <c r="L1165" s="119"/>
      <c r="M1165" s="119"/>
      <c r="N1165" s="119"/>
      <c r="O1165" s="119"/>
      <c r="P1165" s="119"/>
      <c r="Q1165" s="119"/>
      <c r="R1165" s="119"/>
      <c r="S1165" s="119"/>
      <c r="T1165" s="119"/>
      <c r="U1165" s="120"/>
      <c r="W1165" s="35" t="str">
        <f>"-- "&amp;C1165</f>
        <v>-- バックアップ_医科レセプト_レセプト共通レコード登録</v>
      </c>
    </row>
    <row r="1166" spans="2:23" ht="18.75" customHeight="1">
      <c r="B1166" s="43" t="s">
        <v>159</v>
      </c>
      <c r="C1166" s="121" t="str">
        <f>C1168&amp;"テーブルから組入れ条件の第一条件で絞り込んだ結果を"&amp;R1168&amp;"テーブルに格納する。"</f>
        <v>医科レセプト_レセプト共通レコード_結合テーブルから組入れ条件の第一条件で絞り込んだ結果をバックアップ_医科レセプト_レセプト共通レコードテーブルに格納する。</v>
      </c>
      <c r="D1166" s="122"/>
      <c r="E1166" s="122"/>
      <c r="F1166" s="122"/>
      <c r="G1166" s="122"/>
      <c r="H1166" s="122"/>
      <c r="I1166" s="122"/>
      <c r="J1166" s="122"/>
      <c r="K1166" s="122"/>
      <c r="L1166" s="122"/>
      <c r="M1166" s="122"/>
      <c r="N1166" s="122"/>
      <c r="O1166" s="122"/>
      <c r="P1166" s="122"/>
      <c r="Q1166" s="122"/>
      <c r="R1166" s="122"/>
      <c r="S1166" s="122"/>
      <c r="T1166" s="122"/>
      <c r="U1166" s="123"/>
      <c r="W1166" s="35" t="str">
        <f>"-- "&amp;C1166</f>
        <v>-- 医科レセプト_レセプト共通レコード_結合テーブルから組入れ条件の第一条件で絞り込んだ結果をバックアップ_医科レセプト_レセプト共通レコードテーブルに格納する。</v>
      </c>
    </row>
    <row r="1168" spans="2:23" ht="18.75" customHeight="1">
      <c r="C1168" s="110" t="s">
        <v>3408</v>
      </c>
      <c r="D1168" s="111"/>
      <c r="E1168" s="116" t="s">
        <v>162</v>
      </c>
      <c r="H1168" s="36"/>
      <c r="I1168" s="36"/>
      <c r="J1168" s="36"/>
      <c r="K1168" s="36"/>
      <c r="L1168" s="36"/>
      <c r="M1168" s="36"/>
      <c r="N1168" s="36"/>
      <c r="O1168" s="36"/>
      <c r="P1168" s="36"/>
      <c r="Q1168" s="36"/>
      <c r="R1168" s="110" t="str">
        <f>"バックアップ_"&amp;SUBSTITUTE(C1168,"_結合","")</f>
        <v>バックアップ_医科レセプト_レセプト共通レコード</v>
      </c>
      <c r="S1168" s="111"/>
      <c r="T1168" s="114" t="str">
        <f>エンティティ一覧!$O$2</f>
        <v>milscm_2023_009</v>
      </c>
    </row>
    <row r="1169" spans="2:23" ht="18.75" customHeight="1">
      <c r="C1169" s="112"/>
      <c r="D1169" s="113"/>
      <c r="E1169" s="117"/>
      <c r="F1169" s="37"/>
      <c r="G1169" s="38"/>
      <c r="H1169" s="37"/>
      <c r="I1169" s="37"/>
      <c r="J1169" s="37"/>
      <c r="K1169" s="37"/>
      <c r="L1169" s="37"/>
      <c r="M1169" s="37"/>
      <c r="N1169" s="37"/>
      <c r="O1169" s="37"/>
      <c r="P1169" s="37"/>
      <c r="Q1169" s="37"/>
      <c r="R1169" s="112"/>
      <c r="S1169" s="113"/>
      <c r="T1169" s="115"/>
    </row>
    <row r="1170" spans="2:23" ht="18.75" customHeight="1">
      <c r="F1170" s="39"/>
      <c r="G1170" s="40"/>
    </row>
    <row r="1171" spans="2:23" ht="18.75" customHeight="1">
      <c r="C1171" s="110" t="s">
        <v>3185</v>
      </c>
      <c r="D1171" s="111"/>
      <c r="E1171" s="114" t="str">
        <f>エンティティ一覧!$O$2</f>
        <v>milscm_2023_009</v>
      </c>
      <c r="G1171" s="41"/>
    </row>
    <row r="1172" spans="2:23" ht="18.75" customHeight="1">
      <c r="C1172" s="112"/>
      <c r="D1172" s="113"/>
      <c r="E1172" s="115"/>
      <c r="F1172" s="37"/>
    </row>
    <row r="1174" spans="2:23" ht="18.75" customHeight="1" thickBot="1">
      <c r="B1174" s="42"/>
      <c r="C1174" s="42"/>
      <c r="D1174" s="42"/>
      <c r="E1174" s="42"/>
      <c r="F1174" s="42"/>
      <c r="G1174" s="42"/>
      <c r="H1174" s="42"/>
      <c r="I1174" s="42"/>
      <c r="J1174" s="42"/>
      <c r="K1174" s="42"/>
      <c r="L1174" s="42"/>
      <c r="M1174" s="42"/>
      <c r="N1174" s="42"/>
      <c r="O1174" s="42"/>
      <c r="P1174" s="42"/>
      <c r="Q1174" s="42"/>
      <c r="R1174" s="42"/>
      <c r="S1174" s="42"/>
      <c r="T1174" s="42"/>
      <c r="U1174" s="42"/>
    </row>
    <row r="1176" spans="2:23" ht="18.75" customHeight="1">
      <c r="B1176" s="43" t="s">
        <v>163</v>
      </c>
      <c r="C1176" s="51" t="s">
        <v>3409</v>
      </c>
      <c r="D1176" s="88"/>
      <c r="W1176" s="35" t="str">
        <f>"-- "&amp;B1176&amp;" : "&amp;C1176</f>
        <v>-- SQL_ID : 01_C2-06</v>
      </c>
    </row>
    <row r="1177" spans="2:23" ht="18.75" customHeight="1">
      <c r="B1177" s="43" t="s">
        <v>158</v>
      </c>
      <c r="C1177" s="118" t="str">
        <f>R1180&amp;"登録"</f>
        <v>バックアップ_医科レセプト_傷病名レコード登録</v>
      </c>
      <c r="D1177" s="119"/>
      <c r="E1177" s="119"/>
      <c r="F1177" s="119"/>
      <c r="G1177" s="119"/>
      <c r="H1177" s="119"/>
      <c r="I1177" s="119"/>
      <c r="J1177" s="119"/>
      <c r="K1177" s="119"/>
      <c r="L1177" s="119"/>
      <c r="M1177" s="119"/>
      <c r="N1177" s="119"/>
      <c r="O1177" s="119"/>
      <c r="P1177" s="119"/>
      <c r="Q1177" s="119"/>
      <c r="R1177" s="119"/>
      <c r="S1177" s="119"/>
      <c r="T1177" s="119"/>
      <c r="U1177" s="120"/>
      <c r="W1177" s="35" t="str">
        <f>"-- "&amp;C1177</f>
        <v>-- バックアップ_医科レセプト_傷病名レコード登録</v>
      </c>
    </row>
    <row r="1178" spans="2:23" ht="18.75" customHeight="1">
      <c r="B1178" s="43" t="s">
        <v>159</v>
      </c>
      <c r="C1178" s="121" t="str">
        <f>C1180&amp;"テーブルから組入れ条件の第一条件で絞り込んだ結果を"&amp;R1180&amp;"テーブルに格納する。"</f>
        <v>医科レセプト_傷病名レコード_結合テーブルから組入れ条件の第一条件で絞り込んだ結果をバックアップ_医科レセプト_傷病名レコードテーブルに格納する。</v>
      </c>
      <c r="D1178" s="122"/>
      <c r="E1178" s="122"/>
      <c r="F1178" s="122"/>
      <c r="G1178" s="122"/>
      <c r="H1178" s="122"/>
      <c r="I1178" s="122"/>
      <c r="J1178" s="122"/>
      <c r="K1178" s="122"/>
      <c r="L1178" s="122"/>
      <c r="M1178" s="122"/>
      <c r="N1178" s="122"/>
      <c r="O1178" s="122"/>
      <c r="P1178" s="122"/>
      <c r="Q1178" s="122"/>
      <c r="R1178" s="122"/>
      <c r="S1178" s="122"/>
      <c r="T1178" s="122"/>
      <c r="U1178" s="123"/>
      <c r="W1178" s="35" t="str">
        <f>"-- "&amp;C1178</f>
        <v>-- 医科レセプト_傷病名レコード_結合テーブルから組入れ条件の第一条件で絞り込んだ結果をバックアップ_医科レセプト_傷病名レコードテーブルに格納する。</v>
      </c>
    </row>
    <row r="1180" spans="2:23" ht="18.75" customHeight="1">
      <c r="C1180" s="110" t="s">
        <v>3410</v>
      </c>
      <c r="D1180" s="111"/>
      <c r="E1180" s="116" t="s">
        <v>162</v>
      </c>
      <c r="H1180" s="36"/>
      <c r="I1180" s="36"/>
      <c r="J1180" s="36"/>
      <c r="K1180" s="36"/>
      <c r="L1180" s="36"/>
      <c r="M1180" s="36"/>
      <c r="N1180" s="36"/>
      <c r="O1180" s="36"/>
      <c r="P1180" s="36"/>
      <c r="Q1180" s="36"/>
      <c r="R1180" s="110" t="str">
        <f>"バックアップ_"&amp;SUBSTITUTE(C1180,"_結合","")</f>
        <v>バックアップ_医科レセプト_傷病名レコード</v>
      </c>
      <c r="S1180" s="111"/>
      <c r="T1180" s="114" t="str">
        <f>エンティティ一覧!$O$2</f>
        <v>milscm_2023_009</v>
      </c>
    </row>
    <row r="1181" spans="2:23" ht="18.75" customHeight="1">
      <c r="C1181" s="112"/>
      <c r="D1181" s="113"/>
      <c r="E1181" s="117"/>
      <c r="F1181" s="37"/>
      <c r="G1181" s="38"/>
      <c r="H1181" s="37"/>
      <c r="I1181" s="37"/>
      <c r="J1181" s="37"/>
      <c r="K1181" s="37"/>
      <c r="L1181" s="37"/>
      <c r="M1181" s="37"/>
      <c r="N1181" s="37"/>
      <c r="O1181" s="37"/>
      <c r="P1181" s="37"/>
      <c r="Q1181" s="37"/>
      <c r="R1181" s="112"/>
      <c r="S1181" s="113"/>
      <c r="T1181" s="115"/>
    </row>
    <row r="1182" spans="2:23" ht="18.75" customHeight="1">
      <c r="F1182" s="39"/>
      <c r="G1182" s="40"/>
    </row>
    <row r="1183" spans="2:23" ht="18.75" customHeight="1">
      <c r="C1183" s="110" t="s">
        <v>3185</v>
      </c>
      <c r="D1183" s="111"/>
      <c r="E1183" s="114" t="str">
        <f>エンティティ一覧!$O$2</f>
        <v>milscm_2023_009</v>
      </c>
      <c r="G1183" s="41"/>
    </row>
    <row r="1184" spans="2:23" ht="18.75" customHeight="1">
      <c r="C1184" s="112"/>
      <c r="D1184" s="113"/>
      <c r="E1184" s="115"/>
      <c r="F1184" s="37"/>
    </row>
    <row r="1186" spans="2:23" ht="18.75" customHeight="1" thickBot="1">
      <c r="B1186" s="42"/>
      <c r="C1186" s="42"/>
      <c r="D1186" s="42"/>
      <c r="E1186" s="42"/>
      <c r="F1186" s="42"/>
      <c r="G1186" s="42"/>
      <c r="H1186" s="42"/>
      <c r="I1186" s="42"/>
      <c r="J1186" s="42"/>
      <c r="K1186" s="42"/>
      <c r="L1186" s="42"/>
      <c r="M1186" s="42"/>
      <c r="N1186" s="42"/>
      <c r="O1186" s="42"/>
      <c r="P1186" s="42"/>
      <c r="Q1186" s="42"/>
      <c r="R1186" s="42"/>
      <c r="S1186" s="42"/>
      <c r="T1186" s="42"/>
      <c r="U1186" s="42"/>
    </row>
    <row r="1188" spans="2:23" ht="18.75" customHeight="1">
      <c r="B1188" s="43" t="s">
        <v>163</v>
      </c>
      <c r="C1188" s="51" t="s">
        <v>3411</v>
      </c>
      <c r="D1188" s="88"/>
      <c r="W1188" s="35" t="str">
        <f>"-- "&amp;B1188&amp;" : "&amp;C1188</f>
        <v>-- SQL_ID : 01_C2-07</v>
      </c>
    </row>
    <row r="1189" spans="2:23" ht="18.75" customHeight="1">
      <c r="B1189" s="43" t="s">
        <v>158</v>
      </c>
      <c r="C1189" s="118" t="str">
        <f>R1192&amp;"登録"</f>
        <v>バックアップ_医科レセプト_診療行為レコード登録</v>
      </c>
      <c r="D1189" s="119"/>
      <c r="E1189" s="119"/>
      <c r="F1189" s="119"/>
      <c r="G1189" s="119"/>
      <c r="H1189" s="119"/>
      <c r="I1189" s="119"/>
      <c r="J1189" s="119"/>
      <c r="K1189" s="119"/>
      <c r="L1189" s="119"/>
      <c r="M1189" s="119"/>
      <c r="N1189" s="119"/>
      <c r="O1189" s="119"/>
      <c r="P1189" s="119"/>
      <c r="Q1189" s="119"/>
      <c r="R1189" s="119"/>
      <c r="S1189" s="119"/>
      <c r="T1189" s="119"/>
      <c r="U1189" s="120"/>
      <c r="W1189" s="35" t="str">
        <f>"-- "&amp;C1189</f>
        <v>-- バックアップ_医科レセプト_診療行為レコード登録</v>
      </c>
    </row>
    <row r="1190" spans="2:23" ht="18.75" customHeight="1">
      <c r="B1190" s="43" t="s">
        <v>159</v>
      </c>
      <c r="C1190" s="121" t="str">
        <f>C1192&amp;"テーブルから組入れ条件の第一条件で絞り込んだ結果を"&amp;R1192&amp;"テーブルに格納する。"</f>
        <v>医科レセプト_診療行為レコード_結合テーブルから組入れ条件の第一条件で絞り込んだ結果をバックアップ_医科レセプト_診療行為レコードテーブルに格納する。</v>
      </c>
      <c r="D1190" s="122"/>
      <c r="E1190" s="122"/>
      <c r="F1190" s="122"/>
      <c r="G1190" s="122"/>
      <c r="H1190" s="122"/>
      <c r="I1190" s="122"/>
      <c r="J1190" s="122"/>
      <c r="K1190" s="122"/>
      <c r="L1190" s="122"/>
      <c r="M1190" s="122"/>
      <c r="N1190" s="122"/>
      <c r="O1190" s="122"/>
      <c r="P1190" s="122"/>
      <c r="Q1190" s="122"/>
      <c r="R1190" s="122"/>
      <c r="S1190" s="122"/>
      <c r="T1190" s="122"/>
      <c r="U1190" s="123"/>
      <c r="W1190" s="35" t="str">
        <f>"-- "&amp;C1190</f>
        <v>-- 医科レセプト_診療行為レコード_結合テーブルから組入れ条件の第一条件で絞り込んだ結果をバックアップ_医科レセプト_診療行為レコードテーブルに格納する。</v>
      </c>
    </row>
    <row r="1192" spans="2:23" ht="18.75" customHeight="1">
      <c r="C1192" s="110" t="s">
        <v>3412</v>
      </c>
      <c r="D1192" s="111"/>
      <c r="E1192" s="116" t="s">
        <v>162</v>
      </c>
      <c r="H1192" s="36"/>
      <c r="I1192" s="36"/>
      <c r="J1192" s="36"/>
      <c r="K1192" s="36"/>
      <c r="L1192" s="36"/>
      <c r="M1192" s="36"/>
      <c r="N1192" s="36"/>
      <c r="O1192" s="36"/>
      <c r="P1192" s="36"/>
      <c r="Q1192" s="36"/>
      <c r="R1192" s="110" t="str">
        <f>"バックアップ_"&amp;SUBSTITUTE(C1192,"_結合","")</f>
        <v>バックアップ_医科レセプト_診療行為レコード</v>
      </c>
      <c r="S1192" s="111"/>
      <c r="T1192" s="114" t="str">
        <f>エンティティ一覧!$O$2</f>
        <v>milscm_2023_009</v>
      </c>
    </row>
    <row r="1193" spans="2:23" ht="18.75" customHeight="1">
      <c r="C1193" s="112"/>
      <c r="D1193" s="113"/>
      <c r="E1193" s="117"/>
      <c r="F1193" s="37"/>
      <c r="G1193" s="38"/>
      <c r="H1193" s="37"/>
      <c r="I1193" s="37"/>
      <c r="J1193" s="37"/>
      <c r="K1193" s="37"/>
      <c r="L1193" s="37"/>
      <c r="M1193" s="37"/>
      <c r="N1193" s="37"/>
      <c r="O1193" s="37"/>
      <c r="P1193" s="37"/>
      <c r="Q1193" s="37"/>
      <c r="R1193" s="112"/>
      <c r="S1193" s="113"/>
      <c r="T1193" s="115"/>
    </row>
    <row r="1194" spans="2:23" ht="18.75" customHeight="1">
      <c r="F1194" s="39"/>
      <c r="G1194" s="40"/>
    </row>
    <row r="1195" spans="2:23" ht="18.75" customHeight="1">
      <c r="C1195" s="110" t="s">
        <v>3185</v>
      </c>
      <c r="D1195" s="111"/>
      <c r="E1195" s="114" t="str">
        <f>エンティティ一覧!$O$2</f>
        <v>milscm_2023_009</v>
      </c>
      <c r="G1195" s="41"/>
    </row>
    <row r="1196" spans="2:23" ht="18.75" customHeight="1">
      <c r="C1196" s="112"/>
      <c r="D1196" s="113"/>
      <c r="E1196" s="115"/>
      <c r="F1196" s="37"/>
    </row>
    <row r="1198" spans="2:23" ht="18.75" customHeight="1" thickBot="1">
      <c r="B1198" s="42"/>
      <c r="C1198" s="42"/>
      <c r="D1198" s="42"/>
      <c r="E1198" s="42"/>
      <c r="F1198" s="42"/>
      <c r="G1198" s="42"/>
      <c r="H1198" s="42"/>
      <c r="I1198" s="42"/>
      <c r="J1198" s="42"/>
      <c r="K1198" s="42"/>
      <c r="L1198" s="42"/>
      <c r="M1198" s="42"/>
      <c r="N1198" s="42"/>
      <c r="O1198" s="42"/>
      <c r="P1198" s="42"/>
      <c r="Q1198" s="42"/>
      <c r="R1198" s="42"/>
      <c r="S1198" s="42"/>
      <c r="T1198" s="42"/>
      <c r="U1198" s="42"/>
    </row>
    <row r="1200" spans="2:23" ht="18.75" customHeight="1">
      <c r="B1200" s="43" t="s">
        <v>163</v>
      </c>
      <c r="C1200" s="51" t="s">
        <v>3413</v>
      </c>
      <c r="D1200" s="88"/>
      <c r="W1200" s="35" t="str">
        <f>"-- "&amp;B1200&amp;" : "&amp;C1200</f>
        <v>-- SQL_ID : 01_C2-08</v>
      </c>
    </row>
    <row r="1201" spans="2:23" ht="18.75" customHeight="1">
      <c r="B1201" s="43" t="s">
        <v>158</v>
      </c>
      <c r="C1201" s="118" t="str">
        <f>R1204&amp;"登録"</f>
        <v>バックアップ_医科レセプト_診療行為レコード_算定日情報登録</v>
      </c>
      <c r="D1201" s="119"/>
      <c r="E1201" s="119"/>
      <c r="F1201" s="119"/>
      <c r="G1201" s="119"/>
      <c r="H1201" s="119"/>
      <c r="I1201" s="119"/>
      <c r="J1201" s="119"/>
      <c r="K1201" s="119"/>
      <c r="L1201" s="119"/>
      <c r="M1201" s="119"/>
      <c r="N1201" s="119"/>
      <c r="O1201" s="119"/>
      <c r="P1201" s="119"/>
      <c r="Q1201" s="119"/>
      <c r="R1201" s="119"/>
      <c r="S1201" s="119"/>
      <c r="T1201" s="119"/>
      <c r="U1201" s="120"/>
      <c r="W1201" s="35" t="str">
        <f>"-- "&amp;C1201</f>
        <v>-- バックアップ_医科レセプト_診療行為レコード_算定日情報登録</v>
      </c>
    </row>
    <row r="1202" spans="2:23" ht="18.75" customHeight="1">
      <c r="B1202" s="43" t="s">
        <v>159</v>
      </c>
      <c r="C1202" s="121" t="str">
        <f>C1204&amp;"テーブルから組入れ条件の第一条件で絞り込んだ結果を"&amp;R1204&amp;"テーブルに格納する。"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202" s="122"/>
      <c r="E1202" s="122"/>
      <c r="F1202" s="122"/>
      <c r="G1202" s="122"/>
      <c r="H1202" s="122"/>
      <c r="I1202" s="122"/>
      <c r="J1202" s="122"/>
      <c r="K1202" s="122"/>
      <c r="L1202" s="122"/>
      <c r="M1202" s="122"/>
      <c r="N1202" s="122"/>
      <c r="O1202" s="122"/>
      <c r="P1202" s="122"/>
      <c r="Q1202" s="122"/>
      <c r="R1202" s="122"/>
      <c r="S1202" s="122"/>
      <c r="T1202" s="122"/>
      <c r="U1202" s="123"/>
      <c r="W1202" s="35" t="str">
        <f>"-- "&amp;C1202</f>
        <v>-- 医科レセプト_診療行為レコード_算定日情報_結合テーブルから組入れ条件の第一条件で絞り込んだ結果をバックアップ_医科レセプト_診療行為レコード_算定日情報テーブルに格納する。</v>
      </c>
    </row>
    <row r="1204" spans="2:23" ht="18.75" customHeight="1">
      <c r="C1204" s="110" t="s">
        <v>3414</v>
      </c>
      <c r="D1204" s="111"/>
      <c r="E1204" s="116" t="s">
        <v>162</v>
      </c>
      <c r="H1204" s="36"/>
      <c r="I1204" s="36"/>
      <c r="J1204" s="36"/>
      <c r="K1204" s="36"/>
      <c r="L1204" s="36"/>
      <c r="M1204" s="36"/>
      <c r="N1204" s="36"/>
      <c r="O1204" s="36"/>
      <c r="P1204" s="36"/>
      <c r="Q1204" s="36"/>
      <c r="R1204" s="124" t="str">
        <f>"バックアップ_"&amp;SUBSTITUTE(C1204,"_結合","")</f>
        <v>バックアップ_医科レセプト_診療行為レコード_算定日情報</v>
      </c>
      <c r="S1204" s="125"/>
      <c r="T1204" s="114" t="str">
        <f>エンティティ一覧!$O$2</f>
        <v>milscm_2023_009</v>
      </c>
    </row>
    <row r="1205" spans="2:23" ht="18.75" customHeight="1">
      <c r="C1205" s="112"/>
      <c r="D1205" s="113"/>
      <c r="E1205" s="117"/>
      <c r="F1205" s="37"/>
      <c r="G1205" s="38"/>
      <c r="H1205" s="37"/>
      <c r="I1205" s="37"/>
      <c r="J1205" s="37"/>
      <c r="K1205" s="37"/>
      <c r="L1205" s="37"/>
      <c r="M1205" s="37"/>
      <c r="N1205" s="37"/>
      <c r="O1205" s="37"/>
      <c r="P1205" s="37"/>
      <c r="Q1205" s="37"/>
      <c r="R1205" s="126"/>
      <c r="S1205" s="127"/>
      <c r="T1205" s="115"/>
    </row>
    <row r="1206" spans="2:23" ht="18.75" customHeight="1">
      <c r="F1206" s="39"/>
      <c r="G1206" s="40"/>
    </row>
    <row r="1207" spans="2:23" ht="18.75" customHeight="1">
      <c r="C1207" s="110" t="s">
        <v>3185</v>
      </c>
      <c r="D1207" s="111"/>
      <c r="E1207" s="114" t="str">
        <f>エンティティ一覧!$O$2</f>
        <v>milscm_2023_009</v>
      </c>
      <c r="G1207" s="41"/>
    </row>
    <row r="1208" spans="2:23" ht="18.75" customHeight="1">
      <c r="C1208" s="112"/>
      <c r="D1208" s="113"/>
      <c r="E1208" s="115"/>
      <c r="F1208" s="37"/>
    </row>
    <row r="1210" spans="2:23" ht="18.75" customHeight="1" thickBot="1">
      <c r="B1210" s="42"/>
      <c r="C1210" s="42"/>
      <c r="D1210" s="42"/>
      <c r="E1210" s="42"/>
      <c r="F1210" s="42"/>
      <c r="G1210" s="42"/>
      <c r="H1210" s="42"/>
      <c r="I1210" s="42"/>
      <c r="J1210" s="42"/>
      <c r="K1210" s="42"/>
      <c r="L1210" s="42"/>
      <c r="M1210" s="42"/>
      <c r="N1210" s="42"/>
      <c r="O1210" s="42"/>
      <c r="P1210" s="42"/>
      <c r="Q1210" s="42"/>
      <c r="R1210" s="42"/>
      <c r="S1210" s="42"/>
      <c r="T1210" s="42"/>
      <c r="U1210" s="42"/>
    </row>
    <row r="1212" spans="2:23" ht="18.75" customHeight="1">
      <c r="B1212" s="43" t="s">
        <v>163</v>
      </c>
      <c r="C1212" s="51" t="s">
        <v>3415</v>
      </c>
      <c r="D1212" s="88"/>
      <c r="W1212" s="35" t="str">
        <f>"-- "&amp;B1212&amp;" : "&amp;C1212</f>
        <v>-- SQL_ID : 01_C2-09</v>
      </c>
    </row>
    <row r="1213" spans="2:23" ht="18.75" customHeight="1">
      <c r="B1213" s="43" t="s">
        <v>158</v>
      </c>
      <c r="C1213" s="118" t="str">
        <f>R1216&amp;"登録"</f>
        <v>バックアップ_医科レセプト_医薬品レコード登録</v>
      </c>
      <c r="D1213" s="119"/>
      <c r="E1213" s="119"/>
      <c r="F1213" s="119"/>
      <c r="G1213" s="119"/>
      <c r="H1213" s="119"/>
      <c r="I1213" s="119"/>
      <c r="J1213" s="119"/>
      <c r="K1213" s="119"/>
      <c r="L1213" s="119"/>
      <c r="M1213" s="119"/>
      <c r="N1213" s="119"/>
      <c r="O1213" s="119"/>
      <c r="P1213" s="119"/>
      <c r="Q1213" s="119"/>
      <c r="R1213" s="119"/>
      <c r="S1213" s="119"/>
      <c r="T1213" s="119"/>
      <c r="U1213" s="120"/>
      <c r="W1213" s="35" t="str">
        <f>"-- "&amp;C1213</f>
        <v>-- バックアップ_医科レセプト_医薬品レコード登録</v>
      </c>
    </row>
    <row r="1214" spans="2:23" ht="18.75" customHeight="1">
      <c r="B1214" s="43" t="s">
        <v>159</v>
      </c>
      <c r="C1214" s="121" t="str">
        <f>C1216&amp;"テーブルから組入れ条件の第一条件で絞り込んだ結果を"&amp;R1216&amp;"テーブルに格納する。"</f>
        <v>医科レセプト_医薬品レコード_結合テーブルから組入れ条件の第一条件で絞り込んだ結果をバックアップ_医科レセプト_医薬品レコードテーブルに格納する。</v>
      </c>
      <c r="D1214" s="122"/>
      <c r="E1214" s="122"/>
      <c r="F1214" s="122"/>
      <c r="G1214" s="122"/>
      <c r="H1214" s="122"/>
      <c r="I1214" s="122"/>
      <c r="J1214" s="122"/>
      <c r="K1214" s="122"/>
      <c r="L1214" s="122"/>
      <c r="M1214" s="122"/>
      <c r="N1214" s="122"/>
      <c r="O1214" s="122"/>
      <c r="P1214" s="122"/>
      <c r="Q1214" s="122"/>
      <c r="R1214" s="122"/>
      <c r="S1214" s="122"/>
      <c r="T1214" s="122"/>
      <c r="U1214" s="123"/>
      <c r="W1214" s="35" t="str">
        <f>"-- "&amp;C1214</f>
        <v>-- 医科レセプト_医薬品レコード_結合テーブルから組入れ条件の第一条件で絞り込んだ結果をバックアップ_医科レセプト_医薬品レコードテーブルに格納する。</v>
      </c>
    </row>
    <row r="1216" spans="2:23" ht="18.75" customHeight="1">
      <c r="C1216" s="110" t="s">
        <v>3416</v>
      </c>
      <c r="D1216" s="111"/>
      <c r="E1216" s="116" t="s">
        <v>162</v>
      </c>
      <c r="H1216" s="36"/>
      <c r="I1216" s="36"/>
      <c r="J1216" s="36"/>
      <c r="K1216" s="36"/>
      <c r="L1216" s="36"/>
      <c r="M1216" s="36"/>
      <c r="N1216" s="36"/>
      <c r="O1216" s="36"/>
      <c r="P1216" s="36"/>
      <c r="Q1216" s="36"/>
      <c r="R1216" s="110" t="str">
        <f>"バックアップ_"&amp;SUBSTITUTE(C1216,"_結合","")</f>
        <v>バックアップ_医科レセプト_医薬品レコード</v>
      </c>
      <c r="S1216" s="111"/>
      <c r="T1216" s="114" t="str">
        <f>エンティティ一覧!$O$2</f>
        <v>milscm_2023_009</v>
      </c>
    </row>
    <row r="1217" spans="2:23" ht="18.75" customHeight="1">
      <c r="C1217" s="112"/>
      <c r="D1217" s="113"/>
      <c r="E1217" s="117"/>
      <c r="F1217" s="37"/>
      <c r="G1217" s="38"/>
      <c r="H1217" s="37"/>
      <c r="I1217" s="37"/>
      <c r="J1217" s="37"/>
      <c r="K1217" s="37"/>
      <c r="L1217" s="37"/>
      <c r="M1217" s="37"/>
      <c r="N1217" s="37"/>
      <c r="O1217" s="37"/>
      <c r="P1217" s="37"/>
      <c r="Q1217" s="37"/>
      <c r="R1217" s="112"/>
      <c r="S1217" s="113"/>
      <c r="T1217" s="115"/>
    </row>
    <row r="1218" spans="2:23" ht="18.75" customHeight="1">
      <c r="F1218" s="39"/>
      <c r="G1218" s="40"/>
    </row>
    <row r="1219" spans="2:23" ht="18.75" customHeight="1">
      <c r="C1219" s="110" t="s">
        <v>3185</v>
      </c>
      <c r="D1219" s="111"/>
      <c r="E1219" s="114" t="str">
        <f>エンティティ一覧!$O$2</f>
        <v>milscm_2023_009</v>
      </c>
      <c r="G1219" s="41"/>
    </row>
    <row r="1220" spans="2:23" ht="18.75" customHeight="1">
      <c r="C1220" s="112"/>
      <c r="D1220" s="113"/>
      <c r="E1220" s="115"/>
      <c r="F1220" s="37"/>
    </row>
    <row r="1222" spans="2:23" ht="18.75" customHeight="1" thickBot="1">
      <c r="B1222" s="42"/>
      <c r="C1222" s="42"/>
      <c r="D1222" s="42"/>
      <c r="E1222" s="42"/>
      <c r="F1222" s="42"/>
      <c r="G1222" s="42"/>
      <c r="H1222" s="42"/>
      <c r="I1222" s="42"/>
      <c r="J1222" s="42"/>
      <c r="K1222" s="42"/>
      <c r="L1222" s="42"/>
      <c r="M1222" s="42"/>
      <c r="N1222" s="42"/>
      <c r="O1222" s="42"/>
      <c r="P1222" s="42"/>
      <c r="Q1222" s="42"/>
      <c r="R1222" s="42"/>
      <c r="S1222" s="42"/>
      <c r="T1222" s="42"/>
      <c r="U1222" s="42"/>
    </row>
    <row r="1224" spans="2:23" ht="18.75" customHeight="1">
      <c r="B1224" s="43" t="s">
        <v>163</v>
      </c>
      <c r="C1224" s="51" t="s">
        <v>3417</v>
      </c>
      <c r="D1224" s="88"/>
      <c r="W1224" s="35" t="str">
        <f>"-- "&amp;B1224&amp;" : "&amp;C1224</f>
        <v>-- SQL_ID : 01_C2-10</v>
      </c>
    </row>
    <row r="1225" spans="2:23" ht="18.75" customHeight="1">
      <c r="B1225" s="43" t="s">
        <v>158</v>
      </c>
      <c r="C1225" s="118" t="str">
        <f>R1228&amp;"登録"</f>
        <v>バックアップ_医科レセプト_医薬品レコード_算定日情報登録</v>
      </c>
      <c r="D1225" s="119"/>
      <c r="E1225" s="119"/>
      <c r="F1225" s="119"/>
      <c r="G1225" s="119"/>
      <c r="H1225" s="119"/>
      <c r="I1225" s="119"/>
      <c r="J1225" s="119"/>
      <c r="K1225" s="119"/>
      <c r="L1225" s="119"/>
      <c r="M1225" s="119"/>
      <c r="N1225" s="119"/>
      <c r="O1225" s="119"/>
      <c r="P1225" s="119"/>
      <c r="Q1225" s="119"/>
      <c r="R1225" s="119"/>
      <c r="S1225" s="119"/>
      <c r="T1225" s="119"/>
      <c r="U1225" s="120"/>
      <c r="W1225" s="35" t="str">
        <f>"-- "&amp;C1225</f>
        <v>-- バックアップ_医科レセプト_医薬品レコード_算定日情報登録</v>
      </c>
    </row>
    <row r="1226" spans="2:23" ht="18.75" customHeight="1">
      <c r="B1226" s="43" t="s">
        <v>159</v>
      </c>
      <c r="C1226" s="121" t="str">
        <f>C1228&amp;"テーブルから組入れ条件の第一条件で絞り込んだ結果を"&amp;R1228&amp;"テーブルに格納する。"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6" s="122"/>
      <c r="E1226" s="122"/>
      <c r="F1226" s="122"/>
      <c r="G1226" s="122"/>
      <c r="H1226" s="122"/>
      <c r="I1226" s="122"/>
      <c r="J1226" s="122"/>
      <c r="K1226" s="122"/>
      <c r="L1226" s="122"/>
      <c r="M1226" s="122"/>
      <c r="N1226" s="122"/>
      <c r="O1226" s="122"/>
      <c r="P1226" s="122"/>
      <c r="Q1226" s="122"/>
      <c r="R1226" s="122"/>
      <c r="S1226" s="122"/>
      <c r="T1226" s="122"/>
      <c r="U1226" s="123"/>
      <c r="W1226" s="35" t="str">
        <f>"-- "&amp;C1226</f>
        <v>-- 医科レセプト_医薬品レコード_算定日情報_結合テーブルから組入れ条件の第一条件で絞り込んだ結果をバックアップ_医科レセプト_医薬品レコード_算定日情報テーブルに格納する。</v>
      </c>
    </row>
    <row r="1228" spans="2:23" ht="18.75" customHeight="1">
      <c r="C1228" s="110" t="s">
        <v>3418</v>
      </c>
      <c r="D1228" s="111"/>
      <c r="E1228" s="116" t="s">
        <v>162</v>
      </c>
      <c r="H1228" s="36"/>
      <c r="I1228" s="36"/>
      <c r="J1228" s="36"/>
      <c r="K1228" s="36"/>
      <c r="L1228" s="36"/>
      <c r="M1228" s="36"/>
      <c r="N1228" s="36"/>
      <c r="O1228" s="36"/>
      <c r="P1228" s="36"/>
      <c r="Q1228" s="36"/>
      <c r="R1228" s="124" t="str">
        <f>"バックアップ_"&amp;SUBSTITUTE(C1228,"_結合","")</f>
        <v>バックアップ_医科レセプト_医薬品レコード_算定日情報</v>
      </c>
      <c r="S1228" s="125"/>
      <c r="T1228" s="114" t="str">
        <f>エンティティ一覧!$O$2</f>
        <v>milscm_2023_009</v>
      </c>
    </row>
    <row r="1229" spans="2:23" ht="18.75" customHeight="1">
      <c r="C1229" s="112"/>
      <c r="D1229" s="113"/>
      <c r="E1229" s="117"/>
      <c r="F1229" s="37"/>
      <c r="G1229" s="38"/>
      <c r="H1229" s="37"/>
      <c r="I1229" s="37"/>
      <c r="J1229" s="37"/>
      <c r="K1229" s="37"/>
      <c r="L1229" s="37"/>
      <c r="M1229" s="37"/>
      <c r="N1229" s="37"/>
      <c r="O1229" s="37"/>
      <c r="P1229" s="37"/>
      <c r="Q1229" s="37"/>
      <c r="R1229" s="126"/>
      <c r="S1229" s="127"/>
      <c r="T1229" s="115"/>
    </row>
    <row r="1230" spans="2:23" ht="18.75" customHeight="1">
      <c r="F1230" s="39"/>
      <c r="G1230" s="40"/>
    </row>
    <row r="1231" spans="2:23" ht="18.75" customHeight="1">
      <c r="C1231" s="110" t="s">
        <v>3185</v>
      </c>
      <c r="D1231" s="111"/>
      <c r="E1231" s="114" t="str">
        <f>エンティティ一覧!$O$2</f>
        <v>milscm_2023_009</v>
      </c>
      <c r="G1231" s="41"/>
    </row>
    <row r="1232" spans="2:23" ht="18.75" customHeight="1">
      <c r="C1232" s="112"/>
      <c r="D1232" s="113"/>
      <c r="E1232" s="115"/>
      <c r="F1232" s="37"/>
    </row>
    <row r="1234" spans="2:23" ht="18.75" customHeight="1" thickBot="1">
      <c r="B1234" s="42"/>
      <c r="C1234" s="42"/>
      <c r="D1234" s="42"/>
      <c r="E1234" s="42"/>
      <c r="F1234" s="42"/>
      <c r="G1234" s="42"/>
      <c r="H1234" s="42"/>
      <c r="I1234" s="42"/>
      <c r="J1234" s="42"/>
      <c r="K1234" s="42"/>
      <c r="L1234" s="42"/>
      <c r="M1234" s="42"/>
      <c r="N1234" s="42"/>
      <c r="O1234" s="42"/>
      <c r="P1234" s="42"/>
      <c r="Q1234" s="42"/>
      <c r="R1234" s="42"/>
      <c r="S1234" s="42"/>
      <c r="T1234" s="42"/>
      <c r="U1234" s="42"/>
    </row>
    <row r="1236" spans="2:23" ht="18.75" customHeight="1">
      <c r="B1236" s="43" t="s">
        <v>163</v>
      </c>
      <c r="C1236" s="51" t="s">
        <v>3419</v>
      </c>
      <c r="D1236" s="88"/>
      <c r="W1236" s="35" t="str">
        <f>"-- "&amp;B1236&amp;" : "&amp;C1236</f>
        <v>-- SQL_ID : 01_C2-16</v>
      </c>
    </row>
    <row r="1237" spans="2:23" ht="18.75" customHeight="1">
      <c r="B1237" s="43" t="s">
        <v>158</v>
      </c>
      <c r="C1237" s="118" t="str">
        <f>R1240&amp;"登録"</f>
        <v>バックアップ_医科レセプト_臓器提供者レセプト情報レコード登録</v>
      </c>
      <c r="D1237" s="119"/>
      <c r="E1237" s="119"/>
      <c r="F1237" s="119"/>
      <c r="G1237" s="119"/>
      <c r="H1237" s="119"/>
      <c r="I1237" s="119"/>
      <c r="J1237" s="119"/>
      <c r="K1237" s="119"/>
      <c r="L1237" s="119"/>
      <c r="M1237" s="119"/>
      <c r="N1237" s="119"/>
      <c r="O1237" s="119"/>
      <c r="P1237" s="119"/>
      <c r="Q1237" s="119"/>
      <c r="R1237" s="119"/>
      <c r="S1237" s="119"/>
      <c r="T1237" s="119"/>
      <c r="U1237" s="120"/>
      <c r="W1237" s="35" t="str">
        <f>"-- "&amp;C1237</f>
        <v>-- バックアップ_医科レセプト_臓器提供者レセプト情報レコード登録</v>
      </c>
    </row>
    <row r="1238" spans="2:23" ht="18.75" customHeight="1">
      <c r="B1238" s="43" t="s">
        <v>159</v>
      </c>
      <c r="C1238" s="121" t="str">
        <f>C1240&amp;"テーブルから組入れ条件の第一条件で絞り込んだ結果を"&amp;R1240&amp;"テーブルに格納する。"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8" s="122"/>
      <c r="E1238" s="122"/>
      <c r="F1238" s="122"/>
      <c r="G1238" s="122"/>
      <c r="H1238" s="122"/>
      <c r="I1238" s="122"/>
      <c r="J1238" s="122"/>
      <c r="K1238" s="122"/>
      <c r="L1238" s="122"/>
      <c r="M1238" s="122"/>
      <c r="N1238" s="122"/>
      <c r="O1238" s="122"/>
      <c r="P1238" s="122"/>
      <c r="Q1238" s="122"/>
      <c r="R1238" s="122"/>
      <c r="S1238" s="122"/>
      <c r="T1238" s="122"/>
      <c r="U1238" s="123"/>
      <c r="W1238" s="35" t="str">
        <f>"-- "&amp;C1238</f>
        <v>-- 医科レセプト_臓器提供者レセプト情報レコード_結合テーブルから組入れ条件の第一条件で絞り込んだ結果をバックアップ_医科レセプト_臓器提供者レセプト情報レコードテーブルに格納する。</v>
      </c>
    </row>
    <row r="1240" spans="2:23" ht="18.75" customHeight="1">
      <c r="C1240" s="110" t="s">
        <v>3420</v>
      </c>
      <c r="D1240" s="111"/>
      <c r="E1240" s="116" t="s">
        <v>162</v>
      </c>
      <c r="H1240" s="36"/>
      <c r="I1240" s="36"/>
      <c r="J1240" s="36"/>
      <c r="K1240" s="36"/>
      <c r="L1240" s="36"/>
      <c r="M1240" s="36"/>
      <c r="N1240" s="36"/>
      <c r="O1240" s="36"/>
      <c r="P1240" s="36"/>
      <c r="Q1240" s="36"/>
      <c r="R1240" s="128" t="str">
        <f>"バックアップ_"&amp;SUBSTITUTE(C1240,"_結合","")</f>
        <v>バックアップ_医科レセプト_臓器提供者レセプト情報レコード</v>
      </c>
      <c r="S1240" s="129"/>
      <c r="T1240" s="114" t="str">
        <f>エンティティ一覧!$O$2</f>
        <v>milscm_2023_009</v>
      </c>
    </row>
    <row r="1241" spans="2:23" ht="18.75" customHeight="1">
      <c r="C1241" s="112"/>
      <c r="D1241" s="113"/>
      <c r="E1241" s="117"/>
      <c r="F1241" s="37"/>
      <c r="G1241" s="38"/>
      <c r="H1241" s="37"/>
      <c r="I1241" s="37"/>
      <c r="J1241" s="37"/>
      <c r="K1241" s="37"/>
      <c r="L1241" s="37"/>
      <c r="M1241" s="37"/>
      <c r="N1241" s="37"/>
      <c r="O1241" s="37"/>
      <c r="P1241" s="37"/>
      <c r="Q1241" s="37"/>
      <c r="R1241" s="130"/>
      <c r="S1241" s="131"/>
      <c r="T1241" s="115"/>
    </row>
    <row r="1242" spans="2:23" ht="18.75" customHeight="1">
      <c r="F1242" s="39"/>
      <c r="G1242" s="40"/>
    </row>
    <row r="1243" spans="2:23" ht="18.75" customHeight="1">
      <c r="C1243" s="110" t="s">
        <v>3185</v>
      </c>
      <c r="D1243" s="111"/>
      <c r="E1243" s="114" t="str">
        <f>エンティティ一覧!$O$2</f>
        <v>milscm_2023_009</v>
      </c>
      <c r="G1243" s="41"/>
    </row>
    <row r="1244" spans="2:23" ht="18.75" customHeight="1">
      <c r="C1244" s="112"/>
      <c r="D1244" s="113"/>
      <c r="E1244" s="115"/>
      <c r="F1244" s="37"/>
    </row>
    <row r="1246" spans="2:23" ht="18.75" customHeight="1" thickBot="1">
      <c r="B1246" s="42"/>
      <c r="C1246" s="42"/>
      <c r="D1246" s="42"/>
      <c r="E1246" s="42"/>
      <c r="F1246" s="42"/>
      <c r="G1246" s="42"/>
      <c r="H1246" s="42"/>
      <c r="I1246" s="42"/>
      <c r="J1246" s="42"/>
      <c r="K1246" s="42"/>
      <c r="L1246" s="42"/>
      <c r="M1246" s="42"/>
      <c r="N1246" s="42"/>
      <c r="O1246" s="42"/>
      <c r="P1246" s="42"/>
      <c r="Q1246" s="42"/>
      <c r="R1246" s="42"/>
      <c r="S1246" s="42"/>
      <c r="T1246" s="42"/>
      <c r="U1246" s="42"/>
    </row>
    <row r="1248" spans="2:23" ht="18.75" customHeight="1">
      <c r="B1248" s="43" t="s">
        <v>163</v>
      </c>
      <c r="C1248" s="51" t="s">
        <v>3421</v>
      </c>
      <c r="D1248" s="88"/>
      <c r="W1248" s="35" t="str">
        <f>"-- "&amp;B1248&amp;" : "&amp;C1248</f>
        <v>-- SQL_ID : 01_C3-01</v>
      </c>
    </row>
    <row r="1249" spans="2:23" ht="18.75" customHeight="1">
      <c r="B1249" s="43" t="s">
        <v>158</v>
      </c>
      <c r="C1249" s="118" t="str">
        <f>R1252&amp;"登録"</f>
        <v>バックアップ_DPCレセプト_医療機関情報レコード登録</v>
      </c>
      <c r="D1249" s="119"/>
      <c r="E1249" s="119"/>
      <c r="F1249" s="119"/>
      <c r="G1249" s="119"/>
      <c r="H1249" s="119"/>
      <c r="I1249" s="119"/>
      <c r="J1249" s="119"/>
      <c r="K1249" s="119"/>
      <c r="L1249" s="119"/>
      <c r="M1249" s="119"/>
      <c r="N1249" s="119"/>
      <c r="O1249" s="119"/>
      <c r="P1249" s="119"/>
      <c r="Q1249" s="119"/>
      <c r="R1249" s="119"/>
      <c r="S1249" s="119"/>
      <c r="T1249" s="119"/>
      <c r="U1249" s="120"/>
      <c r="W1249" s="35" t="str">
        <f>"-- "&amp;C1249</f>
        <v>-- バックアップ_DPCレセプト_医療機関情報レコード登録</v>
      </c>
    </row>
    <row r="1250" spans="2:23" ht="18.75" customHeight="1">
      <c r="B1250" s="43" t="s">
        <v>159</v>
      </c>
      <c r="C1250" s="121" t="str">
        <f>C1252&amp;"テーブルから組入れ条件の第一条件で絞り込んだ結果を"&amp;R1252&amp;"テーブルに格納する。"</f>
        <v>DPCレセプト_医療機関情報レコード_結合テーブルから組入れ条件の第一条件で絞り込んだ結果をバックアップ_DPCレセプト_医療機関情報レコードテーブルに格納する。</v>
      </c>
      <c r="D1250" s="122"/>
      <c r="E1250" s="122"/>
      <c r="F1250" s="122"/>
      <c r="G1250" s="122"/>
      <c r="H1250" s="122"/>
      <c r="I1250" s="122"/>
      <c r="J1250" s="122"/>
      <c r="K1250" s="122"/>
      <c r="L1250" s="122"/>
      <c r="M1250" s="122"/>
      <c r="N1250" s="122"/>
      <c r="O1250" s="122"/>
      <c r="P1250" s="122"/>
      <c r="Q1250" s="122"/>
      <c r="R1250" s="122"/>
      <c r="S1250" s="122"/>
      <c r="T1250" s="122"/>
      <c r="U1250" s="123"/>
      <c r="W1250" s="35" t="str">
        <f>"-- "&amp;C1250</f>
        <v>-- DPCレセプト_医療機関情報レコード_結合テーブルから組入れ条件の第一条件で絞り込んだ結果をバックアップ_DPCレセプト_医療機関情報レコードテーブルに格納する。</v>
      </c>
    </row>
    <row r="1252" spans="2:23" ht="18.75" customHeight="1">
      <c r="C1252" s="110" t="s">
        <v>3422</v>
      </c>
      <c r="D1252" s="111"/>
      <c r="E1252" s="116" t="s">
        <v>162</v>
      </c>
      <c r="H1252" s="36"/>
      <c r="I1252" s="36"/>
      <c r="J1252" s="36"/>
      <c r="K1252" s="36"/>
      <c r="L1252" s="36"/>
      <c r="M1252" s="36"/>
      <c r="N1252" s="36"/>
      <c r="O1252" s="36"/>
      <c r="P1252" s="36"/>
      <c r="Q1252" s="36"/>
      <c r="R1252" s="110" t="str">
        <f>"バックアップ_"&amp;SUBSTITUTE(C1252,"_結合","")</f>
        <v>バックアップ_DPCレセプト_医療機関情報レコード</v>
      </c>
      <c r="S1252" s="111"/>
      <c r="T1252" s="114" t="str">
        <f>エンティティ一覧!$O$2</f>
        <v>milscm_2023_009</v>
      </c>
    </row>
    <row r="1253" spans="2:23" ht="18.75" customHeight="1">
      <c r="C1253" s="112"/>
      <c r="D1253" s="113"/>
      <c r="E1253" s="117"/>
      <c r="F1253" s="37"/>
      <c r="G1253" s="38"/>
      <c r="H1253" s="37"/>
      <c r="I1253" s="37"/>
      <c r="J1253" s="37"/>
      <c r="K1253" s="37"/>
      <c r="L1253" s="37"/>
      <c r="M1253" s="37"/>
      <c r="N1253" s="37"/>
      <c r="O1253" s="37"/>
      <c r="P1253" s="37"/>
      <c r="Q1253" s="37"/>
      <c r="R1253" s="112"/>
      <c r="S1253" s="113"/>
      <c r="T1253" s="115"/>
    </row>
    <row r="1254" spans="2:23" ht="18.75" customHeight="1">
      <c r="F1254" s="39"/>
      <c r="G1254" s="40"/>
    </row>
    <row r="1255" spans="2:23" ht="18.75" customHeight="1">
      <c r="C1255" s="110" t="s">
        <v>3185</v>
      </c>
      <c r="D1255" s="111"/>
      <c r="E1255" s="114" t="str">
        <f>エンティティ一覧!$O$2</f>
        <v>milscm_2023_009</v>
      </c>
      <c r="G1255" s="41"/>
    </row>
    <row r="1256" spans="2:23" ht="18.75" customHeight="1">
      <c r="C1256" s="112"/>
      <c r="D1256" s="113"/>
      <c r="E1256" s="115"/>
      <c r="F1256" s="37"/>
    </row>
    <row r="1258" spans="2:23" ht="18.75" customHeight="1" thickBot="1">
      <c r="B1258" s="42"/>
      <c r="C1258" s="42"/>
      <c r="D1258" s="42"/>
      <c r="E1258" s="42"/>
      <c r="F1258" s="42"/>
      <c r="G1258" s="42"/>
      <c r="H1258" s="42"/>
      <c r="I1258" s="42"/>
      <c r="J1258" s="42"/>
      <c r="K1258" s="42"/>
      <c r="L1258" s="42"/>
      <c r="M1258" s="42"/>
      <c r="N1258" s="42"/>
      <c r="O1258" s="42"/>
      <c r="P1258" s="42"/>
      <c r="Q1258" s="42"/>
      <c r="R1258" s="42"/>
      <c r="S1258" s="42"/>
      <c r="T1258" s="42"/>
      <c r="U1258" s="42"/>
    </row>
    <row r="1260" spans="2:23" ht="18.75" customHeight="1">
      <c r="B1260" s="43" t="s">
        <v>163</v>
      </c>
      <c r="C1260" s="51" t="s">
        <v>3423</v>
      </c>
      <c r="D1260" s="88"/>
      <c r="W1260" s="35" t="str">
        <f>"-- "&amp;B1260&amp;" : "&amp;C1260</f>
        <v>-- SQL_ID : 01_C3-02</v>
      </c>
    </row>
    <row r="1261" spans="2:23" ht="18.75" customHeight="1">
      <c r="B1261" s="43" t="s">
        <v>158</v>
      </c>
      <c r="C1261" s="118" t="str">
        <f>R1264&amp;"登録"</f>
        <v>バックアップ_DPCレセプト_レセプト共通レコード登録</v>
      </c>
      <c r="D1261" s="119"/>
      <c r="E1261" s="119"/>
      <c r="F1261" s="119"/>
      <c r="G1261" s="119"/>
      <c r="H1261" s="119"/>
      <c r="I1261" s="119"/>
      <c r="J1261" s="119"/>
      <c r="K1261" s="119"/>
      <c r="L1261" s="119"/>
      <c r="M1261" s="119"/>
      <c r="N1261" s="119"/>
      <c r="O1261" s="119"/>
      <c r="P1261" s="119"/>
      <c r="Q1261" s="119"/>
      <c r="R1261" s="119"/>
      <c r="S1261" s="119"/>
      <c r="T1261" s="119"/>
      <c r="U1261" s="120"/>
      <c r="W1261" s="35" t="str">
        <f>"-- "&amp;C1261</f>
        <v>-- バックアップ_DPCレセプト_レセプト共通レコード登録</v>
      </c>
    </row>
    <row r="1262" spans="2:23" ht="18.75" customHeight="1">
      <c r="B1262" s="43" t="s">
        <v>159</v>
      </c>
      <c r="C1262" s="121" t="str">
        <f>C1264&amp;"テーブルから組入れ条件の第一条件で絞り込んだ結果を"&amp;R1264&amp;"テーブルに格納する。"</f>
        <v>DPCレセプト_レセプト共通レコード_結合テーブルから組入れ条件の第一条件で絞り込んだ結果をバックアップ_DPCレセプト_レセプト共通レコードテーブルに格納する。</v>
      </c>
      <c r="D1262" s="122"/>
      <c r="E1262" s="122"/>
      <c r="F1262" s="122"/>
      <c r="G1262" s="122"/>
      <c r="H1262" s="122"/>
      <c r="I1262" s="122"/>
      <c r="J1262" s="122"/>
      <c r="K1262" s="122"/>
      <c r="L1262" s="122"/>
      <c r="M1262" s="122"/>
      <c r="N1262" s="122"/>
      <c r="O1262" s="122"/>
      <c r="P1262" s="122"/>
      <c r="Q1262" s="122"/>
      <c r="R1262" s="122"/>
      <c r="S1262" s="122"/>
      <c r="T1262" s="122"/>
      <c r="U1262" s="123"/>
      <c r="W1262" s="35" t="str">
        <f>"-- "&amp;C1262</f>
        <v>-- DPCレセプト_レセプト共通レコード_結合テーブルから組入れ条件の第一条件で絞り込んだ結果をバックアップ_DPCレセプト_レセプト共通レコードテーブルに格納する。</v>
      </c>
    </row>
    <row r="1264" spans="2:23" ht="18.75" customHeight="1">
      <c r="C1264" s="110" t="s">
        <v>3424</v>
      </c>
      <c r="D1264" s="111"/>
      <c r="E1264" s="116" t="s">
        <v>162</v>
      </c>
      <c r="H1264" s="36"/>
      <c r="I1264" s="36"/>
      <c r="J1264" s="36"/>
      <c r="K1264" s="36"/>
      <c r="L1264" s="36"/>
      <c r="M1264" s="36"/>
      <c r="N1264" s="36"/>
      <c r="O1264" s="36"/>
      <c r="P1264" s="36"/>
      <c r="Q1264" s="36"/>
      <c r="R1264" s="110" t="str">
        <f>"バックアップ_"&amp;SUBSTITUTE(C1264,"_結合","")</f>
        <v>バックアップ_DPCレセプト_レセプト共通レコード</v>
      </c>
      <c r="S1264" s="111"/>
      <c r="T1264" s="114" t="str">
        <f>エンティティ一覧!$O$2</f>
        <v>milscm_2023_009</v>
      </c>
    </row>
    <row r="1265" spans="2:23" ht="18.75" customHeight="1">
      <c r="C1265" s="112"/>
      <c r="D1265" s="113"/>
      <c r="E1265" s="117"/>
      <c r="F1265" s="37"/>
      <c r="G1265" s="38"/>
      <c r="H1265" s="37"/>
      <c r="I1265" s="37"/>
      <c r="J1265" s="37"/>
      <c r="K1265" s="37"/>
      <c r="L1265" s="37"/>
      <c r="M1265" s="37"/>
      <c r="N1265" s="37"/>
      <c r="O1265" s="37"/>
      <c r="P1265" s="37"/>
      <c r="Q1265" s="37"/>
      <c r="R1265" s="112"/>
      <c r="S1265" s="113"/>
      <c r="T1265" s="115"/>
    </row>
    <row r="1266" spans="2:23" ht="18.75" customHeight="1">
      <c r="F1266" s="39"/>
      <c r="G1266" s="40"/>
    </row>
    <row r="1267" spans="2:23" ht="18.75" customHeight="1">
      <c r="C1267" s="110" t="s">
        <v>3185</v>
      </c>
      <c r="D1267" s="111"/>
      <c r="E1267" s="114" t="str">
        <f>エンティティ一覧!$O$2</f>
        <v>milscm_2023_009</v>
      </c>
      <c r="G1267" s="41"/>
    </row>
    <row r="1268" spans="2:23" ht="18.75" customHeight="1">
      <c r="C1268" s="112"/>
      <c r="D1268" s="113"/>
      <c r="E1268" s="115"/>
      <c r="F1268" s="37"/>
    </row>
    <row r="1270" spans="2:23" ht="18.75" customHeight="1" thickBot="1">
      <c r="B1270" s="42"/>
      <c r="C1270" s="42"/>
      <c r="D1270" s="42"/>
      <c r="E1270" s="42"/>
      <c r="F1270" s="42"/>
      <c r="G1270" s="42"/>
      <c r="H1270" s="42"/>
      <c r="I1270" s="42"/>
      <c r="J1270" s="42"/>
      <c r="K1270" s="42"/>
      <c r="L1270" s="42"/>
      <c r="M1270" s="42"/>
      <c r="N1270" s="42"/>
      <c r="O1270" s="42"/>
      <c r="P1270" s="42"/>
      <c r="Q1270" s="42"/>
      <c r="R1270" s="42"/>
      <c r="S1270" s="42"/>
      <c r="T1270" s="42"/>
      <c r="U1270" s="42"/>
    </row>
    <row r="1272" spans="2:23" ht="18.75" customHeight="1">
      <c r="B1272" s="43" t="s">
        <v>163</v>
      </c>
      <c r="C1272" s="51" t="s">
        <v>3425</v>
      </c>
      <c r="D1272" s="88"/>
      <c r="W1272" s="35" t="str">
        <f>"-- "&amp;B1272&amp;" : "&amp;C1272</f>
        <v>-- SQL_ID : 01_C3-08</v>
      </c>
    </row>
    <row r="1273" spans="2:23" ht="18.75" customHeight="1">
      <c r="B1273" s="43" t="s">
        <v>158</v>
      </c>
      <c r="C1273" s="118" t="str">
        <f>R1276&amp;"登録"</f>
        <v>バックアップ_DPCレセプト_診断群分類レコード登録</v>
      </c>
      <c r="D1273" s="119"/>
      <c r="E1273" s="119"/>
      <c r="F1273" s="119"/>
      <c r="G1273" s="119"/>
      <c r="H1273" s="119"/>
      <c r="I1273" s="119"/>
      <c r="J1273" s="119"/>
      <c r="K1273" s="119"/>
      <c r="L1273" s="119"/>
      <c r="M1273" s="119"/>
      <c r="N1273" s="119"/>
      <c r="O1273" s="119"/>
      <c r="P1273" s="119"/>
      <c r="Q1273" s="119"/>
      <c r="R1273" s="119"/>
      <c r="S1273" s="119"/>
      <c r="T1273" s="119"/>
      <c r="U1273" s="120"/>
      <c r="W1273" s="35" t="str">
        <f>"-- "&amp;C1273</f>
        <v>-- バックアップ_DPCレセプト_診断群分類レコード登録</v>
      </c>
    </row>
    <row r="1274" spans="2:23" ht="18.75" customHeight="1">
      <c r="B1274" s="43" t="s">
        <v>159</v>
      </c>
      <c r="C1274" s="121" t="str">
        <f>C1276&amp;"テーブルから組入れ条件の第一条件で絞り込んだ結果を"&amp;R1276&amp;"テーブルに格納する。"</f>
        <v>DPCレセプト_診断群分類レコード_結合テーブルから組入れ条件の第一条件で絞り込んだ結果をバックアップ_DPCレセプト_診断群分類レコードテーブルに格納する。</v>
      </c>
      <c r="D1274" s="122"/>
      <c r="E1274" s="122"/>
      <c r="F1274" s="122"/>
      <c r="G1274" s="122"/>
      <c r="H1274" s="122"/>
      <c r="I1274" s="122"/>
      <c r="J1274" s="122"/>
      <c r="K1274" s="122"/>
      <c r="L1274" s="122"/>
      <c r="M1274" s="122"/>
      <c r="N1274" s="122"/>
      <c r="O1274" s="122"/>
      <c r="P1274" s="122"/>
      <c r="Q1274" s="122"/>
      <c r="R1274" s="122"/>
      <c r="S1274" s="122"/>
      <c r="T1274" s="122"/>
      <c r="U1274" s="123"/>
      <c r="W1274" s="35" t="str">
        <f>"-- "&amp;C1274</f>
        <v>-- DPCレセプト_診断群分類レコード_結合テーブルから組入れ条件の第一条件で絞り込んだ結果をバックアップ_DPCレセプト_診断群分類レコードテーブルに格納する。</v>
      </c>
    </row>
    <row r="1276" spans="2:23" ht="18.75" customHeight="1">
      <c r="C1276" s="110" t="s">
        <v>3426</v>
      </c>
      <c r="D1276" s="111"/>
      <c r="E1276" s="116" t="s">
        <v>162</v>
      </c>
      <c r="H1276" s="36"/>
      <c r="I1276" s="36"/>
      <c r="J1276" s="36"/>
      <c r="K1276" s="36"/>
      <c r="L1276" s="36"/>
      <c r="M1276" s="36"/>
      <c r="N1276" s="36"/>
      <c r="O1276" s="36"/>
      <c r="P1276" s="36"/>
      <c r="Q1276" s="36"/>
      <c r="R1276" s="110" t="str">
        <f>"バックアップ_"&amp;SUBSTITUTE(C1276,"_結合","")</f>
        <v>バックアップ_DPCレセプト_診断群分類レコード</v>
      </c>
      <c r="S1276" s="111"/>
      <c r="T1276" s="114" t="str">
        <f>エンティティ一覧!$O$2</f>
        <v>milscm_2023_009</v>
      </c>
    </row>
    <row r="1277" spans="2:23" ht="18.75" customHeight="1">
      <c r="C1277" s="112"/>
      <c r="D1277" s="113"/>
      <c r="E1277" s="117"/>
      <c r="F1277" s="37"/>
      <c r="G1277" s="38"/>
      <c r="H1277" s="37"/>
      <c r="I1277" s="37"/>
      <c r="J1277" s="37"/>
      <c r="K1277" s="37"/>
      <c r="L1277" s="37"/>
      <c r="M1277" s="37"/>
      <c r="N1277" s="37"/>
      <c r="O1277" s="37"/>
      <c r="P1277" s="37"/>
      <c r="Q1277" s="37"/>
      <c r="R1277" s="112"/>
      <c r="S1277" s="113"/>
      <c r="T1277" s="115"/>
    </row>
    <row r="1278" spans="2:23" ht="18.75" customHeight="1">
      <c r="F1278" s="39"/>
      <c r="G1278" s="40"/>
    </row>
    <row r="1279" spans="2:23" ht="18.75" customHeight="1">
      <c r="C1279" s="110" t="s">
        <v>3185</v>
      </c>
      <c r="D1279" s="111"/>
      <c r="E1279" s="114" t="str">
        <f>エンティティ一覧!$O$2</f>
        <v>milscm_2023_009</v>
      </c>
      <c r="G1279" s="41"/>
    </row>
    <row r="1280" spans="2:23" ht="18.75" customHeight="1">
      <c r="C1280" s="112"/>
      <c r="D1280" s="113"/>
      <c r="E1280" s="115"/>
      <c r="F1280" s="37"/>
    </row>
    <row r="1282" spans="2:23" ht="18.75" customHeight="1" thickBot="1">
      <c r="B1282" s="42"/>
      <c r="C1282" s="42"/>
      <c r="D1282" s="42"/>
      <c r="E1282" s="42"/>
      <c r="F1282" s="42"/>
      <c r="G1282" s="42"/>
      <c r="H1282" s="42"/>
      <c r="I1282" s="42"/>
      <c r="J1282" s="42"/>
      <c r="K1282" s="42"/>
      <c r="L1282" s="42"/>
      <c r="M1282" s="42"/>
      <c r="N1282" s="42"/>
      <c r="O1282" s="42"/>
      <c r="P1282" s="42"/>
      <c r="Q1282" s="42"/>
      <c r="R1282" s="42"/>
      <c r="S1282" s="42"/>
      <c r="T1282" s="42"/>
      <c r="U1282" s="42"/>
    </row>
    <row r="1284" spans="2:23" ht="18.75" customHeight="1">
      <c r="B1284" s="43" t="s">
        <v>163</v>
      </c>
      <c r="C1284" s="51" t="s">
        <v>3427</v>
      </c>
      <c r="D1284" s="88"/>
      <c r="W1284" s="35" t="str">
        <f>"-- "&amp;B1284&amp;" : "&amp;C1284</f>
        <v>-- SQL_ID : 01_C3-09</v>
      </c>
    </row>
    <row r="1285" spans="2:23" ht="18.75" customHeight="1">
      <c r="B1285" s="43" t="s">
        <v>158</v>
      </c>
      <c r="C1285" s="118" t="str">
        <f>R1288&amp;"登録"</f>
        <v>バックアップ_DPCレセプト_傷病レコード登録</v>
      </c>
      <c r="D1285" s="119"/>
      <c r="E1285" s="119"/>
      <c r="F1285" s="119"/>
      <c r="G1285" s="119"/>
      <c r="H1285" s="119"/>
      <c r="I1285" s="119"/>
      <c r="J1285" s="119"/>
      <c r="K1285" s="119"/>
      <c r="L1285" s="119"/>
      <c r="M1285" s="119"/>
      <c r="N1285" s="119"/>
      <c r="O1285" s="119"/>
      <c r="P1285" s="119"/>
      <c r="Q1285" s="119"/>
      <c r="R1285" s="119"/>
      <c r="S1285" s="119"/>
      <c r="T1285" s="119"/>
      <c r="U1285" s="120"/>
      <c r="W1285" s="35" t="str">
        <f>"-- "&amp;C1285</f>
        <v>-- バックアップ_DPCレセプト_傷病レコード登録</v>
      </c>
    </row>
    <row r="1286" spans="2:23" ht="18.75" customHeight="1">
      <c r="B1286" s="43" t="s">
        <v>159</v>
      </c>
      <c r="C1286" s="121" t="str">
        <f>C1288&amp;"テーブルから組入れ条件の第一条件で絞り込んだ結果を"&amp;R1288&amp;"テーブルに格納する。"</f>
        <v>DPCレセプト_傷病レコード_結合テーブルから組入れ条件の第一条件で絞り込んだ結果をバックアップ_DPCレセプト_傷病レコードテーブルに格納する。</v>
      </c>
      <c r="D1286" s="122"/>
      <c r="E1286" s="122"/>
      <c r="F1286" s="122"/>
      <c r="G1286" s="122"/>
      <c r="H1286" s="122"/>
      <c r="I1286" s="122"/>
      <c r="J1286" s="122"/>
      <c r="K1286" s="122"/>
      <c r="L1286" s="122"/>
      <c r="M1286" s="122"/>
      <c r="N1286" s="122"/>
      <c r="O1286" s="122"/>
      <c r="P1286" s="122"/>
      <c r="Q1286" s="122"/>
      <c r="R1286" s="122"/>
      <c r="S1286" s="122"/>
      <c r="T1286" s="122"/>
      <c r="U1286" s="123"/>
      <c r="W1286" s="35" t="str">
        <f>"-- "&amp;C1286</f>
        <v>-- DPCレセプト_傷病レコード_結合テーブルから組入れ条件の第一条件で絞り込んだ結果をバックアップ_DPCレセプト_傷病レコードテーブルに格納する。</v>
      </c>
    </row>
    <row r="1288" spans="2:23" ht="18.75" customHeight="1">
      <c r="C1288" s="110" t="s">
        <v>3428</v>
      </c>
      <c r="D1288" s="111"/>
      <c r="E1288" s="116" t="s">
        <v>162</v>
      </c>
      <c r="H1288" s="36"/>
      <c r="I1288" s="36"/>
      <c r="J1288" s="36"/>
      <c r="K1288" s="36"/>
      <c r="L1288" s="36"/>
      <c r="M1288" s="36"/>
      <c r="N1288" s="36"/>
      <c r="O1288" s="36"/>
      <c r="P1288" s="36"/>
      <c r="Q1288" s="36"/>
      <c r="R1288" s="110" t="str">
        <f>"バックアップ_"&amp;SUBSTITUTE(C1288,"_結合","")</f>
        <v>バックアップ_DPCレセプト_傷病レコード</v>
      </c>
      <c r="S1288" s="111"/>
      <c r="T1288" s="114" t="str">
        <f>エンティティ一覧!$O$2</f>
        <v>milscm_2023_009</v>
      </c>
    </row>
    <row r="1289" spans="2:23" ht="18.75" customHeight="1">
      <c r="C1289" s="112"/>
      <c r="D1289" s="113"/>
      <c r="E1289" s="117"/>
      <c r="F1289" s="37"/>
      <c r="G1289" s="38"/>
      <c r="H1289" s="37"/>
      <c r="I1289" s="37"/>
      <c r="J1289" s="37"/>
      <c r="K1289" s="37"/>
      <c r="L1289" s="37"/>
      <c r="M1289" s="37"/>
      <c r="N1289" s="37"/>
      <c r="O1289" s="37"/>
      <c r="P1289" s="37"/>
      <c r="Q1289" s="37"/>
      <c r="R1289" s="112"/>
      <c r="S1289" s="113"/>
      <c r="T1289" s="115"/>
    </row>
    <row r="1290" spans="2:23" ht="18.75" customHeight="1">
      <c r="F1290" s="39"/>
      <c r="G1290" s="40"/>
    </row>
    <row r="1291" spans="2:23" ht="18.75" customHeight="1">
      <c r="C1291" s="110" t="s">
        <v>3185</v>
      </c>
      <c r="D1291" s="111"/>
      <c r="E1291" s="114" t="str">
        <f>エンティティ一覧!$O$2</f>
        <v>milscm_2023_009</v>
      </c>
      <c r="G1291" s="41"/>
    </row>
    <row r="1292" spans="2:23" ht="18.75" customHeight="1">
      <c r="C1292" s="112"/>
      <c r="D1292" s="113"/>
      <c r="E1292" s="115"/>
      <c r="F1292" s="37"/>
    </row>
    <row r="1294" spans="2:23" ht="18.75" customHeight="1" thickBot="1">
      <c r="B1294" s="42"/>
      <c r="C1294" s="42"/>
      <c r="D1294" s="42"/>
      <c r="E1294" s="42"/>
      <c r="F1294" s="42"/>
      <c r="G1294" s="42"/>
      <c r="H1294" s="42"/>
      <c r="I1294" s="42"/>
      <c r="J1294" s="42"/>
      <c r="K1294" s="42"/>
      <c r="L1294" s="42"/>
      <c r="M1294" s="42"/>
      <c r="N1294" s="42"/>
      <c r="O1294" s="42"/>
      <c r="P1294" s="42"/>
      <c r="Q1294" s="42"/>
      <c r="R1294" s="42"/>
      <c r="S1294" s="42"/>
      <c r="T1294" s="42"/>
      <c r="U1294" s="42"/>
    </row>
    <row r="1296" spans="2:23" ht="18.75" customHeight="1">
      <c r="B1296" s="43" t="s">
        <v>163</v>
      </c>
      <c r="C1296" s="51" t="s">
        <v>3429</v>
      </c>
      <c r="D1296" s="88"/>
      <c r="W1296" s="35" t="str">
        <f>"-- "&amp;B1296&amp;" : "&amp;C1296</f>
        <v>-- SQL_ID : 01_C3-10</v>
      </c>
    </row>
    <row r="1297" spans="2:23" ht="18.75" customHeight="1">
      <c r="B1297" s="43" t="s">
        <v>158</v>
      </c>
      <c r="C1297" s="118" t="str">
        <f>R1300&amp;"登録"</f>
        <v>バックアップ_DPCレセプト_傷病名レコード登録</v>
      </c>
      <c r="D1297" s="119"/>
      <c r="E1297" s="119"/>
      <c r="F1297" s="119"/>
      <c r="G1297" s="119"/>
      <c r="H1297" s="119"/>
      <c r="I1297" s="119"/>
      <c r="J1297" s="119"/>
      <c r="K1297" s="119"/>
      <c r="L1297" s="119"/>
      <c r="M1297" s="119"/>
      <c r="N1297" s="119"/>
      <c r="O1297" s="119"/>
      <c r="P1297" s="119"/>
      <c r="Q1297" s="119"/>
      <c r="R1297" s="119"/>
      <c r="S1297" s="119"/>
      <c r="T1297" s="119"/>
      <c r="U1297" s="120"/>
      <c r="W1297" s="35" t="str">
        <f>"-- "&amp;C1297</f>
        <v>-- バックアップ_DPCレセプト_傷病名レコード登録</v>
      </c>
    </row>
    <row r="1298" spans="2:23" ht="18.75" customHeight="1">
      <c r="B1298" s="43" t="s">
        <v>159</v>
      </c>
      <c r="C1298" s="121" t="str">
        <f>C1300&amp;"テーブルから組入れ条件の第一条件で絞り込んだ結果を"&amp;R1300&amp;"テーブルに格納する。"</f>
        <v>DPCレセプト_傷病名レコード_結合テーブルから組入れ条件の第一条件で絞り込んだ結果をバックアップ_DPCレセプト_傷病名レコードテーブルに格納する。</v>
      </c>
      <c r="D1298" s="122"/>
      <c r="E1298" s="122"/>
      <c r="F1298" s="122"/>
      <c r="G1298" s="122"/>
      <c r="H1298" s="122"/>
      <c r="I1298" s="122"/>
      <c r="J1298" s="122"/>
      <c r="K1298" s="122"/>
      <c r="L1298" s="122"/>
      <c r="M1298" s="122"/>
      <c r="N1298" s="122"/>
      <c r="O1298" s="122"/>
      <c r="P1298" s="122"/>
      <c r="Q1298" s="122"/>
      <c r="R1298" s="122"/>
      <c r="S1298" s="122"/>
      <c r="T1298" s="122"/>
      <c r="U1298" s="123"/>
      <c r="W1298" s="35" t="str">
        <f>"-- "&amp;C1298</f>
        <v>-- DPCレセプト_傷病名レコード_結合テーブルから組入れ条件の第一条件で絞り込んだ結果をバックアップ_DPCレセプト_傷病名レコードテーブルに格納する。</v>
      </c>
    </row>
    <row r="1300" spans="2:23" ht="18.75" customHeight="1">
      <c r="C1300" s="110" t="s">
        <v>3430</v>
      </c>
      <c r="D1300" s="111"/>
      <c r="E1300" s="116" t="s">
        <v>162</v>
      </c>
      <c r="H1300" s="36"/>
      <c r="I1300" s="36"/>
      <c r="J1300" s="36"/>
      <c r="K1300" s="36"/>
      <c r="L1300" s="36"/>
      <c r="M1300" s="36"/>
      <c r="N1300" s="36"/>
      <c r="O1300" s="36"/>
      <c r="P1300" s="36"/>
      <c r="Q1300" s="36"/>
      <c r="R1300" s="110" t="str">
        <f>"バックアップ_"&amp;SUBSTITUTE(C1300,"_結合","")</f>
        <v>バックアップ_DPCレセプト_傷病名レコード</v>
      </c>
      <c r="S1300" s="111"/>
      <c r="T1300" s="114" t="str">
        <f>エンティティ一覧!$O$2</f>
        <v>milscm_2023_009</v>
      </c>
    </row>
    <row r="1301" spans="2:23" ht="18.75" customHeight="1">
      <c r="C1301" s="112"/>
      <c r="D1301" s="113"/>
      <c r="E1301" s="117"/>
      <c r="F1301" s="37"/>
      <c r="G1301" s="38"/>
      <c r="H1301" s="37"/>
      <c r="I1301" s="37"/>
      <c r="J1301" s="37"/>
      <c r="K1301" s="37"/>
      <c r="L1301" s="37"/>
      <c r="M1301" s="37"/>
      <c r="N1301" s="37"/>
      <c r="O1301" s="37"/>
      <c r="P1301" s="37"/>
      <c r="Q1301" s="37"/>
      <c r="R1301" s="112"/>
      <c r="S1301" s="113"/>
      <c r="T1301" s="115"/>
    </row>
    <row r="1302" spans="2:23" ht="18.75" customHeight="1">
      <c r="F1302" s="39"/>
      <c r="G1302" s="40"/>
    </row>
    <row r="1303" spans="2:23" ht="18.75" customHeight="1">
      <c r="C1303" s="110" t="s">
        <v>3185</v>
      </c>
      <c r="D1303" s="111"/>
      <c r="E1303" s="114" t="str">
        <f>エンティティ一覧!$O$2</f>
        <v>milscm_2023_009</v>
      </c>
      <c r="G1303" s="41"/>
    </row>
    <row r="1304" spans="2:23" ht="18.75" customHeight="1">
      <c r="C1304" s="112"/>
      <c r="D1304" s="113"/>
      <c r="E1304" s="115"/>
      <c r="F1304" s="37"/>
    </row>
    <row r="1306" spans="2:23" ht="18.75" customHeight="1" thickBot="1">
      <c r="B1306" s="42"/>
      <c r="C1306" s="42"/>
      <c r="D1306" s="42"/>
      <c r="E1306" s="42"/>
      <c r="F1306" s="42"/>
      <c r="G1306" s="42"/>
      <c r="H1306" s="42"/>
      <c r="I1306" s="42"/>
      <c r="J1306" s="42"/>
      <c r="K1306" s="42"/>
      <c r="L1306" s="42"/>
      <c r="M1306" s="42"/>
      <c r="N1306" s="42"/>
      <c r="O1306" s="42"/>
      <c r="P1306" s="42"/>
      <c r="Q1306" s="42"/>
      <c r="R1306" s="42"/>
      <c r="S1306" s="42"/>
      <c r="T1306" s="42"/>
      <c r="U1306" s="42"/>
    </row>
    <row r="1308" spans="2:23" ht="18.75" customHeight="1">
      <c r="B1308" s="43" t="s">
        <v>163</v>
      </c>
      <c r="C1308" s="51" t="s">
        <v>3431</v>
      </c>
      <c r="D1308" s="88"/>
      <c r="W1308" s="35" t="str">
        <f>"-- "&amp;B1308&amp;" : "&amp;C1308</f>
        <v>-- SQL_ID : 01_C3-16</v>
      </c>
    </row>
    <row r="1309" spans="2:23" ht="18.75" customHeight="1">
      <c r="B1309" s="43" t="s">
        <v>158</v>
      </c>
      <c r="C1309" s="118" t="str">
        <f>R1312&amp;"登録"</f>
        <v>バックアップ_DPCレセプト_診療行為レコード登録</v>
      </c>
      <c r="D1309" s="119"/>
      <c r="E1309" s="119"/>
      <c r="F1309" s="119"/>
      <c r="G1309" s="119"/>
      <c r="H1309" s="119"/>
      <c r="I1309" s="119"/>
      <c r="J1309" s="119"/>
      <c r="K1309" s="119"/>
      <c r="L1309" s="119"/>
      <c r="M1309" s="119"/>
      <c r="N1309" s="119"/>
      <c r="O1309" s="119"/>
      <c r="P1309" s="119"/>
      <c r="Q1309" s="119"/>
      <c r="R1309" s="119"/>
      <c r="S1309" s="119"/>
      <c r="T1309" s="119"/>
      <c r="U1309" s="120"/>
      <c r="W1309" s="35" t="str">
        <f>"-- "&amp;C1309</f>
        <v>-- バックアップ_DPCレセプト_診療行為レコード登録</v>
      </c>
    </row>
    <row r="1310" spans="2:23" ht="18.75" customHeight="1">
      <c r="B1310" s="43" t="s">
        <v>159</v>
      </c>
      <c r="C1310" s="121" t="str">
        <f>C1312&amp;"テーブルから組入れ条件の第一条件で絞り込んだ結果を"&amp;R1312&amp;"テーブルに格納する。"</f>
        <v>DPCレセプト_診療行為レコード_結合テーブルから組入れ条件の第一条件で絞り込んだ結果をバックアップ_DPCレセプト_診療行為レコードテーブルに格納する。</v>
      </c>
      <c r="D1310" s="122"/>
      <c r="E1310" s="122"/>
      <c r="F1310" s="122"/>
      <c r="G1310" s="122"/>
      <c r="H1310" s="122"/>
      <c r="I1310" s="122"/>
      <c r="J1310" s="122"/>
      <c r="K1310" s="122"/>
      <c r="L1310" s="122"/>
      <c r="M1310" s="122"/>
      <c r="N1310" s="122"/>
      <c r="O1310" s="122"/>
      <c r="P1310" s="122"/>
      <c r="Q1310" s="122"/>
      <c r="R1310" s="122"/>
      <c r="S1310" s="122"/>
      <c r="T1310" s="122"/>
      <c r="U1310" s="123"/>
      <c r="W1310" s="35" t="str">
        <f>"-- "&amp;C1310</f>
        <v>-- DPCレセプト_診療行為レコード_結合テーブルから組入れ条件の第一条件で絞り込んだ結果をバックアップ_DPCレセプト_診療行為レコードテーブルに格納する。</v>
      </c>
    </row>
    <row r="1312" spans="2:23" ht="18.75" customHeight="1">
      <c r="C1312" s="110" t="s">
        <v>3432</v>
      </c>
      <c r="D1312" s="111"/>
      <c r="E1312" s="116" t="s">
        <v>162</v>
      </c>
      <c r="H1312" s="36"/>
      <c r="I1312" s="36"/>
      <c r="J1312" s="36"/>
      <c r="K1312" s="36"/>
      <c r="L1312" s="36"/>
      <c r="M1312" s="36"/>
      <c r="N1312" s="36"/>
      <c r="O1312" s="36"/>
      <c r="P1312" s="36"/>
      <c r="Q1312" s="36"/>
      <c r="R1312" s="110" t="str">
        <f>"バックアップ_"&amp;SUBSTITUTE(C1312,"_結合","")</f>
        <v>バックアップ_DPCレセプト_診療行為レコード</v>
      </c>
      <c r="S1312" s="111"/>
      <c r="T1312" s="114" t="str">
        <f>エンティティ一覧!$O$2</f>
        <v>milscm_2023_009</v>
      </c>
    </row>
    <row r="1313" spans="2:23" ht="18.75" customHeight="1">
      <c r="C1313" s="112"/>
      <c r="D1313" s="113"/>
      <c r="E1313" s="117"/>
      <c r="F1313" s="37"/>
      <c r="G1313" s="38"/>
      <c r="H1313" s="37"/>
      <c r="I1313" s="37"/>
      <c r="J1313" s="37"/>
      <c r="K1313" s="37"/>
      <c r="L1313" s="37"/>
      <c r="M1313" s="37"/>
      <c r="N1313" s="37"/>
      <c r="O1313" s="37"/>
      <c r="P1313" s="37"/>
      <c r="Q1313" s="37"/>
      <c r="R1313" s="112"/>
      <c r="S1313" s="113"/>
      <c r="T1313" s="115"/>
    </row>
    <row r="1314" spans="2:23" ht="18.75" customHeight="1">
      <c r="F1314" s="39"/>
      <c r="G1314" s="40"/>
    </row>
    <row r="1315" spans="2:23" ht="18.75" customHeight="1">
      <c r="C1315" s="110" t="s">
        <v>3185</v>
      </c>
      <c r="D1315" s="111"/>
      <c r="E1315" s="114" t="str">
        <f>エンティティ一覧!$O$2</f>
        <v>milscm_2023_009</v>
      </c>
      <c r="G1315" s="41"/>
    </row>
    <row r="1316" spans="2:23" ht="18.75" customHeight="1">
      <c r="C1316" s="112"/>
      <c r="D1316" s="113"/>
      <c r="E1316" s="115"/>
      <c r="F1316" s="37"/>
    </row>
    <row r="1318" spans="2:23" ht="18.75" customHeight="1" thickBot="1">
      <c r="B1318" s="42"/>
      <c r="C1318" s="42"/>
      <c r="D1318" s="42"/>
      <c r="E1318" s="42"/>
      <c r="F1318" s="42"/>
      <c r="G1318" s="42"/>
      <c r="H1318" s="42"/>
      <c r="I1318" s="42"/>
      <c r="J1318" s="42"/>
      <c r="K1318" s="42"/>
      <c r="L1318" s="42"/>
      <c r="M1318" s="42"/>
      <c r="N1318" s="42"/>
      <c r="O1318" s="42"/>
      <c r="P1318" s="42"/>
      <c r="Q1318" s="42"/>
      <c r="R1318" s="42"/>
      <c r="S1318" s="42"/>
      <c r="T1318" s="42"/>
      <c r="U1318" s="42"/>
    </row>
    <row r="1320" spans="2:23" ht="18.75" customHeight="1">
      <c r="B1320" s="43" t="s">
        <v>163</v>
      </c>
      <c r="C1320" s="51" t="s">
        <v>3433</v>
      </c>
      <c r="D1320" s="88"/>
      <c r="W1320" s="35" t="str">
        <f>"-- "&amp;B1320&amp;" : "&amp;C1320</f>
        <v>-- SQL_ID : 01_C3-17</v>
      </c>
    </row>
    <row r="1321" spans="2:23" ht="18.75" customHeight="1">
      <c r="B1321" s="43" t="s">
        <v>158</v>
      </c>
      <c r="C1321" s="118" t="str">
        <f>R1324&amp;"登録"</f>
        <v>バックアップ_DPCレセプト_診療行為レコード_算定日情報登録</v>
      </c>
      <c r="D1321" s="119"/>
      <c r="E1321" s="119"/>
      <c r="F1321" s="119"/>
      <c r="G1321" s="119"/>
      <c r="H1321" s="119"/>
      <c r="I1321" s="119"/>
      <c r="J1321" s="119"/>
      <c r="K1321" s="119"/>
      <c r="L1321" s="119"/>
      <c r="M1321" s="119"/>
      <c r="N1321" s="119"/>
      <c r="O1321" s="119"/>
      <c r="P1321" s="119"/>
      <c r="Q1321" s="119"/>
      <c r="R1321" s="119"/>
      <c r="S1321" s="119"/>
      <c r="T1321" s="119"/>
      <c r="U1321" s="120"/>
      <c r="W1321" s="35" t="str">
        <f>"-- "&amp;C1321</f>
        <v>-- バックアップ_DPCレセプト_診療行為レコード_算定日情報登録</v>
      </c>
    </row>
    <row r="1322" spans="2:23" ht="18.75" customHeight="1">
      <c r="B1322" s="43" t="s">
        <v>159</v>
      </c>
      <c r="C1322" s="121" t="str">
        <f>C1324&amp;"テーブルから組入れ条件の第一条件で絞り込んだ結果を"&amp;R1324&amp;"テーブルに格納する。"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22" s="122"/>
      <c r="E1322" s="122"/>
      <c r="F1322" s="122"/>
      <c r="G1322" s="122"/>
      <c r="H1322" s="122"/>
      <c r="I1322" s="122"/>
      <c r="J1322" s="122"/>
      <c r="K1322" s="122"/>
      <c r="L1322" s="122"/>
      <c r="M1322" s="122"/>
      <c r="N1322" s="122"/>
      <c r="O1322" s="122"/>
      <c r="P1322" s="122"/>
      <c r="Q1322" s="122"/>
      <c r="R1322" s="122"/>
      <c r="S1322" s="122"/>
      <c r="T1322" s="122"/>
      <c r="U1322" s="123"/>
      <c r="W1322" s="35" t="str">
        <f>"-- "&amp;C1322</f>
        <v>-- DPCレセプト_診療行為レコード_算定日情報_結合テーブルから組入れ条件の第一条件で絞り込んだ結果をバックアップ_DPCレセプト_診療行為レコード_算定日情報テーブルに格納する。</v>
      </c>
    </row>
    <row r="1324" spans="2:23" ht="18.75" customHeight="1">
      <c r="C1324" s="110" t="s">
        <v>3434</v>
      </c>
      <c r="D1324" s="111"/>
      <c r="E1324" s="116" t="s">
        <v>162</v>
      </c>
      <c r="H1324" s="36"/>
      <c r="I1324" s="36"/>
      <c r="J1324" s="36"/>
      <c r="K1324" s="36"/>
      <c r="L1324" s="36"/>
      <c r="M1324" s="36"/>
      <c r="N1324" s="36"/>
      <c r="O1324" s="36"/>
      <c r="P1324" s="36"/>
      <c r="Q1324" s="36"/>
      <c r="R1324" s="124" t="str">
        <f>"バックアップ_"&amp;SUBSTITUTE(C1324,"_結合","")</f>
        <v>バックアップ_DPCレセプト_診療行為レコード_算定日情報</v>
      </c>
      <c r="S1324" s="125"/>
      <c r="T1324" s="114" t="str">
        <f>エンティティ一覧!$O$2</f>
        <v>milscm_2023_009</v>
      </c>
    </row>
    <row r="1325" spans="2:23" ht="18.75" customHeight="1">
      <c r="C1325" s="112"/>
      <c r="D1325" s="113"/>
      <c r="E1325" s="117"/>
      <c r="F1325" s="37"/>
      <c r="G1325" s="38"/>
      <c r="H1325" s="37"/>
      <c r="I1325" s="37"/>
      <c r="J1325" s="37"/>
      <c r="K1325" s="37"/>
      <c r="L1325" s="37"/>
      <c r="M1325" s="37"/>
      <c r="N1325" s="37"/>
      <c r="O1325" s="37"/>
      <c r="P1325" s="37"/>
      <c r="Q1325" s="37"/>
      <c r="R1325" s="126"/>
      <c r="S1325" s="127"/>
      <c r="T1325" s="115"/>
    </row>
    <row r="1326" spans="2:23" ht="18.75" customHeight="1">
      <c r="F1326" s="39"/>
      <c r="G1326" s="40"/>
    </row>
    <row r="1327" spans="2:23" ht="18.75" customHeight="1">
      <c r="C1327" s="110" t="s">
        <v>3185</v>
      </c>
      <c r="D1327" s="111"/>
      <c r="E1327" s="114" t="str">
        <f>エンティティ一覧!$O$2</f>
        <v>milscm_2023_009</v>
      </c>
      <c r="G1327" s="41"/>
    </row>
    <row r="1328" spans="2:23" ht="18.75" customHeight="1">
      <c r="C1328" s="112"/>
      <c r="D1328" s="113"/>
      <c r="E1328" s="115"/>
      <c r="F1328" s="37"/>
    </row>
    <row r="1330" spans="2:23" ht="18.75" customHeight="1" thickBot="1">
      <c r="B1330" s="42"/>
      <c r="C1330" s="42"/>
      <c r="D1330" s="42"/>
      <c r="E1330" s="42"/>
      <c r="F1330" s="42"/>
      <c r="G1330" s="42"/>
      <c r="H1330" s="42"/>
      <c r="I1330" s="42"/>
      <c r="J1330" s="42"/>
      <c r="K1330" s="42"/>
      <c r="L1330" s="42"/>
      <c r="M1330" s="42"/>
      <c r="N1330" s="42"/>
      <c r="O1330" s="42"/>
      <c r="P1330" s="42"/>
      <c r="Q1330" s="42"/>
      <c r="R1330" s="42"/>
      <c r="S1330" s="42"/>
      <c r="T1330" s="42"/>
      <c r="U1330" s="42"/>
    </row>
    <row r="1332" spans="2:23" ht="18.75" customHeight="1">
      <c r="B1332" s="43" t="s">
        <v>163</v>
      </c>
      <c r="C1332" s="51" t="s">
        <v>3435</v>
      </c>
      <c r="D1332" s="88"/>
      <c r="W1332" s="35" t="str">
        <f>"-- "&amp;B1332&amp;" : "&amp;C1332</f>
        <v>-- SQL_ID : 01_C3-18</v>
      </c>
    </row>
    <row r="1333" spans="2:23" ht="18.75" customHeight="1">
      <c r="B1333" s="43" t="s">
        <v>158</v>
      </c>
      <c r="C1333" s="118" t="str">
        <f>R1336&amp;"登録"</f>
        <v>バックアップ_DPCレセプト_医薬品レコード登録</v>
      </c>
      <c r="D1333" s="119"/>
      <c r="E1333" s="119"/>
      <c r="F1333" s="119"/>
      <c r="G1333" s="119"/>
      <c r="H1333" s="119"/>
      <c r="I1333" s="119"/>
      <c r="J1333" s="119"/>
      <c r="K1333" s="119"/>
      <c r="L1333" s="119"/>
      <c r="M1333" s="119"/>
      <c r="N1333" s="119"/>
      <c r="O1333" s="119"/>
      <c r="P1333" s="119"/>
      <c r="Q1333" s="119"/>
      <c r="R1333" s="119"/>
      <c r="S1333" s="119"/>
      <c r="T1333" s="119"/>
      <c r="U1333" s="120"/>
      <c r="W1333" s="35" t="str">
        <f>"-- "&amp;C1333</f>
        <v>-- バックアップ_DPCレセプト_医薬品レコード登録</v>
      </c>
    </row>
    <row r="1334" spans="2:23" ht="18.75" customHeight="1">
      <c r="B1334" s="43" t="s">
        <v>159</v>
      </c>
      <c r="C1334" s="121" t="str">
        <f>C1336&amp;"テーブルから組入れ条件の第一条件で絞り込んだ結果を"&amp;R1336&amp;"テーブルに格納する。"</f>
        <v>DPCレセプト_医薬品レコード_結合テーブルから組入れ条件の第一条件で絞り込んだ結果をバックアップ_DPCレセプト_医薬品レコードテーブルに格納する。</v>
      </c>
      <c r="D1334" s="122"/>
      <c r="E1334" s="122"/>
      <c r="F1334" s="122"/>
      <c r="G1334" s="122"/>
      <c r="H1334" s="122"/>
      <c r="I1334" s="122"/>
      <c r="J1334" s="122"/>
      <c r="K1334" s="122"/>
      <c r="L1334" s="122"/>
      <c r="M1334" s="122"/>
      <c r="N1334" s="122"/>
      <c r="O1334" s="122"/>
      <c r="P1334" s="122"/>
      <c r="Q1334" s="122"/>
      <c r="R1334" s="122"/>
      <c r="S1334" s="122"/>
      <c r="T1334" s="122"/>
      <c r="U1334" s="123"/>
      <c r="W1334" s="35" t="str">
        <f>"-- "&amp;C1334</f>
        <v>-- DPCレセプト_医薬品レコード_結合テーブルから組入れ条件の第一条件で絞り込んだ結果をバックアップ_DPCレセプト_医薬品レコードテーブルに格納する。</v>
      </c>
    </row>
    <row r="1336" spans="2:23" ht="18.75" customHeight="1">
      <c r="C1336" s="110" t="s">
        <v>3436</v>
      </c>
      <c r="D1336" s="111"/>
      <c r="E1336" s="116" t="s">
        <v>162</v>
      </c>
      <c r="H1336" s="36"/>
      <c r="I1336" s="36"/>
      <c r="J1336" s="36"/>
      <c r="K1336" s="36"/>
      <c r="L1336" s="36"/>
      <c r="M1336" s="36"/>
      <c r="N1336" s="36"/>
      <c r="O1336" s="36"/>
      <c r="P1336" s="36"/>
      <c r="Q1336" s="36"/>
      <c r="R1336" s="110" t="str">
        <f>"バックアップ_"&amp;SUBSTITUTE(C1336,"_結合","")</f>
        <v>バックアップ_DPCレセプト_医薬品レコード</v>
      </c>
      <c r="S1336" s="111"/>
      <c r="T1336" s="114" t="str">
        <f>エンティティ一覧!$O$2</f>
        <v>milscm_2023_009</v>
      </c>
    </row>
    <row r="1337" spans="2:23" ht="18.75" customHeight="1">
      <c r="C1337" s="112"/>
      <c r="D1337" s="113"/>
      <c r="E1337" s="117"/>
      <c r="F1337" s="37"/>
      <c r="G1337" s="38"/>
      <c r="H1337" s="37"/>
      <c r="I1337" s="37"/>
      <c r="J1337" s="37"/>
      <c r="K1337" s="37"/>
      <c r="L1337" s="37"/>
      <c r="M1337" s="37"/>
      <c r="N1337" s="37"/>
      <c r="O1337" s="37"/>
      <c r="P1337" s="37"/>
      <c r="Q1337" s="37"/>
      <c r="R1337" s="112"/>
      <c r="S1337" s="113"/>
      <c r="T1337" s="115"/>
    </row>
    <row r="1338" spans="2:23" ht="18.75" customHeight="1">
      <c r="F1338" s="39"/>
      <c r="G1338" s="40"/>
    </row>
    <row r="1339" spans="2:23" ht="18.75" customHeight="1">
      <c r="C1339" s="110" t="s">
        <v>3185</v>
      </c>
      <c r="D1339" s="111"/>
      <c r="E1339" s="114" t="str">
        <f>エンティティ一覧!$O$2</f>
        <v>milscm_2023_009</v>
      </c>
      <c r="G1339" s="41"/>
    </row>
    <row r="1340" spans="2:23" ht="18.75" customHeight="1">
      <c r="C1340" s="112"/>
      <c r="D1340" s="113"/>
      <c r="E1340" s="115"/>
      <c r="F1340" s="37"/>
    </row>
    <row r="1342" spans="2:23" ht="18.75" customHeight="1" thickBot="1">
      <c r="B1342" s="42"/>
      <c r="C1342" s="42"/>
      <c r="D1342" s="42"/>
      <c r="E1342" s="42"/>
      <c r="F1342" s="42"/>
      <c r="G1342" s="42"/>
      <c r="H1342" s="42"/>
      <c r="I1342" s="42"/>
      <c r="J1342" s="42"/>
      <c r="K1342" s="42"/>
      <c r="L1342" s="42"/>
      <c r="M1342" s="42"/>
      <c r="N1342" s="42"/>
      <c r="O1342" s="42"/>
      <c r="P1342" s="42"/>
      <c r="Q1342" s="42"/>
      <c r="R1342" s="42"/>
      <c r="S1342" s="42"/>
      <c r="T1342" s="42"/>
      <c r="U1342" s="42"/>
    </row>
    <row r="1344" spans="2:23" ht="18.75" customHeight="1">
      <c r="B1344" s="43" t="s">
        <v>163</v>
      </c>
      <c r="C1344" s="51" t="s">
        <v>3437</v>
      </c>
      <c r="D1344" s="88"/>
      <c r="W1344" s="35" t="str">
        <f>"-- "&amp;B1344&amp;" : "&amp;C1344</f>
        <v>-- SQL_ID : 01_C3-19</v>
      </c>
    </row>
    <row r="1345" spans="2:23" ht="18.75" customHeight="1">
      <c r="B1345" s="43" t="s">
        <v>158</v>
      </c>
      <c r="C1345" s="118" t="str">
        <f>R1348&amp;"登録"</f>
        <v>バックアップ_DPCレセプト_医薬品レコード_算定日情報登録</v>
      </c>
      <c r="D1345" s="119"/>
      <c r="E1345" s="119"/>
      <c r="F1345" s="119"/>
      <c r="G1345" s="119"/>
      <c r="H1345" s="119"/>
      <c r="I1345" s="119"/>
      <c r="J1345" s="119"/>
      <c r="K1345" s="119"/>
      <c r="L1345" s="119"/>
      <c r="M1345" s="119"/>
      <c r="N1345" s="119"/>
      <c r="O1345" s="119"/>
      <c r="P1345" s="119"/>
      <c r="Q1345" s="119"/>
      <c r="R1345" s="119"/>
      <c r="S1345" s="119"/>
      <c r="T1345" s="119"/>
      <c r="U1345" s="120"/>
      <c r="W1345" s="35" t="str">
        <f>"-- "&amp;C1345</f>
        <v>-- バックアップ_DPCレセプト_医薬品レコード_算定日情報登録</v>
      </c>
    </row>
    <row r="1346" spans="2:23" ht="18.75" customHeight="1">
      <c r="B1346" s="43" t="s">
        <v>159</v>
      </c>
      <c r="C1346" s="121" t="str">
        <f>C1348&amp;"テーブルから組入れ条件の第一条件で絞り込んだ結果を"&amp;R1348&amp;"テーブルに格納する。"</f>
        <v>DPCレセプト_医薬品レコード_算定日情報_結合テーブルから組入れ条件の第一条件で絞り込んだ結果をバックアップ_DPCレセプト_医薬品レコード_算定日情報テーブルに格納する。</v>
      </c>
      <c r="D1346" s="122"/>
      <c r="E1346" s="122"/>
      <c r="F1346" s="122"/>
      <c r="G1346" s="122"/>
      <c r="H1346" s="122"/>
      <c r="I1346" s="122"/>
      <c r="J1346" s="122"/>
      <c r="K1346" s="122"/>
      <c r="L1346" s="122"/>
      <c r="M1346" s="122"/>
      <c r="N1346" s="122"/>
      <c r="O1346" s="122"/>
      <c r="P1346" s="122"/>
      <c r="Q1346" s="122"/>
      <c r="R1346" s="122"/>
      <c r="S1346" s="122"/>
      <c r="T1346" s="122"/>
      <c r="U1346" s="123"/>
      <c r="W1346" s="35" t="str">
        <f>"-- "&amp;C1346</f>
        <v>-- DPCレセプト_医薬品レコード_算定日情報_結合テーブルから組入れ条件の第一条件で絞り込んだ結果をバックアップ_DPCレセプト_医薬品レコード_算定日情報テーブルに格納する。</v>
      </c>
    </row>
    <row r="1348" spans="2:23" ht="18.75" customHeight="1">
      <c r="C1348" s="110" t="s">
        <v>3438</v>
      </c>
      <c r="D1348" s="111"/>
      <c r="E1348" s="116" t="s">
        <v>162</v>
      </c>
      <c r="H1348" s="36"/>
      <c r="I1348" s="36"/>
      <c r="J1348" s="36"/>
      <c r="K1348" s="36"/>
      <c r="L1348" s="36"/>
      <c r="M1348" s="36"/>
      <c r="N1348" s="36"/>
      <c r="O1348" s="36"/>
      <c r="P1348" s="36"/>
      <c r="Q1348" s="36"/>
      <c r="R1348" s="124" t="str">
        <f>"バックアップ_"&amp;SUBSTITUTE(C1348,"_結合","")</f>
        <v>バックアップ_DPCレセプト_医薬品レコード_算定日情報</v>
      </c>
      <c r="S1348" s="125"/>
      <c r="T1348" s="114" t="str">
        <f>エンティティ一覧!$O$2</f>
        <v>milscm_2023_009</v>
      </c>
    </row>
    <row r="1349" spans="2:23" ht="18.75" customHeight="1">
      <c r="C1349" s="112"/>
      <c r="D1349" s="113"/>
      <c r="E1349" s="117"/>
      <c r="F1349" s="37"/>
      <c r="G1349" s="38"/>
      <c r="H1349" s="37"/>
      <c r="I1349" s="37"/>
      <c r="J1349" s="37"/>
      <c r="K1349" s="37"/>
      <c r="L1349" s="37"/>
      <c r="M1349" s="37"/>
      <c r="N1349" s="37"/>
      <c r="O1349" s="37"/>
      <c r="P1349" s="37"/>
      <c r="Q1349" s="37"/>
      <c r="R1349" s="126"/>
      <c r="S1349" s="127"/>
      <c r="T1349" s="115"/>
    </row>
    <row r="1350" spans="2:23" ht="18.75" customHeight="1">
      <c r="F1350" s="39"/>
      <c r="G1350" s="40"/>
    </row>
    <row r="1351" spans="2:23" ht="18.75" customHeight="1">
      <c r="C1351" s="110" t="s">
        <v>3185</v>
      </c>
      <c r="D1351" s="111"/>
      <c r="E1351" s="114" t="str">
        <f>エンティティ一覧!$O$2</f>
        <v>milscm_2023_009</v>
      </c>
      <c r="G1351" s="41"/>
    </row>
    <row r="1352" spans="2:23" ht="18.75" customHeight="1">
      <c r="C1352" s="112"/>
      <c r="D1352" s="113"/>
      <c r="E1352" s="115"/>
      <c r="F1352" s="37"/>
    </row>
    <row r="1354" spans="2:23" ht="18.75" customHeight="1" thickBot="1">
      <c r="B1354" s="42"/>
      <c r="C1354" s="42"/>
      <c r="D1354" s="42"/>
      <c r="E1354" s="42"/>
      <c r="F1354" s="42"/>
      <c r="G1354" s="42"/>
      <c r="H1354" s="42"/>
      <c r="I1354" s="42"/>
      <c r="J1354" s="42"/>
      <c r="K1354" s="42"/>
      <c r="L1354" s="42"/>
      <c r="M1354" s="42"/>
      <c r="N1354" s="42"/>
      <c r="O1354" s="42"/>
      <c r="P1354" s="42"/>
      <c r="Q1354" s="42"/>
      <c r="R1354" s="42"/>
      <c r="S1354" s="42"/>
      <c r="T1354" s="42"/>
      <c r="U1354" s="42"/>
    </row>
    <row r="1356" spans="2:23" ht="18.75" customHeight="1">
      <c r="B1356" s="43" t="s">
        <v>163</v>
      </c>
      <c r="C1356" s="51" t="s">
        <v>3439</v>
      </c>
      <c r="D1356" s="88"/>
      <c r="W1356" s="35" t="str">
        <f>"-- "&amp;B1356&amp;" : "&amp;C1356</f>
        <v>-- SQL_ID : 01_C3-24</v>
      </c>
    </row>
    <row r="1357" spans="2:23" ht="18.75" customHeight="1">
      <c r="B1357" s="43" t="s">
        <v>158</v>
      </c>
      <c r="C1357" s="118" t="str">
        <f>R1360&amp;"登録"</f>
        <v>バックアップ_DPCレセプト_臓器提供者レセプト情報レコード登録</v>
      </c>
      <c r="D1357" s="119"/>
      <c r="E1357" s="119"/>
      <c r="F1357" s="119"/>
      <c r="G1357" s="119"/>
      <c r="H1357" s="119"/>
      <c r="I1357" s="119"/>
      <c r="J1357" s="119"/>
      <c r="K1357" s="119"/>
      <c r="L1357" s="119"/>
      <c r="M1357" s="119"/>
      <c r="N1357" s="119"/>
      <c r="O1357" s="119"/>
      <c r="P1357" s="119"/>
      <c r="Q1357" s="119"/>
      <c r="R1357" s="119"/>
      <c r="S1357" s="119"/>
      <c r="T1357" s="119"/>
      <c r="U1357" s="120"/>
      <c r="W1357" s="35" t="str">
        <f>"-- "&amp;C1357</f>
        <v>-- バックアップ_DPCレセプト_臓器提供者レセプト情報レコード登録</v>
      </c>
    </row>
    <row r="1358" spans="2:23" ht="18.75" customHeight="1">
      <c r="B1358" s="43" t="s">
        <v>159</v>
      </c>
      <c r="C1358" s="121" t="str">
        <f>C1360&amp;"テーブルから組入れ条件の第一条件で絞り込んだ結果を"&amp;R1360&amp;"テーブルに格納する。"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8" s="122"/>
      <c r="E1358" s="122"/>
      <c r="F1358" s="122"/>
      <c r="G1358" s="122"/>
      <c r="H1358" s="122"/>
      <c r="I1358" s="122"/>
      <c r="J1358" s="122"/>
      <c r="K1358" s="122"/>
      <c r="L1358" s="122"/>
      <c r="M1358" s="122"/>
      <c r="N1358" s="122"/>
      <c r="O1358" s="122"/>
      <c r="P1358" s="122"/>
      <c r="Q1358" s="122"/>
      <c r="R1358" s="122"/>
      <c r="S1358" s="122"/>
      <c r="T1358" s="122"/>
      <c r="U1358" s="123"/>
      <c r="W1358" s="35" t="str">
        <f>"-- "&amp;C1358</f>
        <v>-- DPCレセプト_臓器提供者レセプト情報レコード_結合テーブルから組入れ条件の第一条件で絞り込んだ結果をバックアップ_DPCレセプト_臓器提供者レセプト情報レコードテーブルに格納する。</v>
      </c>
    </row>
    <row r="1360" spans="2:23" ht="18.75" customHeight="1">
      <c r="C1360" s="110" t="s">
        <v>3440</v>
      </c>
      <c r="D1360" s="111"/>
      <c r="E1360" s="116" t="s">
        <v>162</v>
      </c>
      <c r="H1360" s="36"/>
      <c r="I1360" s="36"/>
      <c r="J1360" s="36"/>
      <c r="K1360" s="36"/>
      <c r="L1360" s="36"/>
      <c r="M1360" s="36"/>
      <c r="N1360" s="36"/>
      <c r="O1360" s="36"/>
      <c r="P1360" s="36"/>
      <c r="Q1360" s="36"/>
      <c r="R1360" s="128" t="str">
        <f>"バックアップ_"&amp;SUBSTITUTE(C1360,"_結合","")</f>
        <v>バックアップ_DPCレセプト_臓器提供者レセプト情報レコード</v>
      </c>
      <c r="S1360" s="129"/>
      <c r="T1360" s="114" t="str">
        <f>エンティティ一覧!$O$2</f>
        <v>milscm_2023_009</v>
      </c>
    </row>
    <row r="1361" spans="2:23" ht="18.75" customHeight="1">
      <c r="C1361" s="112"/>
      <c r="D1361" s="113"/>
      <c r="E1361" s="117"/>
      <c r="F1361" s="37"/>
      <c r="G1361" s="38"/>
      <c r="H1361" s="37"/>
      <c r="I1361" s="37"/>
      <c r="J1361" s="37"/>
      <c r="K1361" s="37"/>
      <c r="L1361" s="37"/>
      <c r="M1361" s="37"/>
      <c r="N1361" s="37"/>
      <c r="O1361" s="37"/>
      <c r="P1361" s="37"/>
      <c r="Q1361" s="37"/>
      <c r="R1361" s="130"/>
      <c r="S1361" s="131"/>
      <c r="T1361" s="115"/>
    </row>
    <row r="1362" spans="2:23" ht="18.75" customHeight="1">
      <c r="F1362" s="39"/>
      <c r="G1362" s="40"/>
    </row>
    <row r="1363" spans="2:23" ht="18.75" customHeight="1">
      <c r="C1363" s="110" t="s">
        <v>3185</v>
      </c>
      <c r="D1363" s="111"/>
      <c r="E1363" s="114" t="str">
        <f>エンティティ一覧!$O$2</f>
        <v>milscm_2023_009</v>
      </c>
      <c r="G1363" s="41"/>
    </row>
    <row r="1364" spans="2:23" ht="18.75" customHeight="1">
      <c r="C1364" s="112"/>
      <c r="D1364" s="113"/>
      <c r="E1364" s="115"/>
      <c r="F1364" s="37"/>
    </row>
    <row r="1366" spans="2:23" ht="18.75" customHeight="1" thickBot="1">
      <c r="B1366" s="42"/>
      <c r="C1366" s="42"/>
      <c r="D1366" s="42"/>
      <c r="E1366" s="42"/>
      <c r="F1366" s="42"/>
      <c r="G1366" s="42"/>
      <c r="H1366" s="42"/>
      <c r="I1366" s="42"/>
      <c r="J1366" s="42"/>
      <c r="K1366" s="42"/>
      <c r="L1366" s="42"/>
      <c r="M1366" s="42"/>
      <c r="N1366" s="42"/>
      <c r="O1366" s="42"/>
      <c r="P1366" s="42"/>
      <c r="Q1366" s="42"/>
      <c r="R1366" s="42"/>
      <c r="S1366" s="42"/>
      <c r="T1366" s="42"/>
      <c r="U1366" s="42"/>
    </row>
    <row r="1368" spans="2:23" ht="18.75" customHeight="1">
      <c r="B1368" s="43" t="s">
        <v>163</v>
      </c>
      <c r="C1368" s="51" t="s">
        <v>3441</v>
      </c>
      <c r="D1368" s="88"/>
      <c r="W1368" s="35" t="str">
        <f>"-- "&amp;B1368&amp;" : "&amp;C1368</f>
        <v>-- SQL_ID : 01_C4-01</v>
      </c>
    </row>
    <row r="1369" spans="2:23" ht="18.75" customHeight="1">
      <c r="B1369" s="43" t="s">
        <v>158</v>
      </c>
      <c r="C1369" s="118" t="str">
        <f>R1372&amp;"登録"</f>
        <v>バックアップ_患者情報モジュール_患者情報登録</v>
      </c>
      <c r="D1369" s="119"/>
      <c r="E1369" s="119"/>
      <c r="F1369" s="119"/>
      <c r="G1369" s="119"/>
      <c r="H1369" s="119"/>
      <c r="I1369" s="119"/>
      <c r="J1369" s="119"/>
      <c r="K1369" s="119"/>
      <c r="L1369" s="119"/>
      <c r="M1369" s="119"/>
      <c r="N1369" s="119"/>
      <c r="O1369" s="119"/>
      <c r="P1369" s="119"/>
      <c r="Q1369" s="119"/>
      <c r="R1369" s="119"/>
      <c r="S1369" s="119"/>
      <c r="T1369" s="119"/>
      <c r="U1369" s="120"/>
      <c r="W1369" s="35" t="str">
        <f>"-- "&amp;C1369</f>
        <v>-- バックアップ_患者情報モジュール_患者情報登録</v>
      </c>
    </row>
    <row r="1370" spans="2:23" ht="18.75" customHeight="1">
      <c r="B1370" s="43" t="s">
        <v>159</v>
      </c>
      <c r="C1370" s="121" t="str">
        <f>C1372&amp;"テーブルから組入れ条件の第一条件で絞り込んだ結果を"&amp;R1372&amp;"テーブルに格納する。"</f>
        <v>患者情報モジュール_患者情報_結合テーブルから組入れ条件の第一条件で絞り込んだ結果をバックアップ_患者情報モジュール_患者情報テーブルに格納する。</v>
      </c>
      <c r="D1370" s="122"/>
      <c r="E1370" s="122"/>
      <c r="F1370" s="122"/>
      <c r="G1370" s="122"/>
      <c r="H1370" s="122"/>
      <c r="I1370" s="122"/>
      <c r="J1370" s="122"/>
      <c r="K1370" s="122"/>
      <c r="L1370" s="122"/>
      <c r="M1370" s="122"/>
      <c r="N1370" s="122"/>
      <c r="O1370" s="122"/>
      <c r="P1370" s="122"/>
      <c r="Q1370" s="122"/>
      <c r="R1370" s="122"/>
      <c r="S1370" s="122"/>
      <c r="T1370" s="122"/>
      <c r="U1370" s="123"/>
      <c r="W1370" s="35" t="str">
        <f>"-- "&amp;C1370</f>
        <v>-- 患者情報モジュール_患者情報_結合テーブルから組入れ条件の第一条件で絞り込んだ結果をバックアップ_患者情報モジュール_患者情報テーブルに格納する。</v>
      </c>
    </row>
    <row r="1372" spans="2:23" ht="18.75" customHeight="1">
      <c r="C1372" s="110" t="s">
        <v>3442</v>
      </c>
      <c r="D1372" s="111"/>
      <c r="E1372" s="116" t="s">
        <v>162</v>
      </c>
      <c r="H1372" s="36"/>
      <c r="I1372" s="36"/>
      <c r="J1372" s="36"/>
      <c r="K1372" s="36"/>
      <c r="L1372" s="36"/>
      <c r="M1372" s="36"/>
      <c r="N1372" s="36"/>
      <c r="O1372" s="36"/>
      <c r="P1372" s="36"/>
      <c r="Q1372" s="36"/>
      <c r="R1372" s="110" t="str">
        <f>"バックアップ_"&amp;SUBSTITUTE(C1372,"_結合","")</f>
        <v>バックアップ_患者情報モジュール_患者情報</v>
      </c>
      <c r="S1372" s="111"/>
      <c r="T1372" s="114" t="str">
        <f>エンティティ一覧!$O$2</f>
        <v>milscm_2023_009</v>
      </c>
    </row>
    <row r="1373" spans="2:23" ht="18.75" customHeight="1">
      <c r="C1373" s="112"/>
      <c r="D1373" s="113"/>
      <c r="E1373" s="117"/>
      <c r="F1373" s="37"/>
      <c r="G1373" s="38"/>
      <c r="H1373" s="37"/>
      <c r="I1373" s="37"/>
      <c r="J1373" s="37"/>
      <c r="K1373" s="37"/>
      <c r="L1373" s="37"/>
      <c r="M1373" s="37"/>
      <c r="N1373" s="37"/>
      <c r="O1373" s="37"/>
      <c r="P1373" s="37"/>
      <c r="Q1373" s="37"/>
      <c r="R1373" s="112"/>
      <c r="S1373" s="113"/>
      <c r="T1373" s="115"/>
    </row>
    <row r="1374" spans="2:23" ht="18.75" customHeight="1">
      <c r="F1374" s="39"/>
      <c r="G1374" s="40"/>
    </row>
    <row r="1375" spans="2:23" ht="18.75" customHeight="1">
      <c r="C1375" s="110" t="s">
        <v>3185</v>
      </c>
      <c r="D1375" s="111"/>
      <c r="E1375" s="114" t="str">
        <f>エンティティ一覧!$O$2</f>
        <v>milscm_2023_009</v>
      </c>
      <c r="G1375" s="41"/>
    </row>
    <row r="1376" spans="2:23" ht="18.75" customHeight="1">
      <c r="C1376" s="112"/>
      <c r="D1376" s="113"/>
      <c r="E1376" s="115"/>
      <c r="F1376" s="37"/>
    </row>
    <row r="1378" spans="2:23" ht="18.75" customHeight="1" thickBot="1">
      <c r="B1378" s="42"/>
      <c r="C1378" s="42"/>
      <c r="D1378" s="42"/>
      <c r="E1378" s="42"/>
      <c r="F1378" s="42"/>
      <c r="G1378" s="42"/>
      <c r="H1378" s="42"/>
      <c r="I1378" s="42"/>
      <c r="J1378" s="42"/>
      <c r="K1378" s="42"/>
      <c r="L1378" s="42"/>
      <c r="M1378" s="42"/>
      <c r="N1378" s="42"/>
      <c r="O1378" s="42"/>
      <c r="P1378" s="42"/>
      <c r="Q1378" s="42"/>
      <c r="R1378" s="42"/>
      <c r="S1378" s="42"/>
      <c r="T1378" s="42"/>
      <c r="U1378" s="42"/>
    </row>
    <row r="1380" spans="2:23" ht="18.75" customHeight="1">
      <c r="B1380" s="43" t="s">
        <v>163</v>
      </c>
      <c r="C1380" s="51" t="s">
        <v>3443</v>
      </c>
      <c r="D1380" s="88"/>
      <c r="W1380" s="35" t="str">
        <f>"-- "&amp;B1380&amp;" : "&amp;C1380</f>
        <v>-- SQL_ID : 01_C4-03</v>
      </c>
    </row>
    <row r="1381" spans="2:23" ht="18.75" customHeight="1">
      <c r="B1381" s="43" t="s">
        <v>158</v>
      </c>
      <c r="C1381" s="118" t="str">
        <f>R1384&amp;"登録"</f>
        <v>バックアップ_診断履歴情報モジュール_診断履歴情報レコード登録</v>
      </c>
      <c r="D1381" s="119"/>
      <c r="E1381" s="119"/>
      <c r="F1381" s="119"/>
      <c r="G1381" s="119"/>
      <c r="H1381" s="119"/>
      <c r="I1381" s="119"/>
      <c r="J1381" s="119"/>
      <c r="K1381" s="119"/>
      <c r="L1381" s="119"/>
      <c r="M1381" s="119"/>
      <c r="N1381" s="119"/>
      <c r="O1381" s="119"/>
      <c r="P1381" s="119"/>
      <c r="Q1381" s="119"/>
      <c r="R1381" s="119"/>
      <c r="S1381" s="119"/>
      <c r="T1381" s="119"/>
      <c r="U1381" s="120"/>
      <c r="W1381" s="35" t="str">
        <f>"-- "&amp;C1381</f>
        <v>-- バックアップ_診断履歴情報モジュール_診断履歴情報レコード登録</v>
      </c>
    </row>
    <row r="1382" spans="2:23" ht="18.75" customHeight="1">
      <c r="B1382" s="43" t="s">
        <v>159</v>
      </c>
      <c r="C1382" s="121" t="str">
        <f>C1384&amp;"テーブルから組入れ条件の第一条件で絞り込んだ結果を"&amp;R1384&amp;"テーブルに格納する。"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82" s="122"/>
      <c r="E1382" s="122"/>
      <c r="F1382" s="122"/>
      <c r="G1382" s="122"/>
      <c r="H1382" s="122"/>
      <c r="I1382" s="122"/>
      <c r="J1382" s="122"/>
      <c r="K1382" s="122"/>
      <c r="L1382" s="122"/>
      <c r="M1382" s="122"/>
      <c r="N1382" s="122"/>
      <c r="O1382" s="122"/>
      <c r="P1382" s="122"/>
      <c r="Q1382" s="122"/>
      <c r="R1382" s="122"/>
      <c r="S1382" s="122"/>
      <c r="T1382" s="122"/>
      <c r="U1382" s="123"/>
      <c r="W1382" s="35" t="str">
        <f>"-- "&amp;C1382</f>
        <v>-- 診断履歴情報モジュール_診断履歴情報レコード_結合テーブルから組入れ条件の第一条件で絞り込んだ結果をバックアップ_診断履歴情報モジュール_診断履歴情報レコードテーブルに格納する。</v>
      </c>
    </row>
    <row r="1384" spans="2:23" ht="18.75" customHeight="1">
      <c r="C1384" s="110" t="s">
        <v>3444</v>
      </c>
      <c r="D1384" s="111"/>
      <c r="E1384" s="116" t="s">
        <v>162</v>
      </c>
      <c r="H1384" s="36"/>
      <c r="I1384" s="36"/>
      <c r="J1384" s="36"/>
      <c r="K1384" s="36"/>
      <c r="L1384" s="36"/>
      <c r="M1384" s="36"/>
      <c r="N1384" s="36"/>
      <c r="O1384" s="36"/>
      <c r="P1384" s="36"/>
      <c r="Q1384" s="36"/>
      <c r="R1384" s="128" t="str">
        <f>"バックアップ_"&amp;SUBSTITUTE(C1384,"_結合","")</f>
        <v>バックアップ_診断履歴情報モジュール_診断履歴情報レコード</v>
      </c>
      <c r="S1384" s="129"/>
      <c r="T1384" s="114" t="str">
        <f>エンティティ一覧!$O$2</f>
        <v>milscm_2023_009</v>
      </c>
    </row>
    <row r="1385" spans="2:23" ht="18.75" customHeight="1">
      <c r="C1385" s="112"/>
      <c r="D1385" s="113"/>
      <c r="E1385" s="117"/>
      <c r="F1385" s="37"/>
      <c r="G1385" s="38"/>
      <c r="H1385" s="37"/>
      <c r="I1385" s="37"/>
      <c r="J1385" s="37"/>
      <c r="K1385" s="37"/>
      <c r="L1385" s="37"/>
      <c r="M1385" s="37"/>
      <c r="N1385" s="37"/>
      <c r="O1385" s="37"/>
      <c r="P1385" s="37"/>
      <c r="Q1385" s="37"/>
      <c r="R1385" s="130"/>
      <c r="S1385" s="131"/>
      <c r="T1385" s="115"/>
    </row>
    <row r="1386" spans="2:23" ht="18.75" customHeight="1">
      <c r="F1386" s="39"/>
      <c r="G1386" s="40"/>
    </row>
    <row r="1387" spans="2:23" ht="18.75" customHeight="1">
      <c r="C1387" s="110" t="s">
        <v>3185</v>
      </c>
      <c r="D1387" s="111"/>
      <c r="E1387" s="114" t="str">
        <f>エンティティ一覧!$O$2</f>
        <v>milscm_2023_009</v>
      </c>
      <c r="G1387" s="41"/>
    </row>
    <row r="1388" spans="2:23" ht="18.75" customHeight="1">
      <c r="C1388" s="112"/>
      <c r="D1388" s="113"/>
      <c r="E1388" s="115"/>
      <c r="F1388" s="37"/>
    </row>
    <row r="1390" spans="2:23" ht="18.75" customHeight="1" thickBot="1">
      <c r="B1390" s="42"/>
      <c r="C1390" s="42"/>
      <c r="D1390" s="42"/>
      <c r="E1390" s="42"/>
      <c r="F1390" s="42"/>
      <c r="G1390" s="42"/>
      <c r="H1390" s="42"/>
      <c r="I1390" s="42"/>
      <c r="J1390" s="42"/>
      <c r="K1390" s="42"/>
      <c r="L1390" s="42"/>
      <c r="M1390" s="42"/>
      <c r="N1390" s="42"/>
      <c r="O1390" s="42"/>
      <c r="P1390" s="42"/>
      <c r="Q1390" s="42"/>
      <c r="R1390" s="42"/>
      <c r="S1390" s="42"/>
      <c r="T1390" s="42"/>
      <c r="U1390" s="42"/>
    </row>
    <row r="1392" spans="2:23" ht="18.75" customHeight="1">
      <c r="B1392" s="43" t="s">
        <v>163</v>
      </c>
      <c r="C1392" s="51" t="s">
        <v>3445</v>
      </c>
      <c r="D1392" s="88"/>
      <c r="W1392" s="35" t="str">
        <f>"-- "&amp;B1392&amp;" : "&amp;C1392</f>
        <v>-- SQL_ID : 01_C4-04</v>
      </c>
    </row>
    <row r="1393" spans="2:23" ht="18.75" customHeight="1">
      <c r="B1393" s="43" t="s">
        <v>158</v>
      </c>
      <c r="C1393" s="118" t="str">
        <f>R1396&amp;"登録"</f>
        <v>バックアップ_診断履歴情報モジュール_診断病名レコード登録</v>
      </c>
      <c r="D1393" s="119"/>
      <c r="E1393" s="119"/>
      <c r="F1393" s="119"/>
      <c r="G1393" s="119"/>
      <c r="H1393" s="119"/>
      <c r="I1393" s="119"/>
      <c r="J1393" s="119"/>
      <c r="K1393" s="119"/>
      <c r="L1393" s="119"/>
      <c r="M1393" s="119"/>
      <c r="N1393" s="119"/>
      <c r="O1393" s="119"/>
      <c r="P1393" s="119"/>
      <c r="Q1393" s="119"/>
      <c r="R1393" s="119"/>
      <c r="S1393" s="119"/>
      <c r="T1393" s="119"/>
      <c r="U1393" s="120"/>
      <c r="W1393" s="35" t="str">
        <f>"-- "&amp;C1393</f>
        <v>-- バックアップ_診断履歴情報モジュール_診断病名レコード登録</v>
      </c>
    </row>
    <row r="1394" spans="2:23" ht="18.75" customHeight="1">
      <c r="B1394" s="43" t="s">
        <v>159</v>
      </c>
      <c r="C1394" s="121" t="str">
        <f>C1396&amp;"テーブルから組入れ条件の第一条件で絞り込んだ結果を"&amp;R1396&amp;"テーブルに格納する。"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4" s="122"/>
      <c r="E1394" s="122"/>
      <c r="F1394" s="122"/>
      <c r="G1394" s="122"/>
      <c r="H1394" s="122"/>
      <c r="I1394" s="122"/>
      <c r="J1394" s="122"/>
      <c r="K1394" s="122"/>
      <c r="L1394" s="122"/>
      <c r="M1394" s="122"/>
      <c r="N1394" s="122"/>
      <c r="O1394" s="122"/>
      <c r="P1394" s="122"/>
      <c r="Q1394" s="122"/>
      <c r="R1394" s="122"/>
      <c r="S1394" s="122"/>
      <c r="T1394" s="122"/>
      <c r="U1394" s="123"/>
      <c r="W1394" s="35" t="str">
        <f>"-- "&amp;C1394</f>
        <v>-- 診断履歴情報モジュール_診断病名レコード_結合テーブルから組入れ条件の第一条件で絞り込んだ結果をバックアップ_診断履歴情報モジュール_診断病名レコードテーブルに格納する。</v>
      </c>
    </row>
    <row r="1396" spans="2:23" ht="18.75" customHeight="1">
      <c r="C1396" s="110" t="s">
        <v>3446</v>
      </c>
      <c r="D1396" s="111"/>
      <c r="E1396" s="116" t="s">
        <v>162</v>
      </c>
      <c r="H1396" s="36"/>
      <c r="I1396" s="36"/>
      <c r="J1396" s="36"/>
      <c r="K1396" s="36"/>
      <c r="L1396" s="36"/>
      <c r="M1396" s="36"/>
      <c r="N1396" s="36"/>
      <c r="O1396" s="36"/>
      <c r="P1396" s="36"/>
      <c r="Q1396" s="36"/>
      <c r="R1396" s="128" t="str">
        <f>"バックアップ_"&amp;SUBSTITUTE(C1396,"_結合","")</f>
        <v>バックアップ_診断履歴情報モジュール_診断病名レコード</v>
      </c>
      <c r="S1396" s="129"/>
      <c r="T1396" s="114" t="str">
        <f>エンティティ一覧!$O$2</f>
        <v>milscm_2023_009</v>
      </c>
    </row>
    <row r="1397" spans="2:23" ht="18.75" customHeight="1">
      <c r="C1397" s="112"/>
      <c r="D1397" s="113"/>
      <c r="E1397" s="117"/>
      <c r="F1397" s="37"/>
      <c r="G1397" s="38"/>
      <c r="H1397" s="37"/>
      <c r="I1397" s="37"/>
      <c r="J1397" s="37"/>
      <c r="K1397" s="37"/>
      <c r="L1397" s="37"/>
      <c r="M1397" s="37"/>
      <c r="N1397" s="37"/>
      <c r="O1397" s="37"/>
      <c r="P1397" s="37"/>
      <c r="Q1397" s="37"/>
      <c r="R1397" s="130"/>
      <c r="S1397" s="131"/>
      <c r="T1397" s="115"/>
    </row>
    <row r="1398" spans="2:23" ht="18.75" customHeight="1">
      <c r="F1398" s="39"/>
      <c r="G1398" s="40"/>
    </row>
    <row r="1399" spans="2:23" ht="18.75" customHeight="1">
      <c r="C1399" s="110" t="s">
        <v>3185</v>
      </c>
      <c r="D1399" s="111"/>
      <c r="E1399" s="114" t="str">
        <f>エンティティ一覧!$O$2</f>
        <v>milscm_2023_009</v>
      </c>
      <c r="G1399" s="41"/>
    </row>
    <row r="1400" spans="2:23" ht="18.75" customHeight="1">
      <c r="C1400" s="112"/>
      <c r="D1400" s="113"/>
      <c r="E1400" s="115"/>
      <c r="F1400" s="37"/>
    </row>
    <row r="1402" spans="2:23" ht="18.75" customHeight="1" thickBot="1">
      <c r="B1402" s="42"/>
      <c r="C1402" s="42"/>
      <c r="D1402" s="42"/>
      <c r="E1402" s="42"/>
      <c r="F1402" s="42"/>
      <c r="G1402" s="42"/>
      <c r="H1402" s="42"/>
      <c r="I1402" s="42"/>
      <c r="J1402" s="42"/>
      <c r="K1402" s="42"/>
      <c r="L1402" s="42"/>
      <c r="M1402" s="42"/>
      <c r="N1402" s="42"/>
      <c r="O1402" s="42"/>
      <c r="P1402" s="42"/>
      <c r="Q1402" s="42"/>
      <c r="R1402" s="42"/>
      <c r="S1402" s="42"/>
      <c r="T1402" s="42"/>
      <c r="U1402" s="42"/>
    </row>
    <row r="1404" spans="2:23" ht="18.75" customHeight="1">
      <c r="B1404" s="43" t="s">
        <v>163</v>
      </c>
      <c r="C1404" s="51" t="s">
        <v>3447</v>
      </c>
      <c r="D1404" s="88"/>
      <c r="W1404" s="35" t="str">
        <f>"-- "&amp;B1404&amp;" : "&amp;C1404</f>
        <v>-- SQL_ID : 01_C4-05</v>
      </c>
    </row>
    <row r="1405" spans="2:23" ht="18.75" customHeight="1">
      <c r="B1405" s="43" t="s">
        <v>158</v>
      </c>
      <c r="C1405" s="118" t="str">
        <f>R1408&amp;"登録"</f>
        <v>バックアップ_診断履歴情報モジュール_診断分類レコード登録</v>
      </c>
      <c r="D1405" s="119"/>
      <c r="E1405" s="119"/>
      <c r="F1405" s="119"/>
      <c r="G1405" s="119"/>
      <c r="H1405" s="119"/>
      <c r="I1405" s="119"/>
      <c r="J1405" s="119"/>
      <c r="K1405" s="119"/>
      <c r="L1405" s="119"/>
      <c r="M1405" s="119"/>
      <c r="N1405" s="119"/>
      <c r="O1405" s="119"/>
      <c r="P1405" s="119"/>
      <c r="Q1405" s="119"/>
      <c r="R1405" s="119"/>
      <c r="S1405" s="119"/>
      <c r="T1405" s="119"/>
      <c r="U1405" s="120"/>
      <c r="W1405" s="35" t="str">
        <f>"-- "&amp;C1405</f>
        <v>-- バックアップ_診断履歴情報モジュール_診断分類レコード登録</v>
      </c>
    </row>
    <row r="1406" spans="2:23" ht="18.75" customHeight="1">
      <c r="B1406" s="43" t="s">
        <v>159</v>
      </c>
      <c r="C1406" s="121" t="str">
        <f>C1408&amp;"テーブルから組入れ条件の第一条件で絞り込んだ結果を"&amp;R1408&amp;"テーブルに格納する。"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6" s="122"/>
      <c r="E1406" s="122"/>
      <c r="F1406" s="122"/>
      <c r="G1406" s="122"/>
      <c r="H1406" s="122"/>
      <c r="I1406" s="122"/>
      <c r="J1406" s="122"/>
      <c r="K1406" s="122"/>
      <c r="L1406" s="122"/>
      <c r="M1406" s="122"/>
      <c r="N1406" s="122"/>
      <c r="O1406" s="122"/>
      <c r="P1406" s="122"/>
      <c r="Q1406" s="122"/>
      <c r="R1406" s="122"/>
      <c r="S1406" s="122"/>
      <c r="T1406" s="122"/>
      <c r="U1406" s="123"/>
      <c r="W1406" s="35" t="str">
        <f>"-- "&amp;C1406</f>
        <v>-- 診断履歴情報モジュール_診断分類レコード_結合テーブルから組入れ条件の第一条件で絞り込んだ結果をバックアップ_診断履歴情報モジュール_診断分類レコードテーブルに格納する。</v>
      </c>
    </row>
    <row r="1408" spans="2:23" ht="18.75" customHeight="1">
      <c r="C1408" s="110" t="s">
        <v>3448</v>
      </c>
      <c r="D1408" s="111"/>
      <c r="E1408" s="116" t="s">
        <v>162</v>
      </c>
      <c r="H1408" s="36"/>
      <c r="I1408" s="36"/>
      <c r="J1408" s="36"/>
      <c r="K1408" s="36"/>
      <c r="L1408" s="36"/>
      <c r="M1408" s="36"/>
      <c r="N1408" s="36"/>
      <c r="O1408" s="36"/>
      <c r="P1408" s="36"/>
      <c r="Q1408" s="36"/>
      <c r="R1408" s="128" t="str">
        <f>"バックアップ_"&amp;SUBSTITUTE(C1408,"_結合","")</f>
        <v>バックアップ_診断履歴情報モジュール_診断分類レコード</v>
      </c>
      <c r="S1408" s="129"/>
      <c r="T1408" s="114" t="str">
        <f>エンティティ一覧!$O$2</f>
        <v>milscm_2023_009</v>
      </c>
    </row>
    <row r="1409" spans="2:23" ht="18.75" customHeight="1">
      <c r="C1409" s="112"/>
      <c r="D1409" s="113"/>
      <c r="E1409" s="117"/>
      <c r="F1409" s="37"/>
      <c r="G1409" s="38"/>
      <c r="H1409" s="37"/>
      <c r="I1409" s="37"/>
      <c r="J1409" s="37"/>
      <c r="K1409" s="37"/>
      <c r="L1409" s="37"/>
      <c r="M1409" s="37"/>
      <c r="N1409" s="37"/>
      <c r="O1409" s="37"/>
      <c r="P1409" s="37"/>
      <c r="Q1409" s="37"/>
      <c r="R1409" s="130"/>
      <c r="S1409" s="131"/>
      <c r="T1409" s="115"/>
    </row>
    <row r="1410" spans="2:23" ht="18.75" customHeight="1">
      <c r="F1410" s="39"/>
      <c r="G1410" s="40"/>
    </row>
    <row r="1411" spans="2:23" ht="18.75" customHeight="1">
      <c r="C1411" s="110" t="s">
        <v>3185</v>
      </c>
      <c r="D1411" s="111"/>
      <c r="E1411" s="114" t="str">
        <f>エンティティ一覧!$O$2</f>
        <v>milscm_2023_009</v>
      </c>
      <c r="G1411" s="41"/>
    </row>
    <row r="1412" spans="2:23" ht="18.75" customHeight="1">
      <c r="C1412" s="112"/>
      <c r="D1412" s="113"/>
      <c r="E1412" s="115"/>
      <c r="F1412" s="37"/>
    </row>
    <row r="1414" spans="2:23" ht="18.75" customHeight="1" thickBot="1">
      <c r="B1414" s="42"/>
      <c r="C1414" s="42"/>
      <c r="D1414" s="42"/>
      <c r="E1414" s="42"/>
      <c r="F1414" s="42"/>
      <c r="G1414" s="42"/>
      <c r="H1414" s="42"/>
      <c r="I1414" s="42"/>
      <c r="J1414" s="42"/>
      <c r="K1414" s="42"/>
      <c r="L1414" s="42"/>
      <c r="M1414" s="42"/>
      <c r="N1414" s="42"/>
      <c r="O1414" s="42"/>
      <c r="P1414" s="42"/>
      <c r="Q1414" s="42"/>
      <c r="R1414" s="42"/>
      <c r="S1414" s="42"/>
      <c r="T1414" s="42"/>
      <c r="U1414" s="42"/>
    </row>
    <row r="1416" spans="2:23" ht="18.75" customHeight="1">
      <c r="B1416" s="43" t="s">
        <v>163</v>
      </c>
      <c r="C1416" s="51" t="s">
        <v>3449</v>
      </c>
      <c r="D1416" s="88"/>
      <c r="W1416" s="35" t="str">
        <f>"-- "&amp;B1416&amp;" : "&amp;C1416</f>
        <v>-- SQL_ID : 01_C4-06</v>
      </c>
    </row>
    <row r="1417" spans="2:23" ht="18.75" customHeight="1">
      <c r="B1417" s="43" t="s">
        <v>158</v>
      </c>
      <c r="C1417" s="118" t="str">
        <f>R1420&amp;"登録"</f>
        <v>バックアップ_経過記録情報モジュール_経過記録情報レコード登録</v>
      </c>
      <c r="D1417" s="119"/>
      <c r="E1417" s="119"/>
      <c r="F1417" s="119"/>
      <c r="G1417" s="119"/>
      <c r="H1417" s="119"/>
      <c r="I1417" s="119"/>
      <c r="J1417" s="119"/>
      <c r="K1417" s="119"/>
      <c r="L1417" s="119"/>
      <c r="M1417" s="119"/>
      <c r="N1417" s="119"/>
      <c r="O1417" s="119"/>
      <c r="P1417" s="119"/>
      <c r="Q1417" s="119"/>
      <c r="R1417" s="119"/>
      <c r="S1417" s="119"/>
      <c r="T1417" s="119"/>
      <c r="U1417" s="120"/>
      <c r="W1417" s="35" t="str">
        <f>"-- "&amp;C1417</f>
        <v>-- バックアップ_経過記録情報モジュール_経過記録情報レコード登録</v>
      </c>
    </row>
    <row r="1418" spans="2:23" ht="18.75" customHeight="1">
      <c r="B1418" s="43" t="s">
        <v>159</v>
      </c>
      <c r="C1418" s="121" t="str">
        <f>C1420&amp;"テーブルから組入れ条件の第一条件で絞り込んだ結果を"&amp;R1420&amp;"テーブルに格納する。"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8" s="122"/>
      <c r="E1418" s="122"/>
      <c r="F1418" s="122"/>
      <c r="G1418" s="122"/>
      <c r="H1418" s="122"/>
      <c r="I1418" s="122"/>
      <c r="J1418" s="122"/>
      <c r="K1418" s="122"/>
      <c r="L1418" s="122"/>
      <c r="M1418" s="122"/>
      <c r="N1418" s="122"/>
      <c r="O1418" s="122"/>
      <c r="P1418" s="122"/>
      <c r="Q1418" s="122"/>
      <c r="R1418" s="122"/>
      <c r="S1418" s="122"/>
      <c r="T1418" s="122"/>
      <c r="U1418" s="123"/>
      <c r="W1418" s="35" t="str">
        <f>"-- "&amp;C1418</f>
        <v>-- 経過記録情報モジュール_経過記録情報レコード_結合テーブルから組入れ条件の第一条件で絞り込んだ結果をバックアップ_経過記録情報モジュール_経過記録情報レコードテーブルに格納する。</v>
      </c>
    </row>
    <row r="1420" spans="2:23" ht="18.75" customHeight="1">
      <c r="C1420" s="110" t="s">
        <v>3450</v>
      </c>
      <c r="D1420" s="111"/>
      <c r="E1420" s="116" t="s">
        <v>162</v>
      </c>
      <c r="H1420" s="36"/>
      <c r="I1420" s="36"/>
      <c r="J1420" s="36"/>
      <c r="K1420" s="36"/>
      <c r="L1420" s="36"/>
      <c r="M1420" s="36"/>
      <c r="N1420" s="36"/>
      <c r="O1420" s="36"/>
      <c r="P1420" s="36"/>
      <c r="Q1420" s="36"/>
      <c r="R1420" s="128" t="str">
        <f>"バックアップ_"&amp;SUBSTITUTE(C1420,"_結合","")</f>
        <v>バックアップ_経過記録情報モジュール_経過記録情報レコード</v>
      </c>
      <c r="S1420" s="129"/>
      <c r="T1420" s="114" t="str">
        <f>エンティティ一覧!$O$2</f>
        <v>milscm_2023_009</v>
      </c>
    </row>
    <row r="1421" spans="2:23" ht="18.75" customHeight="1">
      <c r="C1421" s="112"/>
      <c r="D1421" s="113"/>
      <c r="E1421" s="117"/>
      <c r="F1421" s="37"/>
      <c r="G1421" s="38"/>
      <c r="H1421" s="37"/>
      <c r="I1421" s="37"/>
      <c r="J1421" s="37"/>
      <c r="K1421" s="37"/>
      <c r="L1421" s="37"/>
      <c r="M1421" s="37"/>
      <c r="N1421" s="37"/>
      <c r="O1421" s="37"/>
      <c r="P1421" s="37"/>
      <c r="Q1421" s="37"/>
      <c r="R1421" s="130"/>
      <c r="S1421" s="131"/>
      <c r="T1421" s="115"/>
    </row>
    <row r="1422" spans="2:23" ht="18.75" customHeight="1">
      <c r="F1422" s="39"/>
      <c r="G1422" s="40"/>
    </row>
    <row r="1423" spans="2:23" ht="18.75" customHeight="1">
      <c r="C1423" s="110" t="s">
        <v>3185</v>
      </c>
      <c r="D1423" s="111"/>
      <c r="E1423" s="114" t="str">
        <f>エンティティ一覧!$O$2</f>
        <v>milscm_2023_009</v>
      </c>
      <c r="G1423" s="41"/>
    </row>
    <row r="1424" spans="2:23" ht="18.75" customHeight="1">
      <c r="C1424" s="112"/>
      <c r="D1424" s="113"/>
      <c r="E1424" s="115"/>
      <c r="F1424" s="37"/>
    </row>
    <row r="1426" spans="2:23" ht="18.75" customHeight="1" thickBot="1">
      <c r="B1426" s="42"/>
      <c r="C1426" s="42"/>
      <c r="D1426" s="42"/>
      <c r="E1426" s="42"/>
      <c r="F1426" s="42"/>
      <c r="G1426" s="42"/>
      <c r="H1426" s="42"/>
      <c r="I1426" s="42"/>
      <c r="J1426" s="42"/>
      <c r="K1426" s="42"/>
      <c r="L1426" s="42"/>
      <c r="M1426" s="42"/>
      <c r="N1426" s="42"/>
      <c r="O1426" s="42"/>
      <c r="P1426" s="42"/>
      <c r="Q1426" s="42"/>
      <c r="R1426" s="42"/>
      <c r="S1426" s="42"/>
      <c r="T1426" s="42"/>
      <c r="U1426" s="42"/>
    </row>
    <row r="1428" spans="2:23" ht="18.75" customHeight="1">
      <c r="B1428" s="43" t="s">
        <v>163</v>
      </c>
      <c r="C1428" s="51" t="s">
        <v>3451</v>
      </c>
      <c r="D1428" s="88"/>
      <c r="W1428" s="35" t="str">
        <f>"-- "&amp;B1428&amp;" : "&amp;C1428</f>
        <v>-- SQL_ID : 01_C4-07</v>
      </c>
    </row>
    <row r="1429" spans="2:23" ht="18.75" customHeight="1">
      <c r="B1429" s="43" t="s">
        <v>158</v>
      </c>
      <c r="C1429" s="118" t="str">
        <f>R1432&amp;"登録"</f>
        <v>バックアップ_経過記録情報モジュール_プロブレムレコード登録</v>
      </c>
      <c r="D1429" s="119"/>
      <c r="E1429" s="119"/>
      <c r="F1429" s="119"/>
      <c r="G1429" s="119"/>
      <c r="H1429" s="119"/>
      <c r="I1429" s="119"/>
      <c r="J1429" s="119"/>
      <c r="K1429" s="119"/>
      <c r="L1429" s="119"/>
      <c r="M1429" s="119"/>
      <c r="N1429" s="119"/>
      <c r="O1429" s="119"/>
      <c r="P1429" s="119"/>
      <c r="Q1429" s="119"/>
      <c r="R1429" s="119"/>
      <c r="S1429" s="119"/>
      <c r="T1429" s="119"/>
      <c r="U1429" s="120"/>
      <c r="W1429" s="35" t="str">
        <f>"-- "&amp;C1429</f>
        <v>-- バックアップ_経過記録情報モジュール_プロブレムレコード登録</v>
      </c>
    </row>
    <row r="1430" spans="2:23" ht="18.75" customHeight="1">
      <c r="B1430" s="43" t="s">
        <v>159</v>
      </c>
      <c r="C1430" s="121" t="str">
        <f>C1432&amp;"テーブルから組入れ条件の第一条件で絞り込んだ結果を"&amp;R1432&amp;"テーブルに格納する。"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30" s="122"/>
      <c r="E1430" s="122"/>
      <c r="F1430" s="122"/>
      <c r="G1430" s="122"/>
      <c r="H1430" s="122"/>
      <c r="I1430" s="122"/>
      <c r="J1430" s="122"/>
      <c r="K1430" s="122"/>
      <c r="L1430" s="122"/>
      <c r="M1430" s="122"/>
      <c r="N1430" s="122"/>
      <c r="O1430" s="122"/>
      <c r="P1430" s="122"/>
      <c r="Q1430" s="122"/>
      <c r="R1430" s="122"/>
      <c r="S1430" s="122"/>
      <c r="T1430" s="122"/>
      <c r="U1430" s="123"/>
      <c r="W1430" s="35" t="str">
        <f>"-- "&amp;C1430</f>
        <v>-- 経過記録情報モジュール_プロブレムレコード_結合テーブルから組入れ条件の第一条件で絞り込んだ結果をバックアップ_経過記録情報モジュール_プロブレムレコードテーブルに格納する。</v>
      </c>
    </row>
    <row r="1432" spans="2:23" ht="18.75" customHeight="1">
      <c r="C1432" s="110" t="s">
        <v>3452</v>
      </c>
      <c r="D1432" s="111"/>
      <c r="E1432" s="116" t="s">
        <v>162</v>
      </c>
      <c r="H1432" s="36"/>
      <c r="I1432" s="36"/>
      <c r="J1432" s="36"/>
      <c r="K1432" s="36"/>
      <c r="L1432" s="36"/>
      <c r="M1432" s="36"/>
      <c r="N1432" s="36"/>
      <c r="O1432" s="36"/>
      <c r="P1432" s="36"/>
      <c r="Q1432" s="36"/>
      <c r="R1432" s="128" t="str">
        <f>"バックアップ_"&amp;SUBSTITUTE(C1432,"_結合","")</f>
        <v>バックアップ_経過記録情報モジュール_プロブレムレコード</v>
      </c>
      <c r="S1432" s="129"/>
      <c r="T1432" s="114" t="str">
        <f>エンティティ一覧!$O$2</f>
        <v>milscm_2023_009</v>
      </c>
    </row>
    <row r="1433" spans="2:23" ht="18.75" customHeight="1">
      <c r="C1433" s="112"/>
      <c r="D1433" s="113"/>
      <c r="E1433" s="117"/>
      <c r="F1433" s="37"/>
      <c r="G1433" s="38"/>
      <c r="H1433" s="37"/>
      <c r="I1433" s="37"/>
      <c r="J1433" s="37"/>
      <c r="K1433" s="37"/>
      <c r="L1433" s="37"/>
      <c r="M1433" s="37"/>
      <c r="N1433" s="37"/>
      <c r="O1433" s="37"/>
      <c r="P1433" s="37"/>
      <c r="Q1433" s="37"/>
      <c r="R1433" s="130"/>
      <c r="S1433" s="131"/>
      <c r="T1433" s="115"/>
    </row>
    <row r="1434" spans="2:23" ht="18.75" customHeight="1">
      <c r="F1434" s="39"/>
      <c r="G1434" s="40"/>
    </row>
    <row r="1435" spans="2:23" ht="18.75" customHeight="1">
      <c r="C1435" s="110" t="s">
        <v>3185</v>
      </c>
      <c r="D1435" s="111"/>
      <c r="E1435" s="114" t="str">
        <f>エンティティ一覧!$O$2</f>
        <v>milscm_2023_009</v>
      </c>
      <c r="G1435" s="41"/>
    </row>
    <row r="1436" spans="2:23" ht="18.75" customHeight="1">
      <c r="C1436" s="112"/>
      <c r="D1436" s="113"/>
      <c r="E1436" s="115"/>
      <c r="F1436" s="37"/>
    </row>
    <row r="1438" spans="2:23" ht="18.75" customHeight="1" thickBot="1">
      <c r="B1438" s="42"/>
      <c r="C1438" s="42"/>
      <c r="D1438" s="42"/>
      <c r="E1438" s="42"/>
      <c r="F1438" s="42"/>
      <c r="G1438" s="42"/>
      <c r="H1438" s="42"/>
      <c r="I1438" s="42"/>
      <c r="J1438" s="42"/>
      <c r="K1438" s="42"/>
      <c r="L1438" s="42"/>
      <c r="M1438" s="42"/>
      <c r="N1438" s="42"/>
      <c r="O1438" s="42"/>
      <c r="P1438" s="42"/>
      <c r="Q1438" s="42"/>
      <c r="R1438" s="42"/>
      <c r="S1438" s="42"/>
      <c r="T1438" s="42"/>
      <c r="U1438" s="42"/>
    </row>
    <row r="1440" spans="2:23" ht="18.75" customHeight="1">
      <c r="B1440" s="43" t="s">
        <v>163</v>
      </c>
      <c r="C1440" s="51" t="s">
        <v>3453</v>
      </c>
      <c r="D1440" s="88"/>
      <c r="W1440" s="35" t="str">
        <f>"-- "&amp;B1440&amp;" : "&amp;C1440</f>
        <v>-- SQL_ID : 01_C4-08</v>
      </c>
    </row>
    <row r="1441" spans="2:23" ht="18.75" customHeight="1">
      <c r="B1441" s="43" t="s">
        <v>158</v>
      </c>
      <c r="C1441" s="118" t="str">
        <f>R1444&amp;"登録"</f>
        <v>バックアップ_経過記録情報モジュール_身体所見レコード登録</v>
      </c>
      <c r="D1441" s="119"/>
      <c r="E1441" s="119"/>
      <c r="F1441" s="119"/>
      <c r="G1441" s="119"/>
      <c r="H1441" s="119"/>
      <c r="I1441" s="119"/>
      <c r="J1441" s="119"/>
      <c r="K1441" s="119"/>
      <c r="L1441" s="119"/>
      <c r="M1441" s="119"/>
      <c r="N1441" s="119"/>
      <c r="O1441" s="119"/>
      <c r="P1441" s="119"/>
      <c r="Q1441" s="119"/>
      <c r="R1441" s="119"/>
      <c r="S1441" s="119"/>
      <c r="T1441" s="119"/>
      <c r="U1441" s="120"/>
      <c r="W1441" s="35" t="str">
        <f>"-- "&amp;C1441</f>
        <v>-- バックアップ_経過記録情報モジュール_身体所見レコード登録</v>
      </c>
    </row>
    <row r="1442" spans="2:23" ht="18.75" customHeight="1">
      <c r="B1442" s="43" t="s">
        <v>159</v>
      </c>
      <c r="C1442" s="121" t="str">
        <f>C1444&amp;"テーブルから組入れ条件の第一条件で絞り込んだ結果を"&amp;R1444&amp;"テーブルに格納する。"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42" s="122"/>
      <c r="E1442" s="122"/>
      <c r="F1442" s="122"/>
      <c r="G1442" s="122"/>
      <c r="H1442" s="122"/>
      <c r="I1442" s="122"/>
      <c r="J1442" s="122"/>
      <c r="K1442" s="122"/>
      <c r="L1442" s="122"/>
      <c r="M1442" s="122"/>
      <c r="N1442" s="122"/>
      <c r="O1442" s="122"/>
      <c r="P1442" s="122"/>
      <c r="Q1442" s="122"/>
      <c r="R1442" s="122"/>
      <c r="S1442" s="122"/>
      <c r="T1442" s="122"/>
      <c r="U1442" s="123"/>
      <c r="W1442" s="35" t="str">
        <f>"-- "&amp;C1442</f>
        <v>-- 経過記録情報モジュール_身体所見レコード_結合テーブルから組入れ条件の第一条件で絞り込んだ結果をバックアップ_経過記録情報モジュール_身体所見レコードテーブルに格納する。</v>
      </c>
    </row>
    <row r="1444" spans="2:23" ht="18.75" customHeight="1">
      <c r="C1444" s="110" t="s">
        <v>3454</v>
      </c>
      <c r="D1444" s="111"/>
      <c r="E1444" s="116" t="s">
        <v>162</v>
      </c>
      <c r="H1444" s="36"/>
      <c r="I1444" s="36"/>
      <c r="J1444" s="36"/>
      <c r="K1444" s="36"/>
      <c r="L1444" s="36"/>
      <c r="M1444" s="36"/>
      <c r="N1444" s="36"/>
      <c r="O1444" s="36"/>
      <c r="P1444" s="36"/>
      <c r="Q1444" s="36"/>
      <c r="R1444" s="128" t="str">
        <f>"バックアップ_"&amp;SUBSTITUTE(C1444,"_結合","")</f>
        <v>バックアップ_経過記録情報モジュール_身体所見レコード</v>
      </c>
      <c r="S1444" s="129"/>
      <c r="T1444" s="114" t="str">
        <f>エンティティ一覧!$O$2</f>
        <v>milscm_2023_009</v>
      </c>
    </row>
    <row r="1445" spans="2:23" ht="18.75" customHeight="1">
      <c r="C1445" s="112"/>
      <c r="D1445" s="113"/>
      <c r="E1445" s="117"/>
      <c r="F1445" s="37"/>
      <c r="G1445" s="38"/>
      <c r="H1445" s="37"/>
      <c r="I1445" s="37"/>
      <c r="J1445" s="37"/>
      <c r="K1445" s="37"/>
      <c r="L1445" s="37"/>
      <c r="M1445" s="37"/>
      <c r="N1445" s="37"/>
      <c r="O1445" s="37"/>
      <c r="P1445" s="37"/>
      <c r="Q1445" s="37"/>
      <c r="R1445" s="130"/>
      <c r="S1445" s="131"/>
      <c r="T1445" s="115"/>
    </row>
    <row r="1446" spans="2:23" ht="18.75" customHeight="1">
      <c r="F1446" s="39"/>
      <c r="G1446" s="40"/>
    </row>
    <row r="1447" spans="2:23" ht="18.75" customHeight="1">
      <c r="C1447" s="110" t="s">
        <v>3185</v>
      </c>
      <c r="D1447" s="111"/>
      <c r="E1447" s="114" t="str">
        <f>エンティティ一覧!$O$2</f>
        <v>milscm_2023_009</v>
      </c>
      <c r="G1447" s="41"/>
    </row>
    <row r="1448" spans="2:23" ht="18.75" customHeight="1">
      <c r="C1448" s="112"/>
      <c r="D1448" s="113"/>
      <c r="E1448" s="115"/>
      <c r="F1448" s="37"/>
    </row>
    <row r="1450" spans="2:23" ht="18.75" customHeight="1" thickBot="1">
      <c r="B1450" s="42"/>
      <c r="C1450" s="42"/>
      <c r="D1450" s="42"/>
      <c r="E1450" s="42"/>
      <c r="F1450" s="42"/>
      <c r="G1450" s="42"/>
      <c r="H1450" s="42"/>
      <c r="I1450" s="42"/>
      <c r="J1450" s="42"/>
      <c r="K1450" s="42"/>
      <c r="L1450" s="42"/>
      <c r="M1450" s="42"/>
      <c r="N1450" s="42"/>
      <c r="O1450" s="42"/>
      <c r="P1450" s="42"/>
      <c r="Q1450" s="42"/>
      <c r="R1450" s="42"/>
      <c r="S1450" s="42"/>
      <c r="T1450" s="42"/>
      <c r="U1450" s="42"/>
    </row>
    <row r="1452" spans="2:23" ht="18.75" customHeight="1">
      <c r="B1452" s="43" t="s">
        <v>163</v>
      </c>
      <c r="C1452" s="51" t="s">
        <v>3455</v>
      </c>
      <c r="D1452" s="88"/>
      <c r="W1452" s="35" t="str">
        <f>"-- "&amp;B1452&amp;" : "&amp;C1452</f>
        <v>-- SQL_ID : 01_C4-15</v>
      </c>
    </row>
    <row r="1453" spans="2:23" ht="18.75" customHeight="1">
      <c r="B1453" s="43" t="s">
        <v>158</v>
      </c>
      <c r="C1453" s="118" t="str">
        <f>R1456&amp;"登録"</f>
        <v>バックアップ_経過記録情報モジュール_アセスメントレコード登録</v>
      </c>
      <c r="D1453" s="119"/>
      <c r="E1453" s="119"/>
      <c r="F1453" s="119"/>
      <c r="G1453" s="119"/>
      <c r="H1453" s="119"/>
      <c r="I1453" s="119"/>
      <c r="J1453" s="119"/>
      <c r="K1453" s="119"/>
      <c r="L1453" s="119"/>
      <c r="M1453" s="119"/>
      <c r="N1453" s="119"/>
      <c r="O1453" s="119"/>
      <c r="P1453" s="119"/>
      <c r="Q1453" s="119"/>
      <c r="R1453" s="119"/>
      <c r="S1453" s="119"/>
      <c r="T1453" s="119"/>
      <c r="U1453" s="120"/>
      <c r="W1453" s="35" t="str">
        <f>"-- "&amp;C1453</f>
        <v>-- バックアップ_経過記録情報モジュール_アセスメントレコード登録</v>
      </c>
    </row>
    <row r="1454" spans="2:23" ht="18.75" customHeight="1">
      <c r="B1454" s="43" t="s">
        <v>159</v>
      </c>
      <c r="C1454" s="121" t="str">
        <f>C1456&amp;"テーブルから組入れ条件の第一条件で絞り込んだ結果を"&amp;R1456&amp;"テーブルに格納する。"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4" s="122"/>
      <c r="E1454" s="122"/>
      <c r="F1454" s="122"/>
      <c r="G1454" s="122"/>
      <c r="H1454" s="122"/>
      <c r="I1454" s="122"/>
      <c r="J1454" s="122"/>
      <c r="K1454" s="122"/>
      <c r="L1454" s="122"/>
      <c r="M1454" s="122"/>
      <c r="N1454" s="122"/>
      <c r="O1454" s="122"/>
      <c r="P1454" s="122"/>
      <c r="Q1454" s="122"/>
      <c r="R1454" s="122"/>
      <c r="S1454" s="122"/>
      <c r="T1454" s="122"/>
      <c r="U1454" s="123"/>
      <c r="W1454" s="35" t="str">
        <f>"-- "&amp;C1454</f>
        <v>-- 経過記録情報モジュール_アセスメントレコード_結合テーブルから組入れ条件の第一条件で絞り込んだ結果をバックアップ_経過記録情報モジュール_アセスメントレコードテーブルに格納する。</v>
      </c>
    </row>
    <row r="1456" spans="2:23" ht="18.75" customHeight="1">
      <c r="C1456" s="110" t="s">
        <v>3456</v>
      </c>
      <c r="D1456" s="111"/>
      <c r="E1456" s="116" t="s">
        <v>162</v>
      </c>
      <c r="H1456" s="36"/>
      <c r="I1456" s="36"/>
      <c r="J1456" s="36"/>
      <c r="K1456" s="36"/>
      <c r="L1456" s="36"/>
      <c r="M1456" s="36"/>
      <c r="N1456" s="36"/>
      <c r="O1456" s="36"/>
      <c r="P1456" s="36"/>
      <c r="Q1456" s="36"/>
      <c r="R1456" s="128" t="str">
        <f>"バックアップ_"&amp;SUBSTITUTE(C1456,"_結合","")</f>
        <v>バックアップ_経過記録情報モジュール_アセスメントレコード</v>
      </c>
      <c r="S1456" s="129"/>
      <c r="T1456" s="114" t="str">
        <f>エンティティ一覧!$O$2</f>
        <v>milscm_2023_009</v>
      </c>
    </row>
    <row r="1457" spans="2:23" ht="18.75" customHeight="1">
      <c r="C1457" s="112"/>
      <c r="D1457" s="113"/>
      <c r="E1457" s="117"/>
      <c r="F1457" s="37"/>
      <c r="G1457" s="38"/>
      <c r="H1457" s="37"/>
      <c r="I1457" s="37"/>
      <c r="J1457" s="37"/>
      <c r="K1457" s="37"/>
      <c r="L1457" s="37"/>
      <c r="M1457" s="37"/>
      <c r="N1457" s="37"/>
      <c r="O1457" s="37"/>
      <c r="P1457" s="37"/>
      <c r="Q1457" s="37"/>
      <c r="R1457" s="130"/>
      <c r="S1457" s="131"/>
      <c r="T1457" s="115"/>
    </row>
    <row r="1458" spans="2:23" ht="18.75" customHeight="1">
      <c r="F1458" s="39"/>
      <c r="G1458" s="40"/>
    </row>
    <row r="1459" spans="2:23" ht="18.75" customHeight="1">
      <c r="C1459" s="110" t="s">
        <v>3185</v>
      </c>
      <c r="D1459" s="111"/>
      <c r="E1459" s="114" t="str">
        <f>エンティティ一覧!$O$2</f>
        <v>milscm_2023_009</v>
      </c>
      <c r="G1459" s="41"/>
    </row>
    <row r="1460" spans="2:23" ht="18.75" customHeight="1">
      <c r="C1460" s="112"/>
      <c r="D1460" s="113"/>
      <c r="E1460" s="115"/>
      <c r="F1460" s="37"/>
    </row>
    <row r="1462" spans="2:23" ht="18.75" customHeight="1" thickBot="1">
      <c r="B1462" s="42"/>
      <c r="C1462" s="42"/>
      <c r="D1462" s="42"/>
      <c r="E1462" s="42"/>
      <c r="F1462" s="42"/>
      <c r="G1462" s="42"/>
      <c r="H1462" s="42"/>
      <c r="I1462" s="42"/>
      <c r="J1462" s="42"/>
      <c r="K1462" s="42"/>
      <c r="L1462" s="42"/>
      <c r="M1462" s="42"/>
      <c r="N1462" s="42"/>
      <c r="O1462" s="42"/>
      <c r="P1462" s="42"/>
      <c r="Q1462" s="42"/>
      <c r="R1462" s="42"/>
      <c r="S1462" s="42"/>
      <c r="T1462" s="42"/>
      <c r="U1462" s="42"/>
    </row>
    <row r="1464" spans="2:23" ht="18.75" customHeight="1">
      <c r="B1464" s="43" t="s">
        <v>163</v>
      </c>
      <c r="C1464" s="51" t="s">
        <v>3457</v>
      </c>
      <c r="D1464" s="88"/>
      <c r="W1464" s="35" t="str">
        <f>"-- "&amp;B1464&amp;" : "&amp;C1464</f>
        <v>-- SQL_ID : 01_C4-22</v>
      </c>
    </row>
    <row r="1465" spans="2:23" ht="18.75" customHeight="1">
      <c r="B1465" s="43" t="s">
        <v>158</v>
      </c>
      <c r="C1465" s="118" t="str">
        <f>R1468&amp;"登録"</f>
        <v>バックアップ_経過記録情報モジュール_外部参照レコード登録</v>
      </c>
      <c r="D1465" s="119"/>
      <c r="E1465" s="119"/>
      <c r="F1465" s="119"/>
      <c r="G1465" s="119"/>
      <c r="H1465" s="119"/>
      <c r="I1465" s="119"/>
      <c r="J1465" s="119"/>
      <c r="K1465" s="119"/>
      <c r="L1465" s="119"/>
      <c r="M1465" s="119"/>
      <c r="N1465" s="119"/>
      <c r="O1465" s="119"/>
      <c r="P1465" s="119"/>
      <c r="Q1465" s="119"/>
      <c r="R1465" s="119"/>
      <c r="S1465" s="119"/>
      <c r="T1465" s="119"/>
      <c r="U1465" s="120"/>
      <c r="W1465" s="35" t="str">
        <f>"-- "&amp;C1465</f>
        <v>-- バックアップ_経過記録情報モジュール_外部参照レコード登録</v>
      </c>
    </row>
    <row r="1466" spans="2:23" ht="18.75" customHeight="1">
      <c r="B1466" s="43" t="s">
        <v>159</v>
      </c>
      <c r="C1466" s="121" t="str">
        <f>C1468&amp;"テーブルから組入れ条件の第一条件で絞り込んだ結果を"&amp;R1468&amp;"テーブルに格納する。"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6" s="122"/>
      <c r="E1466" s="122"/>
      <c r="F1466" s="122"/>
      <c r="G1466" s="122"/>
      <c r="H1466" s="122"/>
      <c r="I1466" s="122"/>
      <c r="J1466" s="122"/>
      <c r="K1466" s="122"/>
      <c r="L1466" s="122"/>
      <c r="M1466" s="122"/>
      <c r="N1466" s="122"/>
      <c r="O1466" s="122"/>
      <c r="P1466" s="122"/>
      <c r="Q1466" s="122"/>
      <c r="R1466" s="122"/>
      <c r="S1466" s="122"/>
      <c r="T1466" s="122"/>
      <c r="U1466" s="123"/>
      <c r="W1466" s="35" t="str">
        <f>"-- "&amp;C1466</f>
        <v>-- 経過記録情報モジュール_外部参照レコード_結合テーブルから組入れ条件の第一条件で絞り込んだ結果をバックアップ_経過記録情報モジュール_外部参照レコードテーブルに格納する。</v>
      </c>
    </row>
    <row r="1468" spans="2:23" ht="18.75" customHeight="1">
      <c r="C1468" s="110" t="s">
        <v>3458</v>
      </c>
      <c r="D1468" s="111"/>
      <c r="E1468" s="116" t="s">
        <v>162</v>
      </c>
      <c r="H1468" s="36"/>
      <c r="I1468" s="36"/>
      <c r="J1468" s="36"/>
      <c r="K1468" s="36"/>
      <c r="L1468" s="36"/>
      <c r="M1468" s="36"/>
      <c r="N1468" s="36"/>
      <c r="O1468" s="36"/>
      <c r="P1468" s="36"/>
      <c r="Q1468" s="36"/>
      <c r="R1468" s="128" t="str">
        <f>"バックアップ_"&amp;SUBSTITUTE(C1468,"_結合","")</f>
        <v>バックアップ_経過記録情報モジュール_外部参照レコード</v>
      </c>
      <c r="S1468" s="129"/>
      <c r="T1468" s="114" t="str">
        <f>エンティティ一覧!$O$2</f>
        <v>milscm_2023_009</v>
      </c>
    </row>
    <row r="1469" spans="2:23" ht="18.75" customHeight="1">
      <c r="C1469" s="112"/>
      <c r="D1469" s="113"/>
      <c r="E1469" s="117"/>
      <c r="F1469" s="37"/>
      <c r="G1469" s="38"/>
      <c r="H1469" s="37"/>
      <c r="I1469" s="37"/>
      <c r="J1469" s="37"/>
      <c r="K1469" s="37"/>
      <c r="L1469" s="37"/>
      <c r="M1469" s="37"/>
      <c r="N1469" s="37"/>
      <c r="O1469" s="37"/>
      <c r="P1469" s="37"/>
      <c r="Q1469" s="37"/>
      <c r="R1469" s="130"/>
      <c r="S1469" s="131"/>
      <c r="T1469" s="115"/>
    </row>
    <row r="1470" spans="2:23" ht="18.75" customHeight="1">
      <c r="F1470" s="39"/>
      <c r="G1470" s="40"/>
    </row>
    <row r="1471" spans="2:23" ht="18.75" customHeight="1">
      <c r="C1471" s="110" t="s">
        <v>3185</v>
      </c>
      <c r="D1471" s="111"/>
      <c r="E1471" s="114" t="str">
        <f>エンティティ一覧!$O$2</f>
        <v>milscm_2023_009</v>
      </c>
      <c r="G1471" s="41"/>
    </row>
    <row r="1472" spans="2:23" ht="18.75" customHeight="1">
      <c r="C1472" s="112"/>
      <c r="D1472" s="113"/>
      <c r="E1472" s="115"/>
      <c r="F1472" s="37"/>
    </row>
    <row r="1474" spans="2:23" ht="18.75" customHeight="1" thickBot="1">
      <c r="B1474" s="42"/>
      <c r="C1474" s="42"/>
      <c r="D1474" s="42"/>
      <c r="E1474" s="42"/>
      <c r="F1474" s="42"/>
      <c r="G1474" s="42"/>
      <c r="H1474" s="42"/>
      <c r="I1474" s="42"/>
      <c r="J1474" s="42"/>
      <c r="K1474" s="42"/>
      <c r="L1474" s="42"/>
      <c r="M1474" s="42"/>
      <c r="N1474" s="42"/>
      <c r="O1474" s="42"/>
      <c r="P1474" s="42"/>
      <c r="Q1474" s="42"/>
      <c r="R1474" s="42"/>
      <c r="S1474" s="42"/>
      <c r="T1474" s="42"/>
      <c r="U1474" s="42"/>
    </row>
    <row r="1476" spans="2:23" ht="18.75" customHeight="1">
      <c r="B1476" s="43" t="s">
        <v>163</v>
      </c>
      <c r="C1476" s="51" t="s">
        <v>3459</v>
      </c>
      <c r="D1476" s="88"/>
      <c r="W1476" s="35" t="str">
        <f>"-- "&amp;B1476&amp;" : "&amp;C1476</f>
        <v>-- SQL_ID : 01_C4-23</v>
      </c>
    </row>
    <row r="1477" spans="2:23" ht="18.75" customHeight="1">
      <c r="B1477" s="43" t="s">
        <v>158</v>
      </c>
      <c r="C1477" s="118" t="str">
        <f>R1480&amp;"登録"</f>
        <v>バックアップ_臨床サマリーモジュール_臨床サマリー情報レコード登録</v>
      </c>
      <c r="D1477" s="119"/>
      <c r="E1477" s="119"/>
      <c r="F1477" s="119"/>
      <c r="G1477" s="119"/>
      <c r="H1477" s="119"/>
      <c r="I1477" s="119"/>
      <c r="J1477" s="119"/>
      <c r="K1477" s="119"/>
      <c r="L1477" s="119"/>
      <c r="M1477" s="119"/>
      <c r="N1477" s="119"/>
      <c r="O1477" s="119"/>
      <c r="P1477" s="119"/>
      <c r="Q1477" s="119"/>
      <c r="R1477" s="119"/>
      <c r="S1477" s="119"/>
      <c r="T1477" s="119"/>
      <c r="U1477" s="120"/>
      <c r="W1477" s="35" t="str">
        <f>"-- "&amp;C1477</f>
        <v>-- バックアップ_臨床サマリーモジュール_臨床サマリー情報レコード登録</v>
      </c>
    </row>
    <row r="1478" spans="2:23" ht="18.75" customHeight="1">
      <c r="B1478" s="43" t="s">
        <v>159</v>
      </c>
      <c r="C1478" s="121" t="str">
        <f>C1480&amp;"テーブルから組入れ条件の第一条件で絞り込んだ結果を"&amp;R1480&amp;"テーブルに格納する。"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8" s="122"/>
      <c r="E1478" s="122"/>
      <c r="F1478" s="122"/>
      <c r="G1478" s="122"/>
      <c r="H1478" s="122"/>
      <c r="I1478" s="122"/>
      <c r="J1478" s="122"/>
      <c r="K1478" s="122"/>
      <c r="L1478" s="122"/>
      <c r="M1478" s="122"/>
      <c r="N1478" s="122"/>
      <c r="O1478" s="122"/>
      <c r="P1478" s="122"/>
      <c r="Q1478" s="122"/>
      <c r="R1478" s="122"/>
      <c r="S1478" s="122"/>
      <c r="T1478" s="122"/>
      <c r="U1478" s="123"/>
      <c r="W1478" s="35" t="str">
        <f>"-- "&amp;C1478</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80" spans="2:23" ht="18.75" customHeight="1">
      <c r="C1480" s="124" t="s">
        <v>3460</v>
      </c>
      <c r="D1480" s="125"/>
      <c r="E1480" s="116" t="s">
        <v>162</v>
      </c>
      <c r="H1480" s="36"/>
      <c r="I1480" s="36"/>
      <c r="J1480" s="36"/>
      <c r="K1480" s="36"/>
      <c r="L1480" s="36"/>
      <c r="M1480" s="36"/>
      <c r="N1480" s="36"/>
      <c r="O1480" s="36"/>
      <c r="P1480" s="36"/>
      <c r="Q1480" s="36"/>
      <c r="R1480" s="132" t="str">
        <f>"バックアップ_"&amp;SUBSTITUTE(C1480,"_結合","")</f>
        <v>バックアップ_臨床サマリーモジュール_臨床サマリー情報レコード</v>
      </c>
      <c r="S1480" s="133"/>
      <c r="T1480" s="114" t="str">
        <f>エンティティ一覧!$O$2</f>
        <v>milscm_2023_009</v>
      </c>
    </row>
    <row r="1481" spans="2:23" ht="18.75" customHeight="1">
      <c r="C1481" s="126"/>
      <c r="D1481" s="127"/>
      <c r="E1481" s="117"/>
      <c r="F1481" s="37"/>
      <c r="G1481" s="38"/>
      <c r="H1481" s="37"/>
      <c r="I1481" s="37"/>
      <c r="J1481" s="37"/>
      <c r="K1481" s="37"/>
      <c r="L1481" s="37"/>
      <c r="M1481" s="37"/>
      <c r="N1481" s="37"/>
      <c r="O1481" s="37"/>
      <c r="P1481" s="37"/>
      <c r="Q1481" s="37"/>
      <c r="R1481" s="134"/>
      <c r="S1481" s="135"/>
      <c r="T1481" s="115"/>
    </row>
    <row r="1482" spans="2:23" ht="18.75" customHeight="1">
      <c r="F1482" s="39"/>
      <c r="G1482" s="40"/>
    </row>
    <row r="1483" spans="2:23" ht="18.75" customHeight="1">
      <c r="C1483" s="110" t="s">
        <v>3185</v>
      </c>
      <c r="D1483" s="111"/>
      <c r="E1483" s="114" t="str">
        <f>エンティティ一覧!$O$2</f>
        <v>milscm_2023_009</v>
      </c>
      <c r="G1483" s="41"/>
    </row>
    <row r="1484" spans="2:23" ht="18.75" customHeight="1">
      <c r="C1484" s="112"/>
      <c r="D1484" s="113"/>
      <c r="E1484" s="115"/>
      <c r="F1484" s="37"/>
    </row>
    <row r="1486" spans="2:23" ht="18.75" customHeight="1" thickBot="1">
      <c r="B1486" s="42"/>
      <c r="C1486" s="42"/>
      <c r="D1486" s="42"/>
      <c r="E1486" s="42"/>
      <c r="F1486" s="42"/>
      <c r="G1486" s="42"/>
      <c r="H1486" s="42"/>
      <c r="I1486" s="42"/>
      <c r="J1486" s="42"/>
      <c r="K1486" s="42"/>
      <c r="L1486" s="42"/>
      <c r="M1486" s="42"/>
      <c r="N1486" s="42"/>
      <c r="O1486" s="42"/>
      <c r="P1486" s="42"/>
      <c r="Q1486" s="42"/>
      <c r="R1486" s="42"/>
      <c r="S1486" s="42"/>
      <c r="T1486" s="42"/>
      <c r="U1486" s="42"/>
    </row>
    <row r="1488" spans="2:23" ht="18.75" customHeight="1">
      <c r="B1488" s="43" t="s">
        <v>163</v>
      </c>
      <c r="C1488" s="51" t="s">
        <v>3461</v>
      </c>
      <c r="D1488" s="88"/>
      <c r="W1488" s="35" t="str">
        <f>"-- "&amp;B1488&amp;" : "&amp;C1488</f>
        <v>-- SQL_ID : 01_C4-24</v>
      </c>
    </row>
    <row r="1489" spans="2:23" ht="18.75" customHeight="1">
      <c r="B1489" s="43" t="s">
        <v>158</v>
      </c>
      <c r="C1489" s="118" t="str">
        <f>R1492&amp;"登録"</f>
        <v>バックアップ_臨床サマリーモジュール_外来受診レコード登録</v>
      </c>
      <c r="D1489" s="119"/>
      <c r="E1489" s="119"/>
      <c r="F1489" s="119"/>
      <c r="G1489" s="119"/>
      <c r="H1489" s="119"/>
      <c r="I1489" s="119"/>
      <c r="J1489" s="119"/>
      <c r="K1489" s="119"/>
      <c r="L1489" s="119"/>
      <c r="M1489" s="119"/>
      <c r="N1489" s="119"/>
      <c r="O1489" s="119"/>
      <c r="P1489" s="119"/>
      <c r="Q1489" s="119"/>
      <c r="R1489" s="119"/>
      <c r="S1489" s="119"/>
      <c r="T1489" s="119"/>
      <c r="U1489" s="120"/>
      <c r="W1489" s="35" t="str">
        <f>"-- "&amp;C1489</f>
        <v>-- バックアップ_臨床サマリーモジュール_外来受診レコード登録</v>
      </c>
    </row>
    <row r="1490" spans="2:23" ht="18.75" customHeight="1">
      <c r="B1490" s="43" t="s">
        <v>159</v>
      </c>
      <c r="C1490" s="121" t="str">
        <f>C1492&amp;"テーブルから組入れ条件の第一条件で絞り込んだ結果を"&amp;R1492&amp;"テーブルに格納する。"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90" s="122"/>
      <c r="E1490" s="122"/>
      <c r="F1490" s="122"/>
      <c r="G1490" s="122"/>
      <c r="H1490" s="122"/>
      <c r="I1490" s="122"/>
      <c r="J1490" s="122"/>
      <c r="K1490" s="122"/>
      <c r="L1490" s="122"/>
      <c r="M1490" s="122"/>
      <c r="N1490" s="122"/>
      <c r="O1490" s="122"/>
      <c r="P1490" s="122"/>
      <c r="Q1490" s="122"/>
      <c r="R1490" s="122"/>
      <c r="S1490" s="122"/>
      <c r="T1490" s="122"/>
      <c r="U1490" s="123"/>
      <c r="W1490" s="35" t="str">
        <f>"-- "&amp;C1490</f>
        <v>-- 臨床サマリーモジュール_外来受診レコード_結合テーブルから組入れ条件の第一条件で絞り込んだ結果をバックアップ_臨床サマリーモジュール_外来受診レコードテーブルに格納する。</v>
      </c>
    </row>
    <row r="1492" spans="2:23" ht="18.75" customHeight="1">
      <c r="C1492" s="110" t="s">
        <v>3462</v>
      </c>
      <c r="D1492" s="111"/>
      <c r="E1492" s="116" t="s">
        <v>162</v>
      </c>
      <c r="H1492" s="36"/>
      <c r="I1492" s="36"/>
      <c r="J1492" s="36"/>
      <c r="K1492" s="36"/>
      <c r="L1492" s="36"/>
      <c r="M1492" s="36"/>
      <c r="N1492" s="36"/>
      <c r="O1492" s="36"/>
      <c r="P1492" s="36"/>
      <c r="Q1492" s="36"/>
      <c r="R1492" s="128" t="str">
        <f>"バックアップ_"&amp;SUBSTITUTE(C1492,"_結合","")</f>
        <v>バックアップ_臨床サマリーモジュール_外来受診レコード</v>
      </c>
      <c r="S1492" s="129"/>
      <c r="T1492" s="114" t="str">
        <f>エンティティ一覧!$O$2</f>
        <v>milscm_2023_009</v>
      </c>
    </row>
    <row r="1493" spans="2:23" ht="18.75" customHeight="1">
      <c r="C1493" s="112"/>
      <c r="D1493" s="113"/>
      <c r="E1493" s="117"/>
      <c r="F1493" s="37"/>
      <c r="G1493" s="38"/>
      <c r="H1493" s="37"/>
      <c r="I1493" s="37"/>
      <c r="J1493" s="37"/>
      <c r="K1493" s="37"/>
      <c r="L1493" s="37"/>
      <c r="M1493" s="37"/>
      <c r="N1493" s="37"/>
      <c r="O1493" s="37"/>
      <c r="P1493" s="37"/>
      <c r="Q1493" s="37"/>
      <c r="R1493" s="130"/>
      <c r="S1493" s="131"/>
      <c r="T1493" s="115"/>
    </row>
    <row r="1494" spans="2:23" ht="18.75" customHeight="1">
      <c r="F1494" s="39"/>
      <c r="G1494" s="40"/>
    </row>
    <row r="1495" spans="2:23" ht="18.75" customHeight="1">
      <c r="C1495" s="110" t="s">
        <v>3185</v>
      </c>
      <c r="D1495" s="111"/>
      <c r="E1495" s="114" t="str">
        <f>エンティティ一覧!$O$2</f>
        <v>milscm_2023_009</v>
      </c>
      <c r="G1495" s="41"/>
    </row>
    <row r="1496" spans="2:23" ht="18.75" customHeight="1">
      <c r="C1496" s="112"/>
      <c r="D1496" s="113"/>
      <c r="E1496" s="115"/>
      <c r="F1496" s="37"/>
    </row>
    <row r="1498" spans="2:23" ht="18.75" customHeight="1" thickBot="1">
      <c r="B1498" s="42"/>
      <c r="C1498" s="42"/>
      <c r="D1498" s="42"/>
      <c r="E1498" s="42"/>
      <c r="F1498" s="42"/>
      <c r="G1498" s="42"/>
      <c r="H1498" s="42"/>
      <c r="I1498" s="42"/>
      <c r="J1498" s="42"/>
      <c r="K1498" s="42"/>
      <c r="L1498" s="42"/>
      <c r="M1498" s="42"/>
      <c r="N1498" s="42"/>
      <c r="O1498" s="42"/>
      <c r="P1498" s="42"/>
      <c r="Q1498" s="42"/>
      <c r="R1498" s="42"/>
      <c r="S1498" s="42"/>
      <c r="T1498" s="42"/>
      <c r="U1498" s="42"/>
    </row>
    <row r="1500" spans="2:23" ht="18.75" customHeight="1">
      <c r="B1500" s="43" t="s">
        <v>163</v>
      </c>
      <c r="C1500" s="51" t="s">
        <v>3463</v>
      </c>
      <c r="D1500" s="88"/>
      <c r="W1500" s="35" t="str">
        <f>"-- "&amp;B1500&amp;" : "&amp;C1500</f>
        <v>-- SQL_ID : 01_C4-25</v>
      </c>
    </row>
    <row r="1501" spans="2:23" ht="18.75" customHeight="1">
      <c r="B1501" s="43" t="s">
        <v>158</v>
      </c>
      <c r="C1501" s="118" t="str">
        <f>R1504&amp;"登録"</f>
        <v>バックアップ_臨床サマリーモジュール_入院レコード登録</v>
      </c>
      <c r="D1501" s="119"/>
      <c r="E1501" s="119"/>
      <c r="F1501" s="119"/>
      <c r="G1501" s="119"/>
      <c r="H1501" s="119"/>
      <c r="I1501" s="119"/>
      <c r="J1501" s="119"/>
      <c r="K1501" s="119"/>
      <c r="L1501" s="119"/>
      <c r="M1501" s="119"/>
      <c r="N1501" s="119"/>
      <c r="O1501" s="119"/>
      <c r="P1501" s="119"/>
      <c r="Q1501" s="119"/>
      <c r="R1501" s="119"/>
      <c r="S1501" s="119"/>
      <c r="T1501" s="119"/>
      <c r="U1501" s="120"/>
      <c r="W1501" s="35" t="str">
        <f>"-- "&amp;C1501</f>
        <v>-- バックアップ_臨床サマリーモジュール_入院レコード登録</v>
      </c>
    </row>
    <row r="1502" spans="2:23" ht="18.75" customHeight="1">
      <c r="B1502" s="43" t="s">
        <v>159</v>
      </c>
      <c r="C1502" s="121" t="str">
        <f>C1504&amp;"テーブルから組入れ条件の第一条件で絞り込んだ結果を"&amp;R1504&amp;"テーブルに格納する。"</f>
        <v>臨床サマリーモジュール_入院レコード_結合テーブルから組入れ条件の第一条件で絞り込んだ結果をバックアップ_臨床サマリーモジュール_入院レコードテーブルに格納する。</v>
      </c>
      <c r="D1502" s="122"/>
      <c r="E1502" s="122"/>
      <c r="F1502" s="122"/>
      <c r="G1502" s="122"/>
      <c r="H1502" s="122"/>
      <c r="I1502" s="122"/>
      <c r="J1502" s="122"/>
      <c r="K1502" s="122"/>
      <c r="L1502" s="122"/>
      <c r="M1502" s="122"/>
      <c r="N1502" s="122"/>
      <c r="O1502" s="122"/>
      <c r="P1502" s="122"/>
      <c r="Q1502" s="122"/>
      <c r="R1502" s="122"/>
      <c r="S1502" s="122"/>
      <c r="T1502" s="122"/>
      <c r="U1502" s="123"/>
      <c r="W1502" s="35" t="str">
        <f>"-- "&amp;C1502</f>
        <v>-- 臨床サマリーモジュール_入院レコード_結合テーブルから組入れ条件の第一条件で絞り込んだ結果をバックアップ_臨床サマリーモジュール_入院レコードテーブルに格納する。</v>
      </c>
    </row>
    <row r="1504" spans="2:23" ht="18.75" customHeight="1">
      <c r="C1504" s="110" t="s">
        <v>3464</v>
      </c>
      <c r="D1504" s="111"/>
      <c r="E1504" s="116" t="s">
        <v>162</v>
      </c>
      <c r="H1504" s="36"/>
      <c r="I1504" s="36"/>
      <c r="J1504" s="36"/>
      <c r="K1504" s="36"/>
      <c r="L1504" s="36"/>
      <c r="M1504" s="36"/>
      <c r="N1504" s="36"/>
      <c r="O1504" s="36"/>
      <c r="P1504" s="36"/>
      <c r="Q1504" s="36"/>
      <c r="R1504" s="128" t="str">
        <f>"バックアップ_"&amp;SUBSTITUTE(C1504,"_結合","")</f>
        <v>バックアップ_臨床サマリーモジュール_入院レコード</v>
      </c>
      <c r="S1504" s="129"/>
      <c r="T1504" s="114" t="str">
        <f>エンティティ一覧!$O$2</f>
        <v>milscm_2023_009</v>
      </c>
    </row>
    <row r="1505" spans="2:23" ht="18.75" customHeight="1">
      <c r="C1505" s="112"/>
      <c r="D1505" s="113"/>
      <c r="E1505" s="117"/>
      <c r="F1505" s="37"/>
      <c r="G1505" s="38"/>
      <c r="H1505" s="37"/>
      <c r="I1505" s="37"/>
      <c r="J1505" s="37"/>
      <c r="K1505" s="37"/>
      <c r="L1505" s="37"/>
      <c r="M1505" s="37"/>
      <c r="N1505" s="37"/>
      <c r="O1505" s="37"/>
      <c r="P1505" s="37"/>
      <c r="Q1505" s="37"/>
      <c r="R1505" s="130"/>
      <c r="S1505" s="131"/>
      <c r="T1505" s="115"/>
    </row>
    <row r="1506" spans="2:23" ht="18.75" customHeight="1">
      <c r="F1506" s="39"/>
      <c r="G1506" s="40"/>
    </row>
    <row r="1507" spans="2:23" ht="18.75" customHeight="1">
      <c r="C1507" s="110" t="s">
        <v>3185</v>
      </c>
      <c r="D1507" s="111"/>
      <c r="E1507" s="114" t="str">
        <f>エンティティ一覧!$O$2</f>
        <v>milscm_2023_009</v>
      </c>
      <c r="G1507" s="41"/>
    </row>
    <row r="1508" spans="2:23" ht="18.75" customHeight="1">
      <c r="C1508" s="112"/>
      <c r="D1508" s="113"/>
      <c r="E1508" s="115"/>
      <c r="F1508" s="37"/>
    </row>
    <row r="1510" spans="2:23" ht="18.75" customHeight="1" thickBot="1">
      <c r="B1510" s="42"/>
      <c r="C1510" s="42"/>
      <c r="D1510" s="42"/>
      <c r="E1510" s="42"/>
      <c r="F1510" s="42"/>
      <c r="G1510" s="42"/>
      <c r="H1510" s="42"/>
      <c r="I1510" s="42"/>
      <c r="J1510" s="42"/>
      <c r="K1510" s="42"/>
      <c r="L1510" s="42"/>
      <c r="M1510" s="42"/>
      <c r="N1510" s="42"/>
      <c r="O1510" s="42"/>
      <c r="P1510" s="42"/>
      <c r="Q1510" s="42"/>
      <c r="R1510" s="42"/>
      <c r="S1510" s="42"/>
      <c r="T1510" s="42"/>
      <c r="U1510" s="42"/>
    </row>
    <row r="1512" spans="2:23" ht="18.75" customHeight="1">
      <c r="B1512" s="43" t="s">
        <v>163</v>
      </c>
      <c r="C1512" s="51" t="s">
        <v>3465</v>
      </c>
      <c r="D1512" s="88"/>
      <c r="W1512" s="35" t="str">
        <f>"-- "&amp;B1512&amp;" : "&amp;C1512</f>
        <v>-- SQL_ID : 01_C4-29</v>
      </c>
    </row>
    <row r="1513" spans="2:23" ht="18.75" customHeight="1">
      <c r="B1513" s="43" t="s">
        <v>158</v>
      </c>
      <c r="C1513" s="118" t="str">
        <f>R1516&amp;"登録"</f>
        <v>バックアップ_臨床サマリーモジュール_経過記録レコード登録</v>
      </c>
      <c r="D1513" s="119"/>
      <c r="E1513" s="119"/>
      <c r="F1513" s="119"/>
      <c r="G1513" s="119"/>
      <c r="H1513" s="119"/>
      <c r="I1513" s="119"/>
      <c r="J1513" s="119"/>
      <c r="K1513" s="119"/>
      <c r="L1513" s="119"/>
      <c r="M1513" s="119"/>
      <c r="N1513" s="119"/>
      <c r="O1513" s="119"/>
      <c r="P1513" s="119"/>
      <c r="Q1513" s="119"/>
      <c r="R1513" s="119"/>
      <c r="S1513" s="119"/>
      <c r="T1513" s="119"/>
      <c r="U1513" s="120"/>
      <c r="W1513" s="35" t="str">
        <f>"-- "&amp;C1513</f>
        <v>-- バックアップ_臨床サマリーモジュール_経過記録レコード登録</v>
      </c>
    </row>
    <row r="1514" spans="2:23" ht="18.75" customHeight="1">
      <c r="B1514" s="43" t="s">
        <v>159</v>
      </c>
      <c r="C1514" s="121" t="str">
        <f>C1516&amp;"テーブルから組入れ条件の第一条件で絞り込んだ結果を"&amp;R1516&amp;"テーブルに格納する。"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4" s="122"/>
      <c r="E1514" s="122"/>
      <c r="F1514" s="122"/>
      <c r="G1514" s="122"/>
      <c r="H1514" s="122"/>
      <c r="I1514" s="122"/>
      <c r="J1514" s="122"/>
      <c r="K1514" s="122"/>
      <c r="L1514" s="122"/>
      <c r="M1514" s="122"/>
      <c r="N1514" s="122"/>
      <c r="O1514" s="122"/>
      <c r="P1514" s="122"/>
      <c r="Q1514" s="122"/>
      <c r="R1514" s="122"/>
      <c r="S1514" s="122"/>
      <c r="T1514" s="122"/>
      <c r="U1514" s="123"/>
      <c r="W1514" s="35" t="str">
        <f>"-- "&amp;C1514</f>
        <v>-- 臨床サマリーモジュール_経過記録レコード_結合テーブルから組入れ条件の第一条件で絞り込んだ結果をバックアップ_臨床サマリーモジュール_経過記録レコードテーブルに格納する。</v>
      </c>
    </row>
    <row r="1516" spans="2:23" ht="18.75" customHeight="1">
      <c r="C1516" s="110" t="s">
        <v>3466</v>
      </c>
      <c r="D1516" s="111"/>
      <c r="E1516" s="116" t="s">
        <v>162</v>
      </c>
      <c r="H1516" s="36"/>
      <c r="I1516" s="36"/>
      <c r="J1516" s="36"/>
      <c r="K1516" s="36"/>
      <c r="L1516" s="36"/>
      <c r="M1516" s="36"/>
      <c r="N1516" s="36"/>
      <c r="O1516" s="36"/>
      <c r="P1516" s="36"/>
      <c r="Q1516" s="36"/>
      <c r="R1516" s="128" t="str">
        <f>"バックアップ_"&amp;SUBSTITUTE(C1516,"_結合","")</f>
        <v>バックアップ_臨床サマリーモジュール_経過記録レコード</v>
      </c>
      <c r="S1516" s="129"/>
      <c r="T1516" s="114" t="str">
        <f>エンティティ一覧!$O$2</f>
        <v>milscm_2023_009</v>
      </c>
    </row>
    <row r="1517" spans="2:23" ht="18.75" customHeight="1">
      <c r="C1517" s="112"/>
      <c r="D1517" s="113"/>
      <c r="E1517" s="117"/>
      <c r="F1517" s="37"/>
      <c r="G1517" s="38"/>
      <c r="H1517" s="37"/>
      <c r="I1517" s="37"/>
      <c r="J1517" s="37"/>
      <c r="K1517" s="37"/>
      <c r="L1517" s="37"/>
      <c r="M1517" s="37"/>
      <c r="N1517" s="37"/>
      <c r="O1517" s="37"/>
      <c r="P1517" s="37"/>
      <c r="Q1517" s="37"/>
      <c r="R1517" s="130"/>
      <c r="S1517" s="131"/>
      <c r="T1517" s="115"/>
    </row>
    <row r="1518" spans="2:23" ht="18.75" customHeight="1">
      <c r="F1518" s="39"/>
      <c r="G1518" s="40"/>
    </row>
    <row r="1519" spans="2:23" ht="18.75" customHeight="1">
      <c r="C1519" s="110" t="s">
        <v>3185</v>
      </c>
      <c r="D1519" s="111"/>
      <c r="E1519" s="114" t="str">
        <f>エンティティ一覧!$O$2</f>
        <v>milscm_2023_009</v>
      </c>
      <c r="G1519" s="41"/>
    </row>
    <row r="1520" spans="2:23" ht="18.75" customHeight="1">
      <c r="C1520" s="112"/>
      <c r="D1520" s="113"/>
      <c r="E1520" s="115"/>
      <c r="F1520" s="37"/>
    </row>
    <row r="1522" spans="2:23" ht="18.75" customHeight="1" thickBot="1">
      <c r="B1522" s="42"/>
      <c r="C1522" s="42"/>
      <c r="D1522" s="42"/>
      <c r="E1522" s="42"/>
      <c r="F1522" s="42"/>
      <c r="G1522" s="42"/>
      <c r="H1522" s="42"/>
      <c r="I1522" s="42"/>
      <c r="J1522" s="42"/>
      <c r="K1522" s="42"/>
      <c r="L1522" s="42"/>
      <c r="M1522" s="42"/>
      <c r="N1522" s="42"/>
      <c r="O1522" s="42"/>
      <c r="P1522" s="42"/>
      <c r="Q1522" s="42"/>
      <c r="R1522" s="42"/>
      <c r="S1522" s="42"/>
      <c r="T1522" s="42"/>
      <c r="U1522" s="42"/>
    </row>
    <row r="1524" spans="2:23" ht="18.75" customHeight="1">
      <c r="B1524" s="43" t="s">
        <v>163</v>
      </c>
      <c r="C1524" s="51" t="s">
        <v>3467</v>
      </c>
      <c r="D1524" s="88"/>
      <c r="W1524" s="35" t="str">
        <f>"-- "&amp;B1524&amp;" : "&amp;C1524</f>
        <v>-- SQL_ID : 01_C4-30</v>
      </c>
    </row>
    <row r="1525" spans="2:23" ht="18.75" customHeight="1">
      <c r="B1525" s="43" t="s">
        <v>158</v>
      </c>
      <c r="C1525" s="118" t="str">
        <f>R1528&amp;"登録"</f>
        <v>バックアップ_臨床サマリーモジュール_検査結果レコード登録</v>
      </c>
      <c r="D1525" s="119"/>
      <c r="E1525" s="119"/>
      <c r="F1525" s="119"/>
      <c r="G1525" s="119"/>
      <c r="H1525" s="119"/>
      <c r="I1525" s="119"/>
      <c r="J1525" s="119"/>
      <c r="K1525" s="119"/>
      <c r="L1525" s="119"/>
      <c r="M1525" s="119"/>
      <c r="N1525" s="119"/>
      <c r="O1525" s="119"/>
      <c r="P1525" s="119"/>
      <c r="Q1525" s="119"/>
      <c r="R1525" s="119"/>
      <c r="S1525" s="119"/>
      <c r="T1525" s="119"/>
      <c r="U1525" s="120"/>
      <c r="W1525" s="35" t="str">
        <f>"-- "&amp;C1525</f>
        <v>-- バックアップ_臨床サマリーモジュール_検査結果レコード登録</v>
      </c>
    </row>
    <row r="1526" spans="2:23" ht="18.75" customHeight="1">
      <c r="B1526" s="43" t="s">
        <v>159</v>
      </c>
      <c r="C1526" s="121" t="str">
        <f>C1528&amp;"テーブルから組入れ条件の第一条件で絞り込んだ結果を"&amp;R1528&amp;"テーブルに格納する。"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6" s="122"/>
      <c r="E1526" s="122"/>
      <c r="F1526" s="122"/>
      <c r="G1526" s="122"/>
      <c r="H1526" s="122"/>
      <c r="I1526" s="122"/>
      <c r="J1526" s="122"/>
      <c r="K1526" s="122"/>
      <c r="L1526" s="122"/>
      <c r="M1526" s="122"/>
      <c r="N1526" s="122"/>
      <c r="O1526" s="122"/>
      <c r="P1526" s="122"/>
      <c r="Q1526" s="122"/>
      <c r="R1526" s="122"/>
      <c r="S1526" s="122"/>
      <c r="T1526" s="122"/>
      <c r="U1526" s="123"/>
      <c r="W1526" s="35" t="str">
        <f>"-- "&amp;C1526</f>
        <v>-- 臨床サマリーモジュール_検査結果レコード_結合テーブルから組入れ条件の第一条件で絞り込んだ結果をバックアップ_臨床サマリーモジュール_検査結果レコードテーブルに格納する。</v>
      </c>
    </row>
    <row r="1528" spans="2:23" ht="18.75" customHeight="1">
      <c r="C1528" s="110" t="s">
        <v>3468</v>
      </c>
      <c r="D1528" s="111"/>
      <c r="E1528" s="116" t="s">
        <v>162</v>
      </c>
      <c r="H1528" s="36"/>
      <c r="I1528" s="36"/>
      <c r="J1528" s="36"/>
      <c r="K1528" s="36"/>
      <c r="L1528" s="36"/>
      <c r="M1528" s="36"/>
      <c r="N1528" s="36"/>
      <c r="O1528" s="36"/>
      <c r="P1528" s="36"/>
      <c r="Q1528" s="36"/>
      <c r="R1528" s="128" t="str">
        <f>"バックアップ_"&amp;SUBSTITUTE(C1528,"_結合","")</f>
        <v>バックアップ_臨床サマリーモジュール_検査結果レコード</v>
      </c>
      <c r="S1528" s="129"/>
      <c r="T1528" s="114" t="str">
        <f>エンティティ一覧!$O$2</f>
        <v>milscm_2023_009</v>
      </c>
    </row>
    <row r="1529" spans="2:23" ht="18.75" customHeight="1">
      <c r="C1529" s="112"/>
      <c r="D1529" s="113"/>
      <c r="E1529" s="117"/>
      <c r="F1529" s="37"/>
      <c r="G1529" s="38"/>
      <c r="H1529" s="37"/>
      <c r="I1529" s="37"/>
      <c r="J1529" s="37"/>
      <c r="K1529" s="37"/>
      <c r="L1529" s="37"/>
      <c r="M1529" s="37"/>
      <c r="N1529" s="37"/>
      <c r="O1529" s="37"/>
      <c r="P1529" s="37"/>
      <c r="Q1529" s="37"/>
      <c r="R1529" s="130"/>
      <c r="S1529" s="131"/>
      <c r="T1529" s="115"/>
    </row>
    <row r="1530" spans="2:23" ht="18.75" customHeight="1">
      <c r="F1530" s="39"/>
      <c r="G1530" s="40"/>
    </row>
    <row r="1531" spans="2:23" ht="18.75" customHeight="1">
      <c r="C1531" s="110" t="s">
        <v>3185</v>
      </c>
      <c r="D1531" s="111"/>
      <c r="E1531" s="114" t="str">
        <f>エンティティ一覧!$O$2</f>
        <v>milscm_2023_009</v>
      </c>
      <c r="G1531" s="41"/>
    </row>
    <row r="1532" spans="2:23" ht="18.75" customHeight="1">
      <c r="C1532" s="112"/>
      <c r="D1532" s="113"/>
      <c r="E1532" s="115"/>
      <c r="F1532" s="37"/>
    </row>
    <row r="1534" spans="2:23" ht="18.75" customHeight="1" thickBot="1">
      <c r="B1534" s="42"/>
      <c r="C1534" s="42"/>
      <c r="D1534" s="42"/>
      <c r="E1534" s="42"/>
      <c r="F1534" s="42"/>
      <c r="G1534" s="42"/>
      <c r="H1534" s="42"/>
      <c r="I1534" s="42"/>
      <c r="J1534" s="42"/>
      <c r="K1534" s="42"/>
      <c r="L1534" s="42"/>
      <c r="M1534" s="42"/>
      <c r="N1534" s="42"/>
      <c r="O1534" s="42"/>
      <c r="P1534" s="42"/>
      <c r="Q1534" s="42"/>
      <c r="R1534" s="42"/>
      <c r="S1534" s="42"/>
      <c r="T1534" s="42"/>
      <c r="U1534" s="42"/>
    </row>
    <row r="1536" spans="2:23" ht="18.75" customHeight="1">
      <c r="B1536" s="43" t="s">
        <v>163</v>
      </c>
      <c r="C1536" s="51" t="s">
        <v>3469</v>
      </c>
      <c r="D1536" s="88"/>
      <c r="W1536" s="35" t="str">
        <f>"-- "&amp;B1536&amp;" : "&amp;C1536</f>
        <v>-- SQL_ID : 01_C4-31</v>
      </c>
    </row>
    <row r="1537" spans="2:23" ht="18.75" customHeight="1">
      <c r="B1537" s="43" t="s">
        <v>158</v>
      </c>
      <c r="C1537" s="118" t="str">
        <f>R1540&amp;"登録"</f>
        <v>バックアップ_検歴情報モジュール_検歴情報登録</v>
      </c>
      <c r="D1537" s="119"/>
      <c r="E1537" s="119"/>
      <c r="F1537" s="119"/>
      <c r="G1537" s="119"/>
      <c r="H1537" s="119"/>
      <c r="I1537" s="119"/>
      <c r="J1537" s="119"/>
      <c r="K1537" s="119"/>
      <c r="L1537" s="119"/>
      <c r="M1537" s="119"/>
      <c r="N1537" s="119"/>
      <c r="O1537" s="119"/>
      <c r="P1537" s="119"/>
      <c r="Q1537" s="119"/>
      <c r="R1537" s="119"/>
      <c r="S1537" s="119"/>
      <c r="T1537" s="119"/>
      <c r="U1537" s="120"/>
      <c r="W1537" s="35" t="str">
        <f>"-- "&amp;C1537</f>
        <v>-- バックアップ_検歴情報モジュール_検歴情報登録</v>
      </c>
    </row>
    <row r="1538" spans="2:23" ht="18.75" customHeight="1">
      <c r="B1538" s="43" t="s">
        <v>159</v>
      </c>
      <c r="C1538" s="121" t="str">
        <f>C1540&amp;"テーブルから組入れ条件の第一条件で絞り込んだ結果を"&amp;R1540&amp;"テーブルに格納する。"</f>
        <v>検歴情報モジュール_検歴情報_結合テーブルから組入れ条件の第一条件で絞り込んだ結果をバックアップ_検歴情報モジュール_検歴情報テーブルに格納する。</v>
      </c>
      <c r="D1538" s="122"/>
      <c r="E1538" s="122"/>
      <c r="F1538" s="122"/>
      <c r="G1538" s="122"/>
      <c r="H1538" s="122"/>
      <c r="I1538" s="122"/>
      <c r="J1538" s="122"/>
      <c r="K1538" s="122"/>
      <c r="L1538" s="122"/>
      <c r="M1538" s="122"/>
      <c r="N1538" s="122"/>
      <c r="O1538" s="122"/>
      <c r="P1538" s="122"/>
      <c r="Q1538" s="122"/>
      <c r="R1538" s="122"/>
      <c r="S1538" s="122"/>
      <c r="T1538" s="122"/>
      <c r="U1538" s="123"/>
      <c r="W1538" s="35" t="str">
        <f>"-- "&amp;C1538</f>
        <v>-- 検歴情報モジュール_検歴情報_結合テーブルから組入れ条件の第一条件で絞り込んだ結果をバックアップ_検歴情報モジュール_検歴情報テーブルに格納する。</v>
      </c>
    </row>
    <row r="1540" spans="2:23" ht="18.75" customHeight="1">
      <c r="C1540" s="110" t="s">
        <v>3470</v>
      </c>
      <c r="D1540" s="111"/>
      <c r="E1540" s="116" t="s">
        <v>162</v>
      </c>
      <c r="H1540" s="36"/>
      <c r="I1540" s="36"/>
      <c r="J1540" s="36"/>
      <c r="K1540" s="36"/>
      <c r="L1540" s="36"/>
      <c r="M1540" s="36"/>
      <c r="N1540" s="36"/>
      <c r="O1540" s="36"/>
      <c r="P1540" s="36"/>
      <c r="Q1540" s="36"/>
      <c r="R1540" s="110" t="str">
        <f>"バックアップ_"&amp;SUBSTITUTE(C1540,"_結合","")</f>
        <v>バックアップ_検歴情報モジュール_検歴情報</v>
      </c>
      <c r="S1540" s="111"/>
      <c r="T1540" s="114" t="str">
        <f>エンティティ一覧!$O$2</f>
        <v>milscm_2023_009</v>
      </c>
    </row>
    <row r="1541" spans="2:23" ht="18.75" customHeight="1">
      <c r="C1541" s="112"/>
      <c r="D1541" s="113"/>
      <c r="E1541" s="117"/>
      <c r="F1541" s="37"/>
      <c r="G1541" s="38"/>
      <c r="H1541" s="37"/>
      <c r="I1541" s="37"/>
      <c r="J1541" s="37"/>
      <c r="K1541" s="37"/>
      <c r="L1541" s="37"/>
      <c r="M1541" s="37"/>
      <c r="N1541" s="37"/>
      <c r="O1541" s="37"/>
      <c r="P1541" s="37"/>
      <c r="Q1541" s="37"/>
      <c r="R1541" s="112"/>
      <c r="S1541" s="113"/>
      <c r="T1541" s="115"/>
    </row>
    <row r="1542" spans="2:23" ht="18.75" customHeight="1">
      <c r="F1542" s="39"/>
      <c r="G1542" s="40"/>
    </row>
    <row r="1543" spans="2:23" ht="18.75" customHeight="1">
      <c r="C1543" s="110" t="s">
        <v>3185</v>
      </c>
      <c r="D1543" s="111"/>
      <c r="E1543" s="114" t="str">
        <f>エンティティ一覧!$O$2</f>
        <v>milscm_2023_009</v>
      </c>
      <c r="G1543" s="41"/>
    </row>
    <row r="1544" spans="2:23" ht="18.75" customHeight="1">
      <c r="C1544" s="112"/>
      <c r="D1544" s="113"/>
      <c r="E1544" s="115"/>
      <c r="F1544" s="37"/>
    </row>
    <row r="1546" spans="2:23" ht="18.75" customHeight="1" thickBot="1">
      <c r="B1546" s="42"/>
      <c r="C1546" s="42"/>
      <c r="D1546" s="42"/>
      <c r="E1546" s="42"/>
      <c r="F1546" s="42"/>
      <c r="G1546" s="42"/>
      <c r="H1546" s="42"/>
      <c r="I1546" s="42"/>
      <c r="J1546" s="42"/>
      <c r="K1546" s="42"/>
      <c r="L1546" s="42"/>
      <c r="M1546" s="42"/>
      <c r="N1546" s="42"/>
      <c r="O1546" s="42"/>
      <c r="P1546" s="42"/>
      <c r="Q1546" s="42"/>
      <c r="R1546" s="42"/>
      <c r="S1546" s="42"/>
      <c r="T1546" s="42"/>
      <c r="U1546" s="42"/>
    </row>
    <row r="1548" spans="2:23" ht="18.75" customHeight="1">
      <c r="B1548" s="43" t="s">
        <v>163</v>
      </c>
      <c r="C1548" s="51" t="s">
        <v>3471</v>
      </c>
      <c r="D1548" s="88"/>
      <c r="W1548" s="35" t="str">
        <f>"-- "&amp;B1548&amp;" : "&amp;C1548</f>
        <v>-- SQL_ID : 01_C4-33</v>
      </c>
    </row>
    <row r="1549" spans="2:23" ht="18.75" customHeight="1">
      <c r="B1549" s="43" t="s">
        <v>158</v>
      </c>
      <c r="C1549" s="118" t="str">
        <f>R1552&amp;"登録"</f>
        <v>バックアップ_検歴情報モジュール_検歴検体材料登録</v>
      </c>
      <c r="D1549" s="119"/>
      <c r="E1549" s="119"/>
      <c r="F1549" s="119"/>
      <c r="G1549" s="119"/>
      <c r="H1549" s="119"/>
      <c r="I1549" s="119"/>
      <c r="J1549" s="119"/>
      <c r="K1549" s="119"/>
      <c r="L1549" s="119"/>
      <c r="M1549" s="119"/>
      <c r="N1549" s="119"/>
      <c r="O1549" s="119"/>
      <c r="P1549" s="119"/>
      <c r="Q1549" s="119"/>
      <c r="R1549" s="119"/>
      <c r="S1549" s="119"/>
      <c r="T1549" s="119"/>
      <c r="U1549" s="120"/>
      <c r="W1549" s="35" t="str">
        <f>"-- "&amp;C1549</f>
        <v>-- バックアップ_検歴情報モジュール_検歴検体材料登録</v>
      </c>
    </row>
    <row r="1550" spans="2:23" ht="18.75" customHeight="1">
      <c r="B1550" s="43" t="s">
        <v>159</v>
      </c>
      <c r="C1550" s="121" t="str">
        <f>C1552&amp;"テーブルから組入れ条件の第一条件で絞り込んだ結果を"&amp;R1552&amp;"テーブルに格納する。"</f>
        <v>検歴情報モジュール_検歴検体材料_結合テーブルから組入れ条件の第一条件で絞り込んだ結果をバックアップ_検歴情報モジュール_検歴検体材料テーブルに格納する。</v>
      </c>
      <c r="D1550" s="122"/>
      <c r="E1550" s="122"/>
      <c r="F1550" s="122"/>
      <c r="G1550" s="122"/>
      <c r="H1550" s="122"/>
      <c r="I1550" s="122"/>
      <c r="J1550" s="122"/>
      <c r="K1550" s="122"/>
      <c r="L1550" s="122"/>
      <c r="M1550" s="122"/>
      <c r="N1550" s="122"/>
      <c r="O1550" s="122"/>
      <c r="P1550" s="122"/>
      <c r="Q1550" s="122"/>
      <c r="R1550" s="122"/>
      <c r="S1550" s="122"/>
      <c r="T1550" s="122"/>
      <c r="U1550" s="123"/>
      <c r="W1550" s="35" t="str">
        <f>"-- "&amp;C1550</f>
        <v>-- 検歴情報モジュール_検歴検体材料_結合テーブルから組入れ条件の第一条件で絞り込んだ結果をバックアップ_検歴情報モジュール_検歴検体材料テーブルに格納する。</v>
      </c>
    </row>
    <row r="1552" spans="2:23" ht="18.75" customHeight="1">
      <c r="C1552" s="110" t="s">
        <v>3472</v>
      </c>
      <c r="D1552" s="111"/>
      <c r="E1552" s="116" t="s">
        <v>162</v>
      </c>
      <c r="H1552" s="36"/>
      <c r="I1552" s="36"/>
      <c r="J1552" s="36"/>
      <c r="K1552" s="36"/>
      <c r="L1552" s="36"/>
      <c r="M1552" s="36"/>
      <c r="N1552" s="36"/>
      <c r="O1552" s="36"/>
      <c r="P1552" s="36"/>
      <c r="Q1552" s="36"/>
      <c r="R1552" s="110" t="str">
        <f>"バックアップ_"&amp;SUBSTITUTE(C1552,"_結合","")</f>
        <v>バックアップ_検歴情報モジュール_検歴検体材料</v>
      </c>
      <c r="S1552" s="111"/>
      <c r="T1552" s="114" t="str">
        <f>エンティティ一覧!$O$2</f>
        <v>milscm_2023_009</v>
      </c>
    </row>
    <row r="1553" spans="2:23" ht="18.75" customHeight="1">
      <c r="C1553" s="112"/>
      <c r="D1553" s="113"/>
      <c r="E1553" s="117"/>
      <c r="F1553" s="37"/>
      <c r="G1553" s="38"/>
      <c r="H1553" s="37"/>
      <c r="I1553" s="37"/>
      <c r="J1553" s="37"/>
      <c r="K1553" s="37"/>
      <c r="L1553" s="37"/>
      <c r="M1553" s="37"/>
      <c r="N1553" s="37"/>
      <c r="O1553" s="37"/>
      <c r="P1553" s="37"/>
      <c r="Q1553" s="37"/>
      <c r="R1553" s="112"/>
      <c r="S1553" s="113"/>
      <c r="T1553" s="115"/>
    </row>
    <row r="1554" spans="2:23" ht="18.75" customHeight="1">
      <c r="F1554" s="39"/>
      <c r="G1554" s="40"/>
    </row>
    <row r="1555" spans="2:23" ht="18.75" customHeight="1">
      <c r="C1555" s="110" t="s">
        <v>3185</v>
      </c>
      <c r="D1555" s="111"/>
      <c r="E1555" s="114" t="str">
        <f>エンティティ一覧!$O$2</f>
        <v>milscm_2023_009</v>
      </c>
      <c r="G1555" s="41"/>
    </row>
    <row r="1556" spans="2:23" ht="18.75" customHeight="1">
      <c r="C1556" s="112"/>
      <c r="D1556" s="113"/>
      <c r="E1556" s="115"/>
      <c r="F1556" s="37"/>
    </row>
    <row r="1558" spans="2:23" ht="18.75" customHeight="1" thickBot="1">
      <c r="B1558" s="42"/>
      <c r="C1558" s="42"/>
      <c r="D1558" s="42"/>
      <c r="E1558" s="42"/>
      <c r="F1558" s="42"/>
      <c r="G1558" s="42"/>
      <c r="H1558" s="42"/>
      <c r="I1558" s="42"/>
      <c r="J1558" s="42"/>
      <c r="K1558" s="42"/>
      <c r="L1558" s="42"/>
      <c r="M1558" s="42"/>
      <c r="N1558" s="42"/>
      <c r="O1558" s="42"/>
      <c r="P1558" s="42"/>
      <c r="Q1558" s="42"/>
      <c r="R1558" s="42"/>
      <c r="S1558" s="42"/>
      <c r="T1558" s="42"/>
      <c r="U1558" s="42"/>
    </row>
    <row r="1560" spans="2:23" ht="18.75" customHeight="1">
      <c r="B1560" s="43" t="s">
        <v>163</v>
      </c>
      <c r="C1560" s="51" t="s">
        <v>3473</v>
      </c>
      <c r="D1560" s="88"/>
      <c r="W1560" s="35" t="str">
        <f>"-- "&amp;B1560&amp;" : "&amp;C1560</f>
        <v>-- SQL_ID : 01_C4-35</v>
      </c>
    </row>
    <row r="1561" spans="2:23" ht="18.75" customHeight="1">
      <c r="B1561" s="43" t="s">
        <v>158</v>
      </c>
      <c r="C1561" s="118" t="str">
        <f>R1564&amp;"登録"</f>
        <v>バックアップ_検歴情報モジュール_検歴項目情報登録</v>
      </c>
      <c r="D1561" s="119"/>
      <c r="E1561" s="119"/>
      <c r="F1561" s="119"/>
      <c r="G1561" s="119"/>
      <c r="H1561" s="119"/>
      <c r="I1561" s="119"/>
      <c r="J1561" s="119"/>
      <c r="K1561" s="119"/>
      <c r="L1561" s="119"/>
      <c r="M1561" s="119"/>
      <c r="N1561" s="119"/>
      <c r="O1561" s="119"/>
      <c r="P1561" s="119"/>
      <c r="Q1561" s="119"/>
      <c r="R1561" s="119"/>
      <c r="S1561" s="119"/>
      <c r="T1561" s="119"/>
      <c r="U1561" s="120"/>
      <c r="W1561" s="35" t="str">
        <f>"-- "&amp;C1561</f>
        <v>-- バックアップ_検歴情報モジュール_検歴項目情報登録</v>
      </c>
    </row>
    <row r="1562" spans="2:23" ht="18.75" customHeight="1">
      <c r="B1562" s="43" t="s">
        <v>159</v>
      </c>
      <c r="C1562" s="121" t="str">
        <f>C1564&amp;"テーブルから組入れ条件の第一条件で絞り込んだ結果を"&amp;R1564&amp;"テーブルに格納する。"</f>
        <v>検歴情報モジュール_検歴項目情報_結合テーブルから組入れ条件の第一条件で絞り込んだ結果をバックアップ_検歴情報モジュール_検歴項目情報テーブルに格納する。</v>
      </c>
      <c r="D1562" s="122"/>
      <c r="E1562" s="122"/>
      <c r="F1562" s="122"/>
      <c r="G1562" s="122"/>
      <c r="H1562" s="122"/>
      <c r="I1562" s="122"/>
      <c r="J1562" s="122"/>
      <c r="K1562" s="122"/>
      <c r="L1562" s="122"/>
      <c r="M1562" s="122"/>
      <c r="N1562" s="122"/>
      <c r="O1562" s="122"/>
      <c r="P1562" s="122"/>
      <c r="Q1562" s="122"/>
      <c r="R1562" s="122"/>
      <c r="S1562" s="122"/>
      <c r="T1562" s="122"/>
      <c r="U1562" s="123"/>
      <c r="W1562" s="35" t="str">
        <f>"-- "&amp;C1562</f>
        <v>-- 検歴情報モジュール_検歴項目情報_結合テーブルから組入れ条件の第一条件で絞り込んだ結果をバックアップ_検歴情報モジュール_検歴項目情報テーブルに格納する。</v>
      </c>
    </row>
    <row r="1564" spans="2:23" ht="18.75" customHeight="1">
      <c r="C1564" s="110" t="s">
        <v>3474</v>
      </c>
      <c r="D1564" s="111"/>
      <c r="E1564" s="116" t="s">
        <v>162</v>
      </c>
      <c r="H1564" s="36"/>
      <c r="I1564" s="36"/>
      <c r="J1564" s="36"/>
      <c r="K1564" s="36"/>
      <c r="L1564" s="36"/>
      <c r="M1564" s="36"/>
      <c r="N1564" s="36"/>
      <c r="O1564" s="36"/>
      <c r="P1564" s="36"/>
      <c r="Q1564" s="36"/>
      <c r="R1564" s="110" t="str">
        <f>"バックアップ_"&amp;SUBSTITUTE(C1564,"_結合","")</f>
        <v>バックアップ_検歴情報モジュール_検歴項目情報</v>
      </c>
      <c r="S1564" s="111"/>
      <c r="T1564" s="114" t="str">
        <f>エンティティ一覧!$O$2</f>
        <v>milscm_2023_009</v>
      </c>
    </row>
    <row r="1565" spans="2:23" ht="18.75" customHeight="1">
      <c r="C1565" s="112"/>
      <c r="D1565" s="113"/>
      <c r="E1565" s="117"/>
      <c r="F1565" s="37"/>
      <c r="G1565" s="38"/>
      <c r="H1565" s="37"/>
      <c r="I1565" s="37"/>
      <c r="J1565" s="37"/>
      <c r="K1565" s="37"/>
      <c r="L1565" s="37"/>
      <c r="M1565" s="37"/>
      <c r="N1565" s="37"/>
      <c r="O1565" s="37"/>
      <c r="P1565" s="37"/>
      <c r="Q1565" s="37"/>
      <c r="R1565" s="112"/>
      <c r="S1565" s="113"/>
      <c r="T1565" s="115"/>
    </row>
    <row r="1566" spans="2:23" ht="18.75" customHeight="1">
      <c r="F1566" s="39"/>
      <c r="G1566" s="40"/>
    </row>
    <row r="1567" spans="2:23" ht="18.75" customHeight="1">
      <c r="C1567" s="110" t="s">
        <v>3185</v>
      </c>
      <c r="D1567" s="111"/>
      <c r="E1567" s="114" t="str">
        <f>エンティティ一覧!$O$2</f>
        <v>milscm_2023_009</v>
      </c>
      <c r="G1567" s="41"/>
    </row>
    <row r="1568" spans="2:23" ht="18.75" customHeight="1">
      <c r="C1568" s="112"/>
      <c r="D1568" s="113"/>
      <c r="E1568" s="115"/>
      <c r="F1568" s="37"/>
    </row>
    <row r="1570" spans="2:23" ht="18.75" customHeight="1" thickBot="1">
      <c r="B1570" s="42"/>
      <c r="C1570" s="42"/>
      <c r="D1570" s="42"/>
      <c r="E1570" s="42"/>
      <c r="F1570" s="42"/>
      <c r="G1570" s="42"/>
      <c r="H1570" s="42"/>
      <c r="I1570" s="42"/>
      <c r="J1570" s="42"/>
      <c r="K1570" s="42"/>
      <c r="L1570" s="42"/>
      <c r="M1570" s="42"/>
      <c r="N1570" s="42"/>
      <c r="O1570" s="42"/>
      <c r="P1570" s="42"/>
      <c r="Q1570" s="42"/>
      <c r="R1570" s="42"/>
      <c r="S1570" s="42"/>
      <c r="T1570" s="42"/>
      <c r="U1570" s="42"/>
    </row>
    <row r="1572" spans="2:23" ht="18.75" customHeight="1">
      <c r="B1572" s="43" t="s">
        <v>163</v>
      </c>
      <c r="C1572" s="51" t="s">
        <v>3475</v>
      </c>
      <c r="D1572" s="88"/>
      <c r="W1572" s="35" t="str">
        <f>"-- "&amp;B1572&amp;" : "&amp;C1572</f>
        <v>-- SQL_ID : 01_C4-37</v>
      </c>
    </row>
    <row r="1573" spans="2:23" ht="18.75" customHeight="1">
      <c r="B1573" s="43" t="s">
        <v>158</v>
      </c>
      <c r="C1573" s="118" t="str">
        <f>R1576&amp;"登録"</f>
        <v>バックアップ_バイタルサインモジュール_バイタルサイン登録</v>
      </c>
      <c r="D1573" s="119"/>
      <c r="E1573" s="119"/>
      <c r="F1573" s="119"/>
      <c r="G1573" s="119"/>
      <c r="H1573" s="119"/>
      <c r="I1573" s="119"/>
      <c r="J1573" s="119"/>
      <c r="K1573" s="119"/>
      <c r="L1573" s="119"/>
      <c r="M1573" s="119"/>
      <c r="N1573" s="119"/>
      <c r="O1573" s="119"/>
      <c r="P1573" s="119"/>
      <c r="Q1573" s="119"/>
      <c r="R1573" s="119"/>
      <c r="S1573" s="119"/>
      <c r="T1573" s="119"/>
      <c r="U1573" s="120"/>
      <c r="W1573" s="35" t="str">
        <f>"-- "&amp;C1573</f>
        <v>-- バックアップ_バイタルサインモジュール_バイタルサイン登録</v>
      </c>
    </row>
    <row r="1574" spans="2:23" ht="18.75" customHeight="1">
      <c r="B1574" s="43" t="s">
        <v>159</v>
      </c>
      <c r="C1574" s="121" t="str">
        <f>C1576&amp;"テーブルから組入れ条件の第一条件で絞り込んだ結果を"&amp;R1576&amp;"テーブルに格納する。"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4" s="122"/>
      <c r="E1574" s="122"/>
      <c r="F1574" s="122"/>
      <c r="G1574" s="122"/>
      <c r="H1574" s="122"/>
      <c r="I1574" s="122"/>
      <c r="J1574" s="122"/>
      <c r="K1574" s="122"/>
      <c r="L1574" s="122"/>
      <c r="M1574" s="122"/>
      <c r="N1574" s="122"/>
      <c r="O1574" s="122"/>
      <c r="P1574" s="122"/>
      <c r="Q1574" s="122"/>
      <c r="R1574" s="122"/>
      <c r="S1574" s="122"/>
      <c r="T1574" s="122"/>
      <c r="U1574" s="123"/>
      <c r="W1574" s="35" t="str">
        <f>"-- "&amp;C1574</f>
        <v>-- バイタルサインモジュール_バイタルサイン_結合テーブルから組入れ条件の第一条件で絞り込んだ結果をバックアップ_バイタルサインモジュール_バイタルサインテーブルに格納する。</v>
      </c>
    </row>
    <row r="1576" spans="2:23" ht="18.75" customHeight="1">
      <c r="C1576" s="110" t="s">
        <v>3476</v>
      </c>
      <c r="D1576" s="111"/>
      <c r="E1576" s="116" t="s">
        <v>162</v>
      </c>
      <c r="H1576" s="36"/>
      <c r="I1576" s="36"/>
      <c r="J1576" s="36"/>
      <c r="K1576" s="36"/>
      <c r="L1576" s="36"/>
      <c r="M1576" s="36"/>
      <c r="N1576" s="36"/>
      <c r="O1576" s="36"/>
      <c r="P1576" s="36"/>
      <c r="Q1576" s="36"/>
      <c r="R1576" s="124" t="str">
        <f>"バックアップ_"&amp;SUBSTITUTE(C1576,"_結合","")</f>
        <v>バックアップ_バイタルサインモジュール_バイタルサイン</v>
      </c>
      <c r="S1576" s="125"/>
      <c r="T1576" s="114" t="str">
        <f>エンティティ一覧!$O$2</f>
        <v>milscm_2023_009</v>
      </c>
    </row>
    <row r="1577" spans="2:23" ht="18.75" customHeight="1">
      <c r="C1577" s="112"/>
      <c r="D1577" s="113"/>
      <c r="E1577" s="117"/>
      <c r="F1577" s="37"/>
      <c r="G1577" s="38"/>
      <c r="H1577" s="37"/>
      <c r="I1577" s="37"/>
      <c r="J1577" s="37"/>
      <c r="K1577" s="37"/>
      <c r="L1577" s="37"/>
      <c r="M1577" s="37"/>
      <c r="N1577" s="37"/>
      <c r="O1577" s="37"/>
      <c r="P1577" s="37"/>
      <c r="Q1577" s="37"/>
      <c r="R1577" s="126"/>
      <c r="S1577" s="127"/>
      <c r="T1577" s="115"/>
    </row>
    <row r="1578" spans="2:23" ht="18.75" customHeight="1">
      <c r="F1578" s="39"/>
      <c r="G1578" s="40"/>
    </row>
    <row r="1579" spans="2:23" ht="18.75" customHeight="1">
      <c r="C1579" s="110" t="s">
        <v>3185</v>
      </c>
      <c r="D1579" s="111"/>
      <c r="E1579" s="114" t="str">
        <f>エンティティ一覧!$O$2</f>
        <v>milscm_2023_009</v>
      </c>
      <c r="G1579" s="41"/>
    </row>
    <row r="1580" spans="2:23" ht="18.75" customHeight="1">
      <c r="C1580" s="112"/>
      <c r="D1580" s="113"/>
      <c r="E1580" s="115"/>
      <c r="F1580" s="37"/>
    </row>
    <row r="1582" spans="2:23" ht="18.75" customHeight="1" thickBot="1">
      <c r="B1582" s="42"/>
      <c r="C1582" s="42"/>
      <c r="D1582" s="42"/>
      <c r="E1582" s="42"/>
      <c r="F1582" s="42"/>
      <c r="G1582" s="42"/>
      <c r="H1582" s="42"/>
      <c r="I1582" s="42"/>
      <c r="J1582" s="42"/>
      <c r="K1582" s="42"/>
      <c r="L1582" s="42"/>
      <c r="M1582" s="42"/>
      <c r="N1582" s="42"/>
      <c r="O1582" s="42"/>
      <c r="P1582" s="42"/>
      <c r="Q1582" s="42"/>
      <c r="R1582" s="42"/>
      <c r="S1582" s="42"/>
      <c r="T1582" s="42"/>
      <c r="U1582" s="42"/>
    </row>
    <row r="1584" spans="2:23" ht="18.75" customHeight="1">
      <c r="B1584" s="43" t="s">
        <v>163</v>
      </c>
      <c r="C1584" s="51" t="s">
        <v>3477</v>
      </c>
      <c r="D1584" s="88"/>
      <c r="W1584" s="35" t="str">
        <f>"-- "&amp;B1584&amp;" : "&amp;C1584</f>
        <v>-- SQL_ID : 01_C4-38</v>
      </c>
    </row>
    <row r="1585" spans="2:23" ht="18.75" customHeight="1">
      <c r="B1585" s="43" t="s">
        <v>158</v>
      </c>
      <c r="C1585" s="118" t="str">
        <f>R1588&amp;"登録"</f>
        <v>バックアップ_バイタルサインモジュール_記録項目登録</v>
      </c>
      <c r="D1585" s="119"/>
      <c r="E1585" s="119"/>
      <c r="F1585" s="119"/>
      <c r="G1585" s="119"/>
      <c r="H1585" s="119"/>
      <c r="I1585" s="119"/>
      <c r="J1585" s="119"/>
      <c r="K1585" s="119"/>
      <c r="L1585" s="119"/>
      <c r="M1585" s="119"/>
      <c r="N1585" s="119"/>
      <c r="O1585" s="119"/>
      <c r="P1585" s="119"/>
      <c r="Q1585" s="119"/>
      <c r="R1585" s="119"/>
      <c r="S1585" s="119"/>
      <c r="T1585" s="119"/>
      <c r="U1585" s="120"/>
      <c r="W1585" s="35" t="str">
        <f>"-- "&amp;C1585</f>
        <v>-- バックアップ_バイタルサインモジュール_記録項目登録</v>
      </c>
    </row>
    <row r="1586" spans="2:23" ht="18.75" customHeight="1">
      <c r="B1586" s="43" t="s">
        <v>159</v>
      </c>
      <c r="C1586" s="121" t="str">
        <f>C1588&amp;"テーブルから組入れ条件の第一条件で絞り込んだ結果を"&amp;R1588&amp;"テーブルに格納する。"</f>
        <v>バイタルサインモジュール_記録項目_結合テーブルから組入れ条件の第一条件で絞り込んだ結果をバックアップ_バイタルサインモジュール_記録項目テーブルに格納する。</v>
      </c>
      <c r="D1586" s="122"/>
      <c r="E1586" s="122"/>
      <c r="F1586" s="122"/>
      <c r="G1586" s="122"/>
      <c r="H1586" s="122"/>
      <c r="I1586" s="122"/>
      <c r="J1586" s="122"/>
      <c r="K1586" s="122"/>
      <c r="L1586" s="122"/>
      <c r="M1586" s="122"/>
      <c r="N1586" s="122"/>
      <c r="O1586" s="122"/>
      <c r="P1586" s="122"/>
      <c r="Q1586" s="122"/>
      <c r="R1586" s="122"/>
      <c r="S1586" s="122"/>
      <c r="T1586" s="122"/>
      <c r="U1586" s="123"/>
      <c r="W1586" s="35" t="str">
        <f>"-- "&amp;C1586</f>
        <v>-- バイタルサインモジュール_記録項目_結合テーブルから組入れ条件の第一条件で絞り込んだ結果をバックアップ_バイタルサインモジュール_記録項目テーブルに格納する。</v>
      </c>
    </row>
    <row r="1588" spans="2:23" ht="18.75" customHeight="1">
      <c r="C1588" s="110" t="s">
        <v>3478</v>
      </c>
      <c r="D1588" s="111"/>
      <c r="E1588" s="116" t="s">
        <v>162</v>
      </c>
      <c r="H1588" s="36"/>
      <c r="I1588" s="36"/>
      <c r="J1588" s="36"/>
      <c r="K1588" s="36"/>
      <c r="L1588" s="36"/>
      <c r="M1588" s="36"/>
      <c r="N1588" s="36"/>
      <c r="O1588" s="36"/>
      <c r="P1588" s="36"/>
      <c r="Q1588" s="36"/>
      <c r="R1588" s="124" t="str">
        <f>"バックアップ_"&amp;SUBSTITUTE(C1588,"_結合","")</f>
        <v>バックアップ_バイタルサインモジュール_記録項目</v>
      </c>
      <c r="S1588" s="125"/>
      <c r="T1588" s="114" t="str">
        <f>エンティティ一覧!$O$2</f>
        <v>milscm_2023_009</v>
      </c>
    </row>
    <row r="1589" spans="2:23" ht="18.75" customHeight="1">
      <c r="C1589" s="112"/>
      <c r="D1589" s="113"/>
      <c r="E1589" s="117"/>
      <c r="F1589" s="37"/>
      <c r="G1589" s="38"/>
      <c r="H1589" s="37"/>
      <c r="I1589" s="37"/>
      <c r="J1589" s="37"/>
      <c r="K1589" s="37"/>
      <c r="L1589" s="37"/>
      <c r="M1589" s="37"/>
      <c r="N1589" s="37"/>
      <c r="O1589" s="37"/>
      <c r="P1589" s="37"/>
      <c r="Q1589" s="37"/>
      <c r="R1589" s="126"/>
      <c r="S1589" s="127"/>
      <c r="T1589" s="115"/>
    </row>
    <row r="1590" spans="2:23" ht="18.75" customHeight="1">
      <c r="F1590" s="39"/>
      <c r="G1590" s="40"/>
    </row>
    <row r="1591" spans="2:23" ht="18.75" customHeight="1">
      <c r="C1591" s="110" t="s">
        <v>3185</v>
      </c>
      <c r="D1591" s="111"/>
      <c r="E1591" s="114" t="str">
        <f>エンティティ一覧!$O$2</f>
        <v>milscm_2023_009</v>
      </c>
      <c r="G1591" s="41"/>
    </row>
    <row r="1592" spans="2:23" ht="18.75" customHeight="1">
      <c r="C1592" s="112"/>
      <c r="D1592" s="113"/>
      <c r="E1592" s="115"/>
      <c r="F1592" s="37"/>
    </row>
    <row r="1594" spans="2:23" ht="18.75" customHeight="1" thickBot="1">
      <c r="B1594" s="42"/>
      <c r="C1594" s="42"/>
      <c r="D1594" s="42"/>
      <c r="E1594" s="42"/>
      <c r="F1594" s="42"/>
      <c r="G1594" s="42"/>
      <c r="H1594" s="42"/>
      <c r="I1594" s="42"/>
      <c r="J1594" s="42"/>
      <c r="K1594" s="42"/>
      <c r="L1594" s="42"/>
      <c r="M1594" s="42"/>
      <c r="N1594" s="42"/>
      <c r="O1594" s="42"/>
      <c r="P1594" s="42"/>
      <c r="Q1594" s="42"/>
      <c r="R1594" s="42"/>
      <c r="S1594" s="42"/>
      <c r="T1594" s="42"/>
      <c r="U1594" s="42"/>
    </row>
    <row r="1596" spans="2:23" ht="18.75" customHeight="1">
      <c r="B1596" s="43" t="s">
        <v>163</v>
      </c>
      <c r="C1596" s="51" t="s">
        <v>3479</v>
      </c>
      <c r="D1596" s="88"/>
      <c r="W1596" s="35" t="str">
        <f>"-- "&amp;B1596&amp;" : "&amp;C1596</f>
        <v>-- SQL_ID : 01_C4-40</v>
      </c>
    </row>
    <row r="1597" spans="2:23" ht="18.75" customHeight="1">
      <c r="B1597" s="43" t="s">
        <v>158</v>
      </c>
      <c r="C1597" s="118" t="str">
        <f>R1600&amp;"登録"</f>
        <v>バックアップ_体温表モジュール_バイタルサイン登録</v>
      </c>
      <c r="D1597" s="119"/>
      <c r="E1597" s="119"/>
      <c r="F1597" s="119"/>
      <c r="G1597" s="119"/>
      <c r="H1597" s="119"/>
      <c r="I1597" s="119"/>
      <c r="J1597" s="119"/>
      <c r="K1597" s="119"/>
      <c r="L1597" s="119"/>
      <c r="M1597" s="119"/>
      <c r="N1597" s="119"/>
      <c r="O1597" s="119"/>
      <c r="P1597" s="119"/>
      <c r="Q1597" s="119"/>
      <c r="R1597" s="119"/>
      <c r="S1597" s="119"/>
      <c r="T1597" s="119"/>
      <c r="U1597" s="120"/>
      <c r="W1597" s="35" t="str">
        <f>"-- "&amp;C1597</f>
        <v>-- バックアップ_体温表モジュール_バイタルサイン登録</v>
      </c>
    </row>
    <row r="1598" spans="2:23" ht="18.75" customHeight="1">
      <c r="B1598" s="43" t="s">
        <v>159</v>
      </c>
      <c r="C1598" s="121" t="str">
        <f>C1600&amp;"テーブルから組入れ条件の第一条件で絞り込んだ結果を"&amp;R1600&amp;"テーブルに格納する。"</f>
        <v>体温表モジュール_バイタルサイン_結合テーブルから組入れ条件の第一条件で絞り込んだ結果をバックアップ_体温表モジュール_バイタルサインテーブルに格納する。</v>
      </c>
      <c r="D1598" s="122"/>
      <c r="E1598" s="122"/>
      <c r="F1598" s="122"/>
      <c r="G1598" s="122"/>
      <c r="H1598" s="122"/>
      <c r="I1598" s="122"/>
      <c r="J1598" s="122"/>
      <c r="K1598" s="122"/>
      <c r="L1598" s="122"/>
      <c r="M1598" s="122"/>
      <c r="N1598" s="122"/>
      <c r="O1598" s="122"/>
      <c r="P1598" s="122"/>
      <c r="Q1598" s="122"/>
      <c r="R1598" s="122"/>
      <c r="S1598" s="122"/>
      <c r="T1598" s="122"/>
      <c r="U1598" s="123"/>
      <c r="W1598" s="35" t="str">
        <f>"-- "&amp;C1598</f>
        <v>-- 体温表モジュール_バイタルサイン_結合テーブルから組入れ条件の第一条件で絞り込んだ結果をバックアップ_体温表モジュール_バイタルサインテーブルに格納する。</v>
      </c>
    </row>
    <row r="1600" spans="2:23" ht="18.75" customHeight="1">
      <c r="C1600" s="110" t="s">
        <v>3480</v>
      </c>
      <c r="D1600" s="111"/>
      <c r="E1600" s="116" t="s">
        <v>162</v>
      </c>
      <c r="H1600" s="36"/>
      <c r="I1600" s="36"/>
      <c r="J1600" s="36"/>
      <c r="K1600" s="36"/>
      <c r="L1600" s="36"/>
      <c r="M1600" s="36"/>
      <c r="N1600" s="36"/>
      <c r="O1600" s="36"/>
      <c r="P1600" s="36"/>
      <c r="Q1600" s="36"/>
      <c r="R1600" s="124" t="str">
        <f>"バックアップ_"&amp;SUBSTITUTE(C1600,"_結合","")</f>
        <v>バックアップ_体温表モジュール_バイタルサイン</v>
      </c>
      <c r="S1600" s="125"/>
      <c r="T1600" s="114" t="str">
        <f>エンティティ一覧!$O$2</f>
        <v>milscm_2023_009</v>
      </c>
    </row>
    <row r="1601" spans="2:23" ht="18.75" customHeight="1">
      <c r="C1601" s="112"/>
      <c r="D1601" s="113"/>
      <c r="E1601" s="117"/>
      <c r="F1601" s="37"/>
      <c r="G1601" s="38"/>
      <c r="H1601" s="37"/>
      <c r="I1601" s="37"/>
      <c r="J1601" s="37"/>
      <c r="K1601" s="37"/>
      <c r="L1601" s="37"/>
      <c r="M1601" s="37"/>
      <c r="N1601" s="37"/>
      <c r="O1601" s="37"/>
      <c r="P1601" s="37"/>
      <c r="Q1601" s="37"/>
      <c r="R1601" s="126"/>
      <c r="S1601" s="127"/>
      <c r="T1601" s="115"/>
    </row>
    <row r="1602" spans="2:23" ht="18.75" customHeight="1">
      <c r="F1602" s="39"/>
      <c r="G1602" s="40"/>
    </row>
    <row r="1603" spans="2:23" ht="18.75" customHeight="1">
      <c r="C1603" s="110" t="s">
        <v>3185</v>
      </c>
      <c r="D1603" s="111"/>
      <c r="E1603" s="114" t="str">
        <f>エンティティ一覧!$O$2</f>
        <v>milscm_2023_009</v>
      </c>
      <c r="G1603" s="41"/>
    </row>
    <row r="1604" spans="2:23" ht="18.75" customHeight="1">
      <c r="C1604" s="112"/>
      <c r="D1604" s="113"/>
      <c r="E1604" s="115"/>
      <c r="F1604" s="37"/>
    </row>
    <row r="1606" spans="2:23" ht="18.75" customHeight="1" thickBot="1">
      <c r="B1606" s="42"/>
      <c r="C1606" s="42"/>
      <c r="D1606" s="42"/>
      <c r="E1606" s="42"/>
      <c r="F1606" s="42"/>
      <c r="G1606" s="42"/>
      <c r="H1606" s="42"/>
      <c r="I1606" s="42"/>
      <c r="J1606" s="42"/>
      <c r="K1606" s="42"/>
      <c r="L1606" s="42"/>
      <c r="M1606" s="42"/>
      <c r="N1606" s="42"/>
      <c r="O1606" s="42"/>
      <c r="P1606" s="42"/>
      <c r="Q1606" s="42"/>
      <c r="R1606" s="42"/>
      <c r="S1606" s="42"/>
      <c r="T1606" s="42"/>
      <c r="U1606" s="42"/>
    </row>
    <row r="1608" spans="2:23" ht="18.75" customHeight="1">
      <c r="B1608" s="43" t="s">
        <v>163</v>
      </c>
      <c r="C1608" s="51" t="s">
        <v>3481</v>
      </c>
      <c r="D1608" s="88"/>
      <c r="W1608" s="35" t="str">
        <f>"-- "&amp;B1608&amp;" : "&amp;C1608</f>
        <v>-- SQL_ID : 01_C4-41</v>
      </c>
    </row>
    <row r="1609" spans="2:23" ht="18.75" customHeight="1">
      <c r="B1609" s="43" t="s">
        <v>158</v>
      </c>
      <c r="C1609" s="118" t="str">
        <f>R1612&amp;"登録"</f>
        <v>バックアップ_体温表モジュール_記録項目登録</v>
      </c>
      <c r="D1609" s="119"/>
      <c r="E1609" s="119"/>
      <c r="F1609" s="119"/>
      <c r="G1609" s="119"/>
      <c r="H1609" s="119"/>
      <c r="I1609" s="119"/>
      <c r="J1609" s="119"/>
      <c r="K1609" s="119"/>
      <c r="L1609" s="119"/>
      <c r="M1609" s="119"/>
      <c r="N1609" s="119"/>
      <c r="O1609" s="119"/>
      <c r="P1609" s="119"/>
      <c r="Q1609" s="119"/>
      <c r="R1609" s="119"/>
      <c r="S1609" s="119"/>
      <c r="T1609" s="119"/>
      <c r="U1609" s="120"/>
      <c r="W1609" s="35" t="str">
        <f>"-- "&amp;C1609</f>
        <v>-- バックアップ_体温表モジュール_記録項目登録</v>
      </c>
    </row>
    <row r="1610" spans="2:23" ht="18.75" customHeight="1">
      <c r="B1610" s="43" t="s">
        <v>159</v>
      </c>
      <c r="C1610" s="121" t="str">
        <f>C1612&amp;"テーブルから組入れ条件の第一条件で絞り込んだ結果を"&amp;R1612&amp;"テーブルに格納する。"</f>
        <v>体温表モジュール_記録項目_結合テーブルから組入れ条件の第一条件で絞り込んだ結果をバックアップ_体温表モジュール_記録項目テーブルに格納する。</v>
      </c>
      <c r="D1610" s="122"/>
      <c r="E1610" s="122"/>
      <c r="F1610" s="122"/>
      <c r="G1610" s="122"/>
      <c r="H1610" s="122"/>
      <c r="I1610" s="122"/>
      <c r="J1610" s="122"/>
      <c r="K1610" s="122"/>
      <c r="L1610" s="122"/>
      <c r="M1610" s="122"/>
      <c r="N1610" s="122"/>
      <c r="O1610" s="122"/>
      <c r="P1610" s="122"/>
      <c r="Q1610" s="122"/>
      <c r="R1610" s="122"/>
      <c r="S1610" s="122"/>
      <c r="T1610" s="122"/>
      <c r="U1610" s="123"/>
      <c r="W1610" s="35" t="str">
        <f>"-- "&amp;C1610</f>
        <v>-- 体温表モジュール_記録項目_結合テーブルから組入れ条件の第一条件で絞り込んだ結果をバックアップ_体温表モジュール_記録項目テーブルに格納する。</v>
      </c>
    </row>
    <row r="1612" spans="2:23" ht="18.75" customHeight="1">
      <c r="C1612" s="110" t="s">
        <v>3482</v>
      </c>
      <c r="D1612" s="111"/>
      <c r="E1612" s="116" t="s">
        <v>162</v>
      </c>
      <c r="H1612" s="36"/>
      <c r="I1612" s="36"/>
      <c r="J1612" s="36"/>
      <c r="K1612" s="36"/>
      <c r="L1612" s="36"/>
      <c r="M1612" s="36"/>
      <c r="N1612" s="36"/>
      <c r="O1612" s="36"/>
      <c r="P1612" s="36"/>
      <c r="Q1612" s="36"/>
      <c r="R1612" s="124" t="str">
        <f>"バックアップ_"&amp;SUBSTITUTE(C1612,"_結合","")</f>
        <v>バックアップ_体温表モジュール_記録項目</v>
      </c>
      <c r="S1612" s="125"/>
      <c r="T1612" s="114" t="str">
        <f>エンティティ一覧!$O$2</f>
        <v>milscm_2023_009</v>
      </c>
    </row>
    <row r="1613" spans="2:23" ht="18.75" customHeight="1">
      <c r="C1613" s="112"/>
      <c r="D1613" s="113"/>
      <c r="E1613" s="117"/>
      <c r="F1613" s="37"/>
      <c r="G1613" s="38"/>
      <c r="H1613" s="37"/>
      <c r="I1613" s="37"/>
      <c r="J1613" s="37"/>
      <c r="K1613" s="37"/>
      <c r="L1613" s="37"/>
      <c r="M1613" s="37"/>
      <c r="N1613" s="37"/>
      <c r="O1613" s="37"/>
      <c r="P1613" s="37"/>
      <c r="Q1613" s="37"/>
      <c r="R1613" s="126"/>
      <c r="S1613" s="127"/>
      <c r="T1613" s="115"/>
    </row>
    <row r="1614" spans="2:23" ht="18.75" customHeight="1">
      <c r="F1614" s="39"/>
      <c r="G1614" s="40"/>
    </row>
    <row r="1615" spans="2:23" ht="18.75" customHeight="1">
      <c r="C1615" s="110" t="s">
        <v>3185</v>
      </c>
      <c r="D1615" s="111"/>
      <c r="E1615" s="114" t="str">
        <f>エンティティ一覧!$O$2</f>
        <v>milscm_2023_009</v>
      </c>
      <c r="G1615" s="41"/>
    </row>
    <row r="1616" spans="2:23" ht="18.75" customHeight="1">
      <c r="C1616" s="112"/>
      <c r="D1616" s="113"/>
      <c r="E1616" s="115"/>
      <c r="F1616" s="37"/>
    </row>
    <row r="1618" spans="2:21" ht="18.75" customHeight="1" thickBot="1">
      <c r="B1618" s="42"/>
      <c r="C1618" s="42"/>
      <c r="D1618" s="42"/>
      <c r="E1618" s="42"/>
      <c r="F1618" s="42"/>
      <c r="G1618" s="42"/>
      <c r="H1618" s="42"/>
      <c r="I1618" s="42"/>
      <c r="J1618" s="42"/>
      <c r="K1618" s="42"/>
      <c r="L1618" s="42"/>
      <c r="M1618" s="42"/>
      <c r="N1618" s="42"/>
      <c r="O1618" s="42"/>
      <c r="P1618" s="42"/>
      <c r="Q1618" s="42"/>
      <c r="R1618" s="42"/>
      <c r="S1618" s="42"/>
      <c r="T1618" s="42"/>
      <c r="U1618" s="42"/>
    </row>
  </sheetData>
  <mergeCells count="1076">
    <mergeCell ref="C716:U716"/>
    <mergeCell ref="C718:D719"/>
    <mergeCell ref="E718:E719"/>
    <mergeCell ref="R718:S719"/>
    <mergeCell ref="T718:T719"/>
    <mergeCell ref="C724:U724"/>
    <mergeCell ref="C725:U725"/>
    <mergeCell ref="C727:D728"/>
    <mergeCell ref="E727:E728"/>
    <mergeCell ref="R727:S728"/>
    <mergeCell ref="T727:T728"/>
    <mergeCell ref="C691:D692"/>
    <mergeCell ref="E691:E692"/>
    <mergeCell ref="R691:S692"/>
    <mergeCell ref="T691:T692"/>
    <mergeCell ref="C697:U697"/>
    <mergeCell ref="C698:U698"/>
    <mergeCell ref="C700:D701"/>
    <mergeCell ref="E700:E701"/>
    <mergeCell ref="R700:S701"/>
    <mergeCell ref="T700:T701"/>
    <mergeCell ref="C706:U706"/>
    <mergeCell ref="C707:U707"/>
    <mergeCell ref="C709:D710"/>
    <mergeCell ref="E709:E710"/>
    <mergeCell ref="R709:S710"/>
    <mergeCell ref="T709:T710"/>
    <mergeCell ref="C715:U715"/>
    <mergeCell ref="C1063:D1064"/>
    <mergeCell ref="E1063:E1064"/>
    <mergeCell ref="C1051:D1052"/>
    <mergeCell ref="E1051:E1052"/>
    <mergeCell ref="C1057:U1057"/>
    <mergeCell ref="C1058:U1058"/>
    <mergeCell ref="C1060:D1061"/>
    <mergeCell ref="E1060:E1061"/>
    <mergeCell ref="R1060:S1061"/>
    <mergeCell ref="T1060:T1061"/>
    <mergeCell ref="C1039:D1040"/>
    <mergeCell ref="E1039:E1040"/>
    <mergeCell ref="C1045:U1045"/>
    <mergeCell ref="C1046:U1046"/>
    <mergeCell ref="C1048:D1049"/>
    <mergeCell ref="E1048:E1049"/>
    <mergeCell ref="R1048:S1049"/>
    <mergeCell ref="T1048:T1049"/>
    <mergeCell ref="C1027:D1028"/>
    <mergeCell ref="E1027:E1028"/>
    <mergeCell ref="C1033:U1033"/>
    <mergeCell ref="C1034:U1034"/>
    <mergeCell ref="C1036:D1037"/>
    <mergeCell ref="E1036:E1037"/>
    <mergeCell ref="R1036:S1037"/>
    <mergeCell ref="T1036:T1037"/>
    <mergeCell ref="C1015:D1016"/>
    <mergeCell ref="E1015:E1016"/>
    <mergeCell ref="C1021:U1021"/>
    <mergeCell ref="C1022:U1022"/>
    <mergeCell ref="C1024:D1025"/>
    <mergeCell ref="E1024:E1025"/>
    <mergeCell ref="R1024:S1025"/>
    <mergeCell ref="T1024:T1025"/>
    <mergeCell ref="C1003:D1004"/>
    <mergeCell ref="E1003:E1004"/>
    <mergeCell ref="C1009:U1009"/>
    <mergeCell ref="C1010:U1010"/>
    <mergeCell ref="C1012:D1013"/>
    <mergeCell ref="E1012:E1013"/>
    <mergeCell ref="R1012:S1013"/>
    <mergeCell ref="T1012:T1013"/>
    <mergeCell ref="C991:D992"/>
    <mergeCell ref="E991:E992"/>
    <mergeCell ref="C997:U997"/>
    <mergeCell ref="C998:U998"/>
    <mergeCell ref="C1000:D1001"/>
    <mergeCell ref="E1000:E1001"/>
    <mergeCell ref="R1000:S1001"/>
    <mergeCell ref="T1000:T1001"/>
    <mergeCell ref="C979:D980"/>
    <mergeCell ref="E979:E980"/>
    <mergeCell ref="C985:U985"/>
    <mergeCell ref="C986:U986"/>
    <mergeCell ref="C988:D989"/>
    <mergeCell ref="E988:E989"/>
    <mergeCell ref="R988:S989"/>
    <mergeCell ref="T988:T989"/>
    <mergeCell ref="C967:D968"/>
    <mergeCell ref="E967:E968"/>
    <mergeCell ref="C973:U973"/>
    <mergeCell ref="C974:U974"/>
    <mergeCell ref="C976:D977"/>
    <mergeCell ref="E976:E977"/>
    <mergeCell ref="R976:S977"/>
    <mergeCell ref="T976:T977"/>
    <mergeCell ref="C955:D956"/>
    <mergeCell ref="E955:E956"/>
    <mergeCell ref="C961:U961"/>
    <mergeCell ref="C962:U962"/>
    <mergeCell ref="C964:D965"/>
    <mergeCell ref="E964:E965"/>
    <mergeCell ref="R964:S965"/>
    <mergeCell ref="T964:T965"/>
    <mergeCell ref="C943:D944"/>
    <mergeCell ref="E943:E944"/>
    <mergeCell ref="C949:U949"/>
    <mergeCell ref="C950:U950"/>
    <mergeCell ref="C952:D953"/>
    <mergeCell ref="E952:E953"/>
    <mergeCell ref="R952:S953"/>
    <mergeCell ref="T952:T953"/>
    <mergeCell ref="C931:D932"/>
    <mergeCell ref="E931:E932"/>
    <mergeCell ref="C937:U937"/>
    <mergeCell ref="C938:U938"/>
    <mergeCell ref="C940:D941"/>
    <mergeCell ref="E940:E941"/>
    <mergeCell ref="R940:S941"/>
    <mergeCell ref="T940:T941"/>
    <mergeCell ref="C919:D920"/>
    <mergeCell ref="E919:E920"/>
    <mergeCell ref="C925:U925"/>
    <mergeCell ref="C926:U926"/>
    <mergeCell ref="C928:D929"/>
    <mergeCell ref="E928:E929"/>
    <mergeCell ref="R928:S929"/>
    <mergeCell ref="T928:T929"/>
    <mergeCell ref="C907:D908"/>
    <mergeCell ref="E907:E908"/>
    <mergeCell ref="C913:U913"/>
    <mergeCell ref="C914:U914"/>
    <mergeCell ref="C916:D917"/>
    <mergeCell ref="E916:E917"/>
    <mergeCell ref="R916:S917"/>
    <mergeCell ref="T916:T917"/>
    <mergeCell ref="C895:D896"/>
    <mergeCell ref="E895:E896"/>
    <mergeCell ref="C901:U901"/>
    <mergeCell ref="C902:U902"/>
    <mergeCell ref="C904:D905"/>
    <mergeCell ref="E904:E905"/>
    <mergeCell ref="R904:S905"/>
    <mergeCell ref="T904:T905"/>
    <mergeCell ref="C883:D884"/>
    <mergeCell ref="E883:E884"/>
    <mergeCell ref="C889:U889"/>
    <mergeCell ref="C890:U890"/>
    <mergeCell ref="C892:D893"/>
    <mergeCell ref="E892:E893"/>
    <mergeCell ref="R892:S893"/>
    <mergeCell ref="T892:T893"/>
    <mergeCell ref="C871:D872"/>
    <mergeCell ref="E871:E872"/>
    <mergeCell ref="C877:U877"/>
    <mergeCell ref="C878:U878"/>
    <mergeCell ref="C880:D881"/>
    <mergeCell ref="E880:E881"/>
    <mergeCell ref="R880:S881"/>
    <mergeCell ref="T880:T881"/>
    <mergeCell ref="C859:D860"/>
    <mergeCell ref="E859:E860"/>
    <mergeCell ref="C865:U865"/>
    <mergeCell ref="C866:U866"/>
    <mergeCell ref="C868:D869"/>
    <mergeCell ref="E868:E869"/>
    <mergeCell ref="R868:S869"/>
    <mergeCell ref="T868:T869"/>
    <mergeCell ref="C847:D848"/>
    <mergeCell ref="E847:E848"/>
    <mergeCell ref="C853:U853"/>
    <mergeCell ref="C854:U854"/>
    <mergeCell ref="C856:D857"/>
    <mergeCell ref="E856:E857"/>
    <mergeCell ref="R856:S857"/>
    <mergeCell ref="T856:T857"/>
    <mergeCell ref="C835:D836"/>
    <mergeCell ref="E835:E836"/>
    <mergeCell ref="C841:U841"/>
    <mergeCell ref="C842:U842"/>
    <mergeCell ref="C844:D845"/>
    <mergeCell ref="E844:E845"/>
    <mergeCell ref="R844:S845"/>
    <mergeCell ref="T844:T845"/>
    <mergeCell ref="C823:D824"/>
    <mergeCell ref="E823:E824"/>
    <mergeCell ref="C829:U829"/>
    <mergeCell ref="C830:U830"/>
    <mergeCell ref="C832:D833"/>
    <mergeCell ref="E832:E833"/>
    <mergeCell ref="R832:S833"/>
    <mergeCell ref="T832:T833"/>
    <mergeCell ref="C811:D812"/>
    <mergeCell ref="E811:E812"/>
    <mergeCell ref="C817:U817"/>
    <mergeCell ref="C818:U818"/>
    <mergeCell ref="C820:D821"/>
    <mergeCell ref="E820:E821"/>
    <mergeCell ref="R820:S821"/>
    <mergeCell ref="T820:T821"/>
    <mergeCell ref="C799:D800"/>
    <mergeCell ref="E799:E800"/>
    <mergeCell ref="C805:U805"/>
    <mergeCell ref="C806:U806"/>
    <mergeCell ref="C808:D809"/>
    <mergeCell ref="E808:E809"/>
    <mergeCell ref="R808:S809"/>
    <mergeCell ref="T808:T809"/>
    <mergeCell ref="C787:D788"/>
    <mergeCell ref="E787:E788"/>
    <mergeCell ref="C793:U793"/>
    <mergeCell ref="C794:U794"/>
    <mergeCell ref="C796:D797"/>
    <mergeCell ref="E796:E797"/>
    <mergeCell ref="R796:S797"/>
    <mergeCell ref="T796:T797"/>
    <mergeCell ref="C775:D776"/>
    <mergeCell ref="E775:E776"/>
    <mergeCell ref="C781:U781"/>
    <mergeCell ref="C782:U782"/>
    <mergeCell ref="C784:D785"/>
    <mergeCell ref="E784:E785"/>
    <mergeCell ref="R784:S785"/>
    <mergeCell ref="T784:T785"/>
    <mergeCell ref="C763:D764"/>
    <mergeCell ref="E763:E764"/>
    <mergeCell ref="C769:U769"/>
    <mergeCell ref="C770:U770"/>
    <mergeCell ref="C772:D773"/>
    <mergeCell ref="E772:E773"/>
    <mergeCell ref="R772:S773"/>
    <mergeCell ref="T772:T773"/>
    <mergeCell ref="C751:D752"/>
    <mergeCell ref="E751:E752"/>
    <mergeCell ref="C757:U757"/>
    <mergeCell ref="C758:U758"/>
    <mergeCell ref="C760:D761"/>
    <mergeCell ref="E760:E761"/>
    <mergeCell ref="R760:S761"/>
    <mergeCell ref="T760:T761"/>
    <mergeCell ref="C739:D740"/>
    <mergeCell ref="E739:E740"/>
    <mergeCell ref="C745:U745"/>
    <mergeCell ref="C746:U746"/>
    <mergeCell ref="C748:D749"/>
    <mergeCell ref="E748:E749"/>
    <mergeCell ref="R748:S749"/>
    <mergeCell ref="T748:T749"/>
    <mergeCell ref="C673:D674"/>
    <mergeCell ref="E673:E674"/>
    <mergeCell ref="C733:U733"/>
    <mergeCell ref="C734:U734"/>
    <mergeCell ref="C736:D737"/>
    <mergeCell ref="E736:E737"/>
    <mergeCell ref="R736:S737"/>
    <mergeCell ref="T736:T737"/>
    <mergeCell ref="C661:D662"/>
    <mergeCell ref="E661:E662"/>
    <mergeCell ref="C667:U667"/>
    <mergeCell ref="C668:U668"/>
    <mergeCell ref="C670:D671"/>
    <mergeCell ref="E670:E671"/>
    <mergeCell ref="R670:S671"/>
    <mergeCell ref="T670:T671"/>
    <mergeCell ref="C679:U679"/>
    <mergeCell ref="C680:U680"/>
    <mergeCell ref="C682:D683"/>
    <mergeCell ref="E682:E683"/>
    <mergeCell ref="R682:S683"/>
    <mergeCell ref="T682:T683"/>
    <mergeCell ref="C688:U688"/>
    <mergeCell ref="C689:U689"/>
    <mergeCell ref="C649:D650"/>
    <mergeCell ref="E649:E650"/>
    <mergeCell ref="C655:U655"/>
    <mergeCell ref="C656:U656"/>
    <mergeCell ref="C658:D659"/>
    <mergeCell ref="E658:E659"/>
    <mergeCell ref="R658:S659"/>
    <mergeCell ref="T658:T659"/>
    <mergeCell ref="C628:D629"/>
    <mergeCell ref="E628:E629"/>
    <mergeCell ref="C643:U643"/>
    <mergeCell ref="C644:U644"/>
    <mergeCell ref="C646:D647"/>
    <mergeCell ref="E646:E647"/>
    <mergeCell ref="R646:S647"/>
    <mergeCell ref="T646:T647"/>
    <mergeCell ref="C622:U622"/>
    <mergeCell ref="C623:U623"/>
    <mergeCell ref="C625:D626"/>
    <mergeCell ref="E625:E626"/>
    <mergeCell ref="R625:S626"/>
    <mergeCell ref="T625:T626"/>
    <mergeCell ref="C634:U634"/>
    <mergeCell ref="C635:U635"/>
    <mergeCell ref="C637:D638"/>
    <mergeCell ref="E637:E638"/>
    <mergeCell ref="R637:S638"/>
    <mergeCell ref="T637:T638"/>
    <mergeCell ref="C613:U613"/>
    <mergeCell ref="C614:U614"/>
    <mergeCell ref="C616:D617"/>
    <mergeCell ref="E616:E617"/>
    <mergeCell ref="R616:S617"/>
    <mergeCell ref="T616:T617"/>
    <mergeCell ref="C604:U604"/>
    <mergeCell ref="C605:U605"/>
    <mergeCell ref="C607:D608"/>
    <mergeCell ref="E607:E608"/>
    <mergeCell ref="R607:S608"/>
    <mergeCell ref="T607:T608"/>
    <mergeCell ref="C595:U595"/>
    <mergeCell ref="C596:U596"/>
    <mergeCell ref="C598:D599"/>
    <mergeCell ref="E598:E599"/>
    <mergeCell ref="R598:S599"/>
    <mergeCell ref="T598:T599"/>
    <mergeCell ref="C586:U586"/>
    <mergeCell ref="C587:U587"/>
    <mergeCell ref="C589:D590"/>
    <mergeCell ref="E589:E590"/>
    <mergeCell ref="R589:S590"/>
    <mergeCell ref="T589:T590"/>
    <mergeCell ref="C577:U577"/>
    <mergeCell ref="C578:U578"/>
    <mergeCell ref="C580:D581"/>
    <mergeCell ref="E580:E581"/>
    <mergeCell ref="R580:S581"/>
    <mergeCell ref="T580:T581"/>
    <mergeCell ref="C568:U568"/>
    <mergeCell ref="C569:U569"/>
    <mergeCell ref="C571:D572"/>
    <mergeCell ref="E571:E572"/>
    <mergeCell ref="R571:S572"/>
    <mergeCell ref="T571:T572"/>
    <mergeCell ref="C559:U559"/>
    <mergeCell ref="C560:U560"/>
    <mergeCell ref="C562:D563"/>
    <mergeCell ref="E562:E563"/>
    <mergeCell ref="R562:S563"/>
    <mergeCell ref="T562:T563"/>
    <mergeCell ref="C550:U550"/>
    <mergeCell ref="C551:U551"/>
    <mergeCell ref="C553:D554"/>
    <mergeCell ref="E553:E554"/>
    <mergeCell ref="R553:S554"/>
    <mergeCell ref="T553:T554"/>
    <mergeCell ref="C541:U541"/>
    <mergeCell ref="C542:U542"/>
    <mergeCell ref="C544:D545"/>
    <mergeCell ref="E544:E545"/>
    <mergeCell ref="R544:S545"/>
    <mergeCell ref="T544:T545"/>
    <mergeCell ref="C532:U532"/>
    <mergeCell ref="C533:U533"/>
    <mergeCell ref="C535:D536"/>
    <mergeCell ref="E535:E536"/>
    <mergeCell ref="R535:S536"/>
    <mergeCell ref="T535:T536"/>
    <mergeCell ref="C523:U523"/>
    <mergeCell ref="C524:U524"/>
    <mergeCell ref="C526:D527"/>
    <mergeCell ref="E526:E527"/>
    <mergeCell ref="R526:S527"/>
    <mergeCell ref="T526:T527"/>
    <mergeCell ref="C514:U514"/>
    <mergeCell ref="C515:U515"/>
    <mergeCell ref="C517:D518"/>
    <mergeCell ref="E517:E518"/>
    <mergeCell ref="R517:S518"/>
    <mergeCell ref="T517:T518"/>
    <mergeCell ref="C505:U505"/>
    <mergeCell ref="C506:U506"/>
    <mergeCell ref="C508:D509"/>
    <mergeCell ref="E508:E509"/>
    <mergeCell ref="R508:S509"/>
    <mergeCell ref="T508:T509"/>
    <mergeCell ref="C496:U496"/>
    <mergeCell ref="C497:U497"/>
    <mergeCell ref="C499:D500"/>
    <mergeCell ref="E499:E500"/>
    <mergeCell ref="R499:S500"/>
    <mergeCell ref="T499:T500"/>
    <mergeCell ref="C487:U487"/>
    <mergeCell ref="C488:U488"/>
    <mergeCell ref="C490:D491"/>
    <mergeCell ref="E490:E491"/>
    <mergeCell ref="R490:S491"/>
    <mergeCell ref="T490:T491"/>
    <mergeCell ref="C478:U478"/>
    <mergeCell ref="C479:U479"/>
    <mergeCell ref="C481:D482"/>
    <mergeCell ref="E481:E482"/>
    <mergeCell ref="R481:S482"/>
    <mergeCell ref="T481:T482"/>
    <mergeCell ref="C469:U469"/>
    <mergeCell ref="C470:U470"/>
    <mergeCell ref="C472:D473"/>
    <mergeCell ref="E472:E473"/>
    <mergeCell ref="R472:S473"/>
    <mergeCell ref="T472:T473"/>
    <mergeCell ref="C460:U460"/>
    <mergeCell ref="C461:U461"/>
    <mergeCell ref="C463:D464"/>
    <mergeCell ref="E463:E464"/>
    <mergeCell ref="R463:S464"/>
    <mergeCell ref="T463:T464"/>
    <mergeCell ref="C451:U451"/>
    <mergeCell ref="C452:U452"/>
    <mergeCell ref="C454:D455"/>
    <mergeCell ref="E454:E455"/>
    <mergeCell ref="R454:S455"/>
    <mergeCell ref="T454:T455"/>
    <mergeCell ref="C442:U442"/>
    <mergeCell ref="C443:U443"/>
    <mergeCell ref="C445:D446"/>
    <mergeCell ref="E445:E446"/>
    <mergeCell ref="R445:S446"/>
    <mergeCell ref="T445:T446"/>
    <mergeCell ref="C433:U433"/>
    <mergeCell ref="C434:U434"/>
    <mergeCell ref="C436:D437"/>
    <mergeCell ref="E436:E437"/>
    <mergeCell ref="R436:S437"/>
    <mergeCell ref="T436:T437"/>
    <mergeCell ref="C424:U424"/>
    <mergeCell ref="C425:U425"/>
    <mergeCell ref="C427:D428"/>
    <mergeCell ref="E427:E428"/>
    <mergeCell ref="R427:S428"/>
    <mergeCell ref="T427:T428"/>
    <mergeCell ref="C415:U415"/>
    <mergeCell ref="C416:U416"/>
    <mergeCell ref="C418:D419"/>
    <mergeCell ref="E418:E419"/>
    <mergeCell ref="R418:S419"/>
    <mergeCell ref="T418:T419"/>
    <mergeCell ref="C406:U406"/>
    <mergeCell ref="C407:U407"/>
    <mergeCell ref="C409:D410"/>
    <mergeCell ref="E409:E410"/>
    <mergeCell ref="R409:S410"/>
    <mergeCell ref="T409:T410"/>
    <mergeCell ref="C397:U397"/>
    <mergeCell ref="C398:U398"/>
    <mergeCell ref="C400:D401"/>
    <mergeCell ref="E400:E401"/>
    <mergeCell ref="R400:S401"/>
    <mergeCell ref="T400:T401"/>
    <mergeCell ref="C388:U388"/>
    <mergeCell ref="C389:U389"/>
    <mergeCell ref="C391:D392"/>
    <mergeCell ref="E391:E392"/>
    <mergeCell ref="R391:S392"/>
    <mergeCell ref="T391:T392"/>
    <mergeCell ref="C379:U379"/>
    <mergeCell ref="C380:U380"/>
    <mergeCell ref="C382:D383"/>
    <mergeCell ref="E382:E383"/>
    <mergeCell ref="R382:S383"/>
    <mergeCell ref="T382:T383"/>
    <mergeCell ref="C370:U370"/>
    <mergeCell ref="C371:U371"/>
    <mergeCell ref="C373:D374"/>
    <mergeCell ref="E373:E374"/>
    <mergeCell ref="R373:S374"/>
    <mergeCell ref="T373:T374"/>
    <mergeCell ref="C361:U361"/>
    <mergeCell ref="C362:U362"/>
    <mergeCell ref="C364:D365"/>
    <mergeCell ref="E364:E365"/>
    <mergeCell ref="R364:S365"/>
    <mergeCell ref="T364:T365"/>
    <mergeCell ref="C352:U352"/>
    <mergeCell ref="C353:U353"/>
    <mergeCell ref="C355:D356"/>
    <mergeCell ref="E355:E356"/>
    <mergeCell ref="R355:S356"/>
    <mergeCell ref="T355:T356"/>
    <mergeCell ref="C343:U343"/>
    <mergeCell ref="C344:U344"/>
    <mergeCell ref="C346:D347"/>
    <mergeCell ref="E346:E347"/>
    <mergeCell ref="R346:S347"/>
    <mergeCell ref="T346:T347"/>
    <mergeCell ref="C334:U334"/>
    <mergeCell ref="C335:U335"/>
    <mergeCell ref="C337:D338"/>
    <mergeCell ref="E337:E338"/>
    <mergeCell ref="R337:S338"/>
    <mergeCell ref="T337:T338"/>
    <mergeCell ref="C325:U325"/>
    <mergeCell ref="C326:U326"/>
    <mergeCell ref="C328:D329"/>
    <mergeCell ref="E328:E329"/>
    <mergeCell ref="R328:S329"/>
    <mergeCell ref="T328:T329"/>
    <mergeCell ref="C316:U316"/>
    <mergeCell ref="C317:U317"/>
    <mergeCell ref="C319:D320"/>
    <mergeCell ref="E319:E320"/>
    <mergeCell ref="R319:S320"/>
    <mergeCell ref="T319:T320"/>
    <mergeCell ref="C307:U307"/>
    <mergeCell ref="C308:U308"/>
    <mergeCell ref="C310:D311"/>
    <mergeCell ref="E310:E311"/>
    <mergeCell ref="R310:S311"/>
    <mergeCell ref="T310:T311"/>
    <mergeCell ref="C298:U298"/>
    <mergeCell ref="C299:U299"/>
    <mergeCell ref="C301:D302"/>
    <mergeCell ref="E301:E302"/>
    <mergeCell ref="R301:S302"/>
    <mergeCell ref="T301:T302"/>
    <mergeCell ref="C289:U289"/>
    <mergeCell ref="C290:U290"/>
    <mergeCell ref="C292:D293"/>
    <mergeCell ref="E292:E293"/>
    <mergeCell ref="R292:S293"/>
    <mergeCell ref="T292:T293"/>
    <mergeCell ref="C280:U280"/>
    <mergeCell ref="C281:U281"/>
    <mergeCell ref="C283:D284"/>
    <mergeCell ref="E283:E284"/>
    <mergeCell ref="R283:S284"/>
    <mergeCell ref="T283:T284"/>
    <mergeCell ref="C271:U271"/>
    <mergeCell ref="C272:U272"/>
    <mergeCell ref="C274:D275"/>
    <mergeCell ref="E274:E275"/>
    <mergeCell ref="R274:S275"/>
    <mergeCell ref="T274:T275"/>
    <mergeCell ref="C262:U262"/>
    <mergeCell ref="C263:U263"/>
    <mergeCell ref="C265:D266"/>
    <mergeCell ref="E265:E266"/>
    <mergeCell ref="R265:S266"/>
    <mergeCell ref="T265:T266"/>
    <mergeCell ref="C253:U253"/>
    <mergeCell ref="C254:U254"/>
    <mergeCell ref="C256:D257"/>
    <mergeCell ref="E256:E257"/>
    <mergeCell ref="R256:S257"/>
    <mergeCell ref="T256:T257"/>
    <mergeCell ref="C244:U244"/>
    <mergeCell ref="C245:U245"/>
    <mergeCell ref="C247:D248"/>
    <mergeCell ref="E247:E248"/>
    <mergeCell ref="R247:S248"/>
    <mergeCell ref="T247:T248"/>
    <mergeCell ref="C235:U235"/>
    <mergeCell ref="C236:U236"/>
    <mergeCell ref="C238:D239"/>
    <mergeCell ref="E238:E239"/>
    <mergeCell ref="R238:S239"/>
    <mergeCell ref="T238:T239"/>
    <mergeCell ref="C226:U226"/>
    <mergeCell ref="C227:U227"/>
    <mergeCell ref="C229:D230"/>
    <mergeCell ref="E229:E230"/>
    <mergeCell ref="R229:S230"/>
    <mergeCell ref="T229:T230"/>
    <mergeCell ref="C217:U217"/>
    <mergeCell ref="C218:U218"/>
    <mergeCell ref="C220:D221"/>
    <mergeCell ref="E220:E221"/>
    <mergeCell ref="R220:S221"/>
    <mergeCell ref="T220:T221"/>
    <mergeCell ref="C208:U208"/>
    <mergeCell ref="C209:U209"/>
    <mergeCell ref="C211:D212"/>
    <mergeCell ref="E211:E212"/>
    <mergeCell ref="R211:S212"/>
    <mergeCell ref="T211:T212"/>
    <mergeCell ref="C199:U199"/>
    <mergeCell ref="C200:U200"/>
    <mergeCell ref="C202:D203"/>
    <mergeCell ref="E202:E203"/>
    <mergeCell ref="R202:S203"/>
    <mergeCell ref="T202:T203"/>
    <mergeCell ref="C190:U190"/>
    <mergeCell ref="C191:U191"/>
    <mergeCell ref="C193:D194"/>
    <mergeCell ref="E193:E194"/>
    <mergeCell ref="R193:S194"/>
    <mergeCell ref="T193:T194"/>
    <mergeCell ref="C175:D176"/>
    <mergeCell ref="E175:E176"/>
    <mergeCell ref="C181:U181"/>
    <mergeCell ref="C182:U182"/>
    <mergeCell ref="C184:D185"/>
    <mergeCell ref="E184:E185"/>
    <mergeCell ref="R184:S185"/>
    <mergeCell ref="T184:T185"/>
    <mergeCell ref="C163:D164"/>
    <mergeCell ref="E163:E164"/>
    <mergeCell ref="C169:U169"/>
    <mergeCell ref="C170:U170"/>
    <mergeCell ref="C172:D173"/>
    <mergeCell ref="E172:E173"/>
    <mergeCell ref="R172:S173"/>
    <mergeCell ref="T172:T173"/>
    <mergeCell ref="C151:D152"/>
    <mergeCell ref="E151:E152"/>
    <mergeCell ref="C157:U157"/>
    <mergeCell ref="C158:U158"/>
    <mergeCell ref="C160:D161"/>
    <mergeCell ref="E160:E161"/>
    <mergeCell ref="R160:S161"/>
    <mergeCell ref="T160:T161"/>
    <mergeCell ref="C139:D140"/>
    <mergeCell ref="E139:E140"/>
    <mergeCell ref="C145:U145"/>
    <mergeCell ref="C146:U146"/>
    <mergeCell ref="C148:D149"/>
    <mergeCell ref="E148:E149"/>
    <mergeCell ref="R148:S149"/>
    <mergeCell ref="T148:T149"/>
    <mergeCell ref="C127:D128"/>
    <mergeCell ref="E127:E128"/>
    <mergeCell ref="C133:U133"/>
    <mergeCell ref="C134:U134"/>
    <mergeCell ref="C136:D137"/>
    <mergeCell ref="E136:E137"/>
    <mergeCell ref="R136:S137"/>
    <mergeCell ref="T136:T137"/>
    <mergeCell ref="C115:D116"/>
    <mergeCell ref="E115:E116"/>
    <mergeCell ref="C121:U121"/>
    <mergeCell ref="C122:U122"/>
    <mergeCell ref="C124:D125"/>
    <mergeCell ref="E124:E125"/>
    <mergeCell ref="R124:S125"/>
    <mergeCell ref="T124:T125"/>
    <mergeCell ref="C103:D104"/>
    <mergeCell ref="E103:E104"/>
    <mergeCell ref="C109:U109"/>
    <mergeCell ref="C110:U110"/>
    <mergeCell ref="C112:D113"/>
    <mergeCell ref="E112:E113"/>
    <mergeCell ref="R112:S113"/>
    <mergeCell ref="T112:T113"/>
    <mergeCell ref="C91:D92"/>
    <mergeCell ref="E91:E92"/>
    <mergeCell ref="C97:U97"/>
    <mergeCell ref="C98:U98"/>
    <mergeCell ref="C100:D101"/>
    <mergeCell ref="E100:E101"/>
    <mergeCell ref="R100:S101"/>
    <mergeCell ref="T100:T101"/>
    <mergeCell ref="C85:U85"/>
    <mergeCell ref="C86:U86"/>
    <mergeCell ref="C88:D89"/>
    <mergeCell ref="E88:E89"/>
    <mergeCell ref="R88:S89"/>
    <mergeCell ref="T88:T89"/>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1615:D1616"/>
    <mergeCell ref="E1615:E1616"/>
    <mergeCell ref="C40:U40"/>
    <mergeCell ref="C41:U41"/>
    <mergeCell ref="C43:D44"/>
    <mergeCell ref="E43:E44"/>
    <mergeCell ref="R43:S44"/>
    <mergeCell ref="T43:T44"/>
    <mergeCell ref="C1603:D1604"/>
    <mergeCell ref="E1603:E1604"/>
    <mergeCell ref="C1609:U1609"/>
    <mergeCell ref="C1610:U1610"/>
    <mergeCell ref="C1612:D1613"/>
    <mergeCell ref="E1612:E1613"/>
    <mergeCell ref="R1612:S1613"/>
    <mergeCell ref="T1612:T1613"/>
    <mergeCell ref="C1591:D1592"/>
    <mergeCell ref="E1591:E1592"/>
    <mergeCell ref="C1597:U1597"/>
    <mergeCell ref="C1598:U1598"/>
    <mergeCell ref="C1600:D1601"/>
    <mergeCell ref="E1600:E1601"/>
    <mergeCell ref="R1600:S1601"/>
    <mergeCell ref="T1600:T1601"/>
    <mergeCell ref="C1579:D1580"/>
    <mergeCell ref="E1579:E1580"/>
    <mergeCell ref="C1585:U1585"/>
    <mergeCell ref="C1586:U1586"/>
    <mergeCell ref="C1588:D1589"/>
    <mergeCell ref="E1588:E1589"/>
    <mergeCell ref="R1588:S1589"/>
    <mergeCell ref="T1588:T1589"/>
    <mergeCell ref="C1567:D1568"/>
    <mergeCell ref="E1567:E1568"/>
    <mergeCell ref="C1573:U1573"/>
    <mergeCell ref="C1574:U1574"/>
    <mergeCell ref="C1576:D1577"/>
    <mergeCell ref="E1576:E1577"/>
    <mergeCell ref="R1576:S1577"/>
    <mergeCell ref="T1576:T1577"/>
    <mergeCell ref="C1555:D1556"/>
    <mergeCell ref="E1555:E1556"/>
    <mergeCell ref="C1561:U1561"/>
    <mergeCell ref="C1562:U1562"/>
    <mergeCell ref="C1564:D1565"/>
    <mergeCell ref="E1564:E1565"/>
    <mergeCell ref="R1564:S1565"/>
    <mergeCell ref="T1564:T1565"/>
    <mergeCell ref="C1543:D1544"/>
    <mergeCell ref="E1543:E1544"/>
    <mergeCell ref="C1549:U1549"/>
    <mergeCell ref="C1550:U1550"/>
    <mergeCell ref="C1552:D1553"/>
    <mergeCell ref="E1552:E1553"/>
    <mergeCell ref="R1552:S1553"/>
    <mergeCell ref="T1552:T1553"/>
    <mergeCell ref="C1531:D1532"/>
    <mergeCell ref="E1531:E1532"/>
    <mergeCell ref="C1537:U1537"/>
    <mergeCell ref="C1538:U1538"/>
    <mergeCell ref="C1540:D1541"/>
    <mergeCell ref="E1540:E1541"/>
    <mergeCell ref="R1540:S1541"/>
    <mergeCell ref="T1540:T1541"/>
    <mergeCell ref="C1519:D1520"/>
    <mergeCell ref="E1519:E1520"/>
    <mergeCell ref="C1525:U1525"/>
    <mergeCell ref="C1526:U1526"/>
    <mergeCell ref="C1528:D1529"/>
    <mergeCell ref="E1528:E1529"/>
    <mergeCell ref="R1528:S1529"/>
    <mergeCell ref="T1528:T1529"/>
    <mergeCell ref="C1507:D1508"/>
    <mergeCell ref="E1507:E1508"/>
    <mergeCell ref="C1513:U1513"/>
    <mergeCell ref="C1514:U1514"/>
    <mergeCell ref="C1516:D1517"/>
    <mergeCell ref="E1516:E1517"/>
    <mergeCell ref="R1516:S1517"/>
    <mergeCell ref="T1516:T1517"/>
    <mergeCell ref="C1495:D1496"/>
    <mergeCell ref="E1495:E1496"/>
    <mergeCell ref="C1501:U1501"/>
    <mergeCell ref="C1502:U1502"/>
    <mergeCell ref="C1504:D1505"/>
    <mergeCell ref="E1504:E1505"/>
    <mergeCell ref="R1504:S1505"/>
    <mergeCell ref="T1504:T1505"/>
    <mergeCell ref="C1483:D1484"/>
    <mergeCell ref="E1483:E1484"/>
    <mergeCell ref="C1489:U1489"/>
    <mergeCell ref="C1490:U1490"/>
    <mergeCell ref="C1492:D1493"/>
    <mergeCell ref="E1492:E1493"/>
    <mergeCell ref="R1492:S1493"/>
    <mergeCell ref="T1492:T1493"/>
    <mergeCell ref="C1471:D1472"/>
    <mergeCell ref="E1471:E1472"/>
    <mergeCell ref="C1477:U1477"/>
    <mergeCell ref="C1478:U1478"/>
    <mergeCell ref="C1480:D1481"/>
    <mergeCell ref="E1480:E1481"/>
    <mergeCell ref="R1480:S1481"/>
    <mergeCell ref="T1480:T1481"/>
    <mergeCell ref="C1459:D1460"/>
    <mergeCell ref="E1459:E1460"/>
    <mergeCell ref="C1465:U1465"/>
    <mergeCell ref="C1466:U1466"/>
    <mergeCell ref="C1468:D1469"/>
    <mergeCell ref="E1468:E1469"/>
    <mergeCell ref="R1468:S1469"/>
    <mergeCell ref="T1468:T1469"/>
    <mergeCell ref="C1447:D1448"/>
    <mergeCell ref="E1447:E1448"/>
    <mergeCell ref="C1453:U1453"/>
    <mergeCell ref="C1454:U1454"/>
    <mergeCell ref="C1456:D1457"/>
    <mergeCell ref="E1456:E1457"/>
    <mergeCell ref="R1456:S1457"/>
    <mergeCell ref="T1456:T1457"/>
    <mergeCell ref="C1435:D1436"/>
    <mergeCell ref="E1435:E1436"/>
    <mergeCell ref="C1441:U1441"/>
    <mergeCell ref="C1442:U1442"/>
    <mergeCell ref="C1444:D1445"/>
    <mergeCell ref="E1444:E1445"/>
    <mergeCell ref="R1444:S1445"/>
    <mergeCell ref="T1444:T1445"/>
    <mergeCell ref="C1423:D1424"/>
    <mergeCell ref="E1423:E1424"/>
    <mergeCell ref="C1429:U1429"/>
    <mergeCell ref="C1430:U1430"/>
    <mergeCell ref="C1432:D1433"/>
    <mergeCell ref="E1432:E1433"/>
    <mergeCell ref="R1432:S1433"/>
    <mergeCell ref="T1432:T1433"/>
    <mergeCell ref="C1411:D1412"/>
    <mergeCell ref="E1411:E1412"/>
    <mergeCell ref="C1417:U1417"/>
    <mergeCell ref="C1418:U1418"/>
    <mergeCell ref="C1420:D1421"/>
    <mergeCell ref="E1420:E1421"/>
    <mergeCell ref="R1420:S1421"/>
    <mergeCell ref="T1420:T1421"/>
    <mergeCell ref="C1399:D1400"/>
    <mergeCell ref="E1399:E1400"/>
    <mergeCell ref="C1405:U1405"/>
    <mergeCell ref="C1406:U1406"/>
    <mergeCell ref="C1408:D1409"/>
    <mergeCell ref="E1408:E1409"/>
    <mergeCell ref="R1408:S1409"/>
    <mergeCell ref="T1408:T1409"/>
    <mergeCell ref="C1387:D1388"/>
    <mergeCell ref="E1387:E1388"/>
    <mergeCell ref="C1393:U1393"/>
    <mergeCell ref="C1394:U1394"/>
    <mergeCell ref="C1396:D1397"/>
    <mergeCell ref="E1396:E1397"/>
    <mergeCell ref="R1396:S1397"/>
    <mergeCell ref="T1396:T1397"/>
    <mergeCell ref="C1375:D1376"/>
    <mergeCell ref="E1375:E1376"/>
    <mergeCell ref="C1381:U1381"/>
    <mergeCell ref="C1382:U1382"/>
    <mergeCell ref="C1384:D1385"/>
    <mergeCell ref="E1384:E1385"/>
    <mergeCell ref="R1384:S1385"/>
    <mergeCell ref="T1384:T1385"/>
    <mergeCell ref="C1363:D1364"/>
    <mergeCell ref="E1363:E1364"/>
    <mergeCell ref="C1369:U1369"/>
    <mergeCell ref="C1370:U1370"/>
    <mergeCell ref="C1372:D1373"/>
    <mergeCell ref="E1372:E1373"/>
    <mergeCell ref="R1372:S1373"/>
    <mergeCell ref="T1372:T1373"/>
    <mergeCell ref="C1351:D1352"/>
    <mergeCell ref="E1351:E1352"/>
    <mergeCell ref="C1357:U1357"/>
    <mergeCell ref="C1358:U1358"/>
    <mergeCell ref="C1360:D1361"/>
    <mergeCell ref="E1360:E1361"/>
    <mergeCell ref="R1360:S1361"/>
    <mergeCell ref="T1360:T1361"/>
    <mergeCell ref="C1339:D1340"/>
    <mergeCell ref="E1339:E1340"/>
    <mergeCell ref="C1345:U1345"/>
    <mergeCell ref="C1346:U1346"/>
    <mergeCell ref="C1348:D1349"/>
    <mergeCell ref="E1348:E1349"/>
    <mergeCell ref="R1348:S1349"/>
    <mergeCell ref="T1348:T1349"/>
    <mergeCell ref="C1327:D1328"/>
    <mergeCell ref="E1327:E1328"/>
    <mergeCell ref="C1333:U1333"/>
    <mergeCell ref="C1334:U1334"/>
    <mergeCell ref="C1336:D1337"/>
    <mergeCell ref="E1336:E1337"/>
    <mergeCell ref="R1336:S1337"/>
    <mergeCell ref="T1336:T1337"/>
    <mergeCell ref="C1315:D1316"/>
    <mergeCell ref="E1315:E1316"/>
    <mergeCell ref="C1321:U1321"/>
    <mergeCell ref="C1322:U1322"/>
    <mergeCell ref="C1324:D1325"/>
    <mergeCell ref="E1324:E1325"/>
    <mergeCell ref="R1324:S1325"/>
    <mergeCell ref="T1324:T1325"/>
    <mergeCell ref="C1303:D1304"/>
    <mergeCell ref="E1303:E1304"/>
    <mergeCell ref="C1309:U1309"/>
    <mergeCell ref="C1310:U1310"/>
    <mergeCell ref="C1312:D1313"/>
    <mergeCell ref="E1312:E1313"/>
    <mergeCell ref="R1312:S1313"/>
    <mergeCell ref="T1312:T1313"/>
    <mergeCell ref="C1291:D1292"/>
    <mergeCell ref="E1291:E1292"/>
    <mergeCell ref="C1297:U1297"/>
    <mergeCell ref="C1298:U1298"/>
    <mergeCell ref="C1300:D1301"/>
    <mergeCell ref="E1300:E1301"/>
    <mergeCell ref="R1300:S1301"/>
    <mergeCell ref="T1300:T1301"/>
    <mergeCell ref="C1279:D1280"/>
    <mergeCell ref="E1279:E1280"/>
    <mergeCell ref="C1285:U1285"/>
    <mergeCell ref="C1286:U1286"/>
    <mergeCell ref="C1288:D1289"/>
    <mergeCell ref="E1288:E1289"/>
    <mergeCell ref="R1288:S1289"/>
    <mergeCell ref="T1288:T1289"/>
    <mergeCell ref="C1267:D1268"/>
    <mergeCell ref="E1267:E1268"/>
    <mergeCell ref="C1273:U1273"/>
    <mergeCell ref="C1274:U1274"/>
    <mergeCell ref="C1276:D1277"/>
    <mergeCell ref="E1276:E1277"/>
    <mergeCell ref="R1276:S1277"/>
    <mergeCell ref="T1276:T1277"/>
    <mergeCell ref="C1255:D1256"/>
    <mergeCell ref="E1255:E1256"/>
    <mergeCell ref="C1261:U1261"/>
    <mergeCell ref="C1262:U1262"/>
    <mergeCell ref="C1264:D1265"/>
    <mergeCell ref="E1264:E1265"/>
    <mergeCell ref="R1264:S1265"/>
    <mergeCell ref="T1264:T1265"/>
    <mergeCell ref="C1243:D1244"/>
    <mergeCell ref="E1243:E1244"/>
    <mergeCell ref="C1249:U1249"/>
    <mergeCell ref="C1250:U1250"/>
    <mergeCell ref="C1252:D1253"/>
    <mergeCell ref="E1252:E1253"/>
    <mergeCell ref="R1252:S1253"/>
    <mergeCell ref="T1252:T1253"/>
    <mergeCell ref="C1231:D1232"/>
    <mergeCell ref="E1231:E1232"/>
    <mergeCell ref="C1237:U1237"/>
    <mergeCell ref="C1238:U1238"/>
    <mergeCell ref="C1240:D1241"/>
    <mergeCell ref="E1240:E1241"/>
    <mergeCell ref="R1240:S1241"/>
    <mergeCell ref="T1240:T1241"/>
    <mergeCell ref="C1219:D1220"/>
    <mergeCell ref="E1219:E1220"/>
    <mergeCell ref="C1225:U1225"/>
    <mergeCell ref="C1226:U1226"/>
    <mergeCell ref="C1228:D1229"/>
    <mergeCell ref="E1228:E1229"/>
    <mergeCell ref="R1228:S1229"/>
    <mergeCell ref="T1228:T1229"/>
    <mergeCell ref="C1207:D1208"/>
    <mergeCell ref="E1207:E1208"/>
    <mergeCell ref="C1213:U1213"/>
    <mergeCell ref="C1214:U1214"/>
    <mergeCell ref="C1216:D1217"/>
    <mergeCell ref="E1216:E1217"/>
    <mergeCell ref="R1216:S1217"/>
    <mergeCell ref="T1216:T1217"/>
    <mergeCell ref="C1195:D1196"/>
    <mergeCell ref="E1195:E1196"/>
    <mergeCell ref="C1201:U1201"/>
    <mergeCell ref="C1202:U1202"/>
    <mergeCell ref="C1204:D1205"/>
    <mergeCell ref="E1204:E1205"/>
    <mergeCell ref="R1204:S1205"/>
    <mergeCell ref="T1204:T1205"/>
    <mergeCell ref="C1183:D1184"/>
    <mergeCell ref="E1183:E1184"/>
    <mergeCell ref="C1189:U1189"/>
    <mergeCell ref="C1190:U1190"/>
    <mergeCell ref="C1192:D1193"/>
    <mergeCell ref="E1192:E1193"/>
    <mergeCell ref="R1192:S1193"/>
    <mergeCell ref="T1192:T1193"/>
    <mergeCell ref="C1171:D1172"/>
    <mergeCell ref="E1171:E1172"/>
    <mergeCell ref="C1177:U1177"/>
    <mergeCell ref="C1178:U1178"/>
    <mergeCell ref="C1180:D1181"/>
    <mergeCell ref="E1180:E1181"/>
    <mergeCell ref="R1180:S1181"/>
    <mergeCell ref="T1180:T1181"/>
    <mergeCell ref="C1159:D1160"/>
    <mergeCell ref="E1159:E1160"/>
    <mergeCell ref="C1165:U1165"/>
    <mergeCell ref="C1166:U1166"/>
    <mergeCell ref="C1168:D1169"/>
    <mergeCell ref="E1168:E1169"/>
    <mergeCell ref="R1168:S1169"/>
    <mergeCell ref="T1168:T1169"/>
    <mergeCell ref="C1153:U1153"/>
    <mergeCell ref="C1154:U1154"/>
    <mergeCell ref="C1156:D1157"/>
    <mergeCell ref="E1156:E1157"/>
    <mergeCell ref="R1156:S1157"/>
    <mergeCell ref="T1156:T1157"/>
    <mergeCell ref="C1147:D1148"/>
    <mergeCell ref="E1147:E1148"/>
    <mergeCell ref="C1111:D1112"/>
    <mergeCell ref="E1111:E1112"/>
    <mergeCell ref="C1123:D1124"/>
    <mergeCell ref="E1123:E1124"/>
    <mergeCell ref="C1135:D1136"/>
    <mergeCell ref="E1135:E1136"/>
    <mergeCell ref="C1141:U1141"/>
    <mergeCell ref="C1142:U1142"/>
    <mergeCell ref="C1144:D1145"/>
    <mergeCell ref="E1144:E1145"/>
    <mergeCell ref="R1144:S1145"/>
    <mergeCell ref="T1144:T1145"/>
    <mergeCell ref="C1132:D1133"/>
    <mergeCell ref="E1132:E1133"/>
    <mergeCell ref="R1132:S1133"/>
    <mergeCell ref="T1132:T1133"/>
    <mergeCell ref="C1117:U1117"/>
    <mergeCell ref="C1118:U1118"/>
    <mergeCell ref="C1120:D1121"/>
    <mergeCell ref="E1120:E1121"/>
    <mergeCell ref="R1120:S1121"/>
    <mergeCell ref="T1120:T1121"/>
    <mergeCell ref="C1129:U1129"/>
    <mergeCell ref="C1130:U1130"/>
    <mergeCell ref="R1108:S1109"/>
    <mergeCell ref="T1108:T1109"/>
    <mergeCell ref="C1081:U1081"/>
    <mergeCell ref="C1082:U1082"/>
    <mergeCell ref="C1069:U1069"/>
    <mergeCell ref="C1070:U1070"/>
    <mergeCell ref="C1072:D1073"/>
    <mergeCell ref="E1072:E1073"/>
    <mergeCell ref="R1072:S1073"/>
    <mergeCell ref="T1072:T1073"/>
    <mergeCell ref="C1075:D1076"/>
    <mergeCell ref="E1075:E1076"/>
    <mergeCell ref="R1096:S1097"/>
    <mergeCell ref="T1096:T1097"/>
    <mergeCell ref="C1105:U1105"/>
    <mergeCell ref="C1106:U1106"/>
    <mergeCell ref="C1099:D1100"/>
    <mergeCell ref="E1099:E1100"/>
    <mergeCell ref="C1093:U1093"/>
    <mergeCell ref="C1094:U1094"/>
    <mergeCell ref="C1096:D1097"/>
    <mergeCell ref="E1096:E1097"/>
    <mergeCell ref="C1084:D1085"/>
    <mergeCell ref="E1084:E1085"/>
    <mergeCell ref="R1084:S1085"/>
    <mergeCell ref="T1084:T1085"/>
    <mergeCell ref="C1087:D1088"/>
    <mergeCell ref="E1087:E1088"/>
    <mergeCell ref="C1108:D1109"/>
    <mergeCell ref="E1108:E1109"/>
    <mergeCell ref="C30:D31"/>
    <mergeCell ref="E30:E31"/>
    <mergeCell ref="H24:I25"/>
    <mergeCell ref="J24:J25"/>
    <mergeCell ref="C4:U4"/>
    <mergeCell ref="C5:U5"/>
    <mergeCell ref="C7:D8"/>
    <mergeCell ref="E7:E8"/>
    <mergeCell ref="R7:S8"/>
    <mergeCell ref="T7:T8"/>
    <mergeCell ref="R24:S25"/>
    <mergeCell ref="T24:T25"/>
    <mergeCell ref="C21:U21"/>
    <mergeCell ref="C22:U22"/>
    <mergeCell ref="C27:D28"/>
    <mergeCell ref="E27:E28"/>
    <mergeCell ref="M33:N34"/>
    <mergeCell ref="O33:O34"/>
    <mergeCell ref="C10:D11"/>
    <mergeCell ref="E10:E11"/>
    <mergeCell ref="C13:D14"/>
    <mergeCell ref="E13:E1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173"/>
  <sheetViews>
    <sheetView showGridLines="0" topLeftCell="A123" zoomScaleNormal="100" workbookViewId="0">
      <selection activeCell="E123" sqref="E123"/>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7"/>
      <c r="B3" s="43" t="s">
        <v>163</v>
      </c>
      <c r="C3" s="51" t="s">
        <v>174</v>
      </c>
      <c r="D3" s="89"/>
      <c r="W3" s="35" t="str">
        <f>"-- "&amp;B3&amp;" : "&amp;C3</f>
        <v>-- SQL_ID : 11_01</v>
      </c>
    </row>
    <row r="4" spans="1:23" ht="18.75" customHeight="1">
      <c r="B4" s="43" t="s">
        <v>158</v>
      </c>
      <c r="C4" s="118" t="str">
        <f>R7&amp;"登録"</f>
        <v>組入れ_対象施設登録</v>
      </c>
      <c r="D4" s="119"/>
      <c r="E4" s="119"/>
      <c r="F4" s="119"/>
      <c r="G4" s="119"/>
      <c r="H4" s="119"/>
      <c r="I4" s="119"/>
      <c r="J4" s="119"/>
      <c r="K4" s="119"/>
      <c r="L4" s="119"/>
      <c r="M4" s="119"/>
      <c r="N4" s="119"/>
      <c r="O4" s="119"/>
      <c r="P4" s="119"/>
      <c r="Q4" s="119"/>
      <c r="R4" s="119"/>
      <c r="S4" s="119"/>
      <c r="T4" s="119"/>
      <c r="U4" s="120"/>
      <c r="W4" s="35" t="str">
        <f>"-- "&amp;C4</f>
        <v>-- 組入れ_対象施設登録</v>
      </c>
    </row>
    <row r="5" spans="1:23" ht="18.75" customHeight="1">
      <c r="B5" s="43" t="s">
        <v>159</v>
      </c>
      <c r="C5" s="121" t="str">
        <f>C7&amp;"テーブルから組入れ条件で絞り込んだ結果を"&amp;R7&amp;"テーブルに格納する。"</f>
        <v>バックアップ_処理対象施設マスタテーブルから組入れ条件で絞り込んだ結果を組入れ_対象施設テーブルに格納する。</v>
      </c>
      <c r="D5" s="122"/>
      <c r="E5" s="122"/>
      <c r="F5" s="122"/>
      <c r="G5" s="122"/>
      <c r="H5" s="122"/>
      <c r="I5" s="122"/>
      <c r="J5" s="122"/>
      <c r="K5" s="122"/>
      <c r="L5" s="122"/>
      <c r="M5" s="122"/>
      <c r="N5" s="122"/>
      <c r="O5" s="122"/>
      <c r="P5" s="122"/>
      <c r="Q5" s="122"/>
      <c r="R5" s="122"/>
      <c r="S5" s="122"/>
      <c r="T5" s="122"/>
      <c r="U5" s="123"/>
      <c r="W5" s="35" t="str">
        <f>"-- "&amp;C5</f>
        <v>-- バックアップ_処理対象施設マスタテーブルから組入れ条件で絞り込んだ結果を組入れ_対象施設テーブルに格納する。</v>
      </c>
    </row>
    <row r="7" spans="1:23" ht="18.75" customHeight="1">
      <c r="C7" s="110" t="s">
        <v>3862</v>
      </c>
      <c r="D7" s="111"/>
      <c r="E7" s="114" t="str">
        <f>エンティティ一覧!$O$2</f>
        <v>milscm_2023_009</v>
      </c>
      <c r="F7" s="36"/>
      <c r="G7" s="36"/>
      <c r="H7" s="36"/>
      <c r="I7" s="36"/>
      <c r="J7" s="36"/>
      <c r="M7" s="36"/>
      <c r="N7" s="36"/>
      <c r="O7" s="36"/>
      <c r="P7" s="36"/>
      <c r="Q7" s="36"/>
      <c r="R7" s="110" t="s">
        <v>3671</v>
      </c>
      <c r="S7" s="111"/>
      <c r="T7" s="114" t="str">
        <f>エンティティ一覧!$O$2</f>
        <v>milscm_2023_009</v>
      </c>
      <c r="W7" s="35" t="s">
        <v>3672</v>
      </c>
    </row>
    <row r="8" spans="1:23" ht="18.75" customHeight="1">
      <c r="C8" s="112"/>
      <c r="D8" s="113"/>
      <c r="E8" s="115"/>
      <c r="F8" s="37"/>
      <c r="G8" s="37"/>
      <c r="H8" s="37"/>
      <c r="I8" s="37"/>
      <c r="J8" s="37"/>
      <c r="K8" s="37"/>
      <c r="L8" s="38"/>
      <c r="M8" s="37"/>
      <c r="N8" s="37"/>
      <c r="O8" s="37"/>
      <c r="P8" s="37"/>
      <c r="Q8" s="37"/>
      <c r="R8" s="112"/>
      <c r="S8" s="113"/>
      <c r="T8" s="115"/>
    </row>
    <row r="9" spans="1:23" ht="18.75" customHeight="1">
      <c r="K9" s="39"/>
      <c r="L9" s="40"/>
    </row>
    <row r="10" spans="1:23" ht="18.75" customHeight="1">
      <c r="C10" s="110" t="s">
        <v>3670</v>
      </c>
      <c r="D10" s="111"/>
      <c r="E10" s="116" t="s">
        <v>162</v>
      </c>
      <c r="F10" s="36"/>
      <c r="G10" s="36"/>
      <c r="H10" s="36"/>
      <c r="I10" s="36"/>
      <c r="J10" s="36"/>
      <c r="L10" s="41"/>
    </row>
    <row r="11" spans="1:23" ht="18.75" customHeight="1">
      <c r="C11" s="112"/>
      <c r="D11" s="113"/>
      <c r="E11" s="117"/>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B15" s="43" t="s">
        <v>163</v>
      </c>
      <c r="C15" s="51" t="s">
        <v>4022</v>
      </c>
      <c r="D15" s="108"/>
      <c r="W15" s="35" t="str">
        <f>"-- "&amp;B15&amp;" : "&amp;C15</f>
        <v>-- SQL_ID : 11_01-01</v>
      </c>
    </row>
    <row r="16" spans="1:23" ht="18.75" customHeight="1">
      <c r="B16" s="43" t="s">
        <v>158</v>
      </c>
      <c r="C16" s="118" t="str">
        <f>R19&amp;"更新"</f>
        <v>組入れ_対象施設更新</v>
      </c>
      <c r="D16" s="119"/>
      <c r="E16" s="119"/>
      <c r="F16" s="119"/>
      <c r="G16" s="119"/>
      <c r="H16" s="119"/>
      <c r="I16" s="119"/>
      <c r="J16" s="119"/>
      <c r="K16" s="119"/>
      <c r="L16" s="119"/>
      <c r="M16" s="119"/>
      <c r="N16" s="119"/>
      <c r="O16" s="119"/>
      <c r="P16" s="119"/>
      <c r="Q16" s="119"/>
      <c r="R16" s="119"/>
      <c r="S16" s="119"/>
      <c r="T16" s="119"/>
      <c r="U16" s="120"/>
      <c r="W16" s="35" t="str">
        <f>"-- "&amp;C16</f>
        <v>-- 組入れ_対象施設更新</v>
      </c>
    </row>
    <row r="17" spans="1:23" ht="18.75" customHeight="1">
      <c r="B17" s="43" t="s">
        <v>159</v>
      </c>
      <c r="C17" s="121" t="s">
        <v>4071</v>
      </c>
      <c r="D17" s="122"/>
      <c r="E17" s="122"/>
      <c r="F17" s="122"/>
      <c r="G17" s="122"/>
      <c r="H17" s="122"/>
      <c r="I17" s="122"/>
      <c r="J17" s="122"/>
      <c r="K17" s="122"/>
      <c r="L17" s="122"/>
      <c r="M17" s="122"/>
      <c r="N17" s="122"/>
      <c r="O17" s="122"/>
      <c r="P17" s="122"/>
      <c r="Q17" s="122"/>
      <c r="R17" s="122"/>
      <c r="S17" s="122"/>
      <c r="T17" s="122"/>
      <c r="U17" s="123"/>
      <c r="W17" s="35" t="str">
        <f>"-- "&amp;C17</f>
        <v>-- 組入れ_対象施設のデータ利用開始年月、データ利用終了年月の値を更新する。</v>
      </c>
    </row>
    <row r="19" spans="1:23" ht="18.75" customHeight="1">
      <c r="C19" s="110" t="s">
        <v>3671</v>
      </c>
      <c r="D19" s="111"/>
      <c r="E19" s="114" t="str">
        <f>エンティティ一覧!$O$2</f>
        <v>milscm_2023_009</v>
      </c>
      <c r="F19" s="36"/>
      <c r="G19" s="36"/>
      <c r="H19" s="36"/>
      <c r="I19" s="36"/>
      <c r="J19" s="36"/>
      <c r="K19" s="36"/>
      <c r="L19" s="36"/>
      <c r="M19" s="36"/>
      <c r="N19" s="36"/>
      <c r="O19" s="36"/>
      <c r="P19" s="36"/>
      <c r="Q19" s="36"/>
      <c r="R19" s="110" t="s">
        <v>3671</v>
      </c>
      <c r="S19" s="111"/>
      <c r="T19" s="114" t="str">
        <f>エンティティ一覧!$O$2</f>
        <v>milscm_2023_009</v>
      </c>
    </row>
    <row r="20" spans="1:23" ht="18.75" customHeight="1">
      <c r="C20" s="112"/>
      <c r="D20" s="113"/>
      <c r="E20" s="115"/>
      <c r="F20" s="37"/>
      <c r="G20" s="37"/>
      <c r="H20" s="37" t="s">
        <v>4025</v>
      </c>
      <c r="I20" s="37"/>
      <c r="J20" s="37"/>
      <c r="K20" s="37"/>
      <c r="L20" s="37"/>
      <c r="M20" s="37"/>
      <c r="N20" s="37"/>
      <c r="O20" s="37"/>
      <c r="P20" s="37"/>
      <c r="Q20" s="37"/>
      <c r="R20" s="112"/>
      <c r="S20" s="113"/>
      <c r="T20" s="115"/>
    </row>
    <row r="22" spans="1:23" ht="18.75" customHeight="1" thickBot="1">
      <c r="B22" s="42"/>
      <c r="C22" s="42"/>
      <c r="D22" s="42"/>
      <c r="E22" s="42"/>
      <c r="F22" s="42"/>
      <c r="G22" s="42"/>
      <c r="H22" s="42"/>
      <c r="I22" s="42"/>
      <c r="J22" s="42"/>
      <c r="K22" s="42"/>
      <c r="L22" s="42"/>
      <c r="M22" s="42"/>
      <c r="N22" s="42"/>
      <c r="O22" s="42"/>
      <c r="P22" s="42"/>
      <c r="Q22" s="42"/>
      <c r="R22" s="42"/>
      <c r="S22" s="42"/>
      <c r="T22" s="42"/>
      <c r="U22" s="42"/>
    </row>
    <row r="24" spans="1:23" ht="18.75" customHeight="1">
      <c r="A24" s="77"/>
      <c r="B24" s="43" t="s">
        <v>163</v>
      </c>
      <c r="C24" s="51" t="s">
        <v>189</v>
      </c>
      <c r="D24" s="50"/>
      <c r="W24" s="35" t="str">
        <f>"-- "&amp;B24&amp;" : "&amp;C24</f>
        <v>-- SQL_ID : 11_02</v>
      </c>
    </row>
    <row r="25" spans="1:23" ht="18.75" customHeight="1">
      <c r="B25" s="43" t="s">
        <v>158</v>
      </c>
      <c r="C25" s="118" t="str">
        <f>R28&amp;"登録"</f>
        <v>組入れ_対象疾患登録</v>
      </c>
      <c r="D25" s="119"/>
      <c r="E25" s="119"/>
      <c r="F25" s="119"/>
      <c r="G25" s="119"/>
      <c r="H25" s="119"/>
      <c r="I25" s="119"/>
      <c r="J25" s="119"/>
      <c r="K25" s="119"/>
      <c r="L25" s="119"/>
      <c r="M25" s="119"/>
      <c r="N25" s="119"/>
      <c r="O25" s="119"/>
      <c r="P25" s="119"/>
      <c r="Q25" s="119"/>
      <c r="R25" s="119"/>
      <c r="S25" s="119"/>
      <c r="T25" s="119"/>
      <c r="U25" s="120"/>
      <c r="W25" s="35" t="str">
        <f>"-- "&amp;C25</f>
        <v>-- 組入れ_対象疾患登録</v>
      </c>
    </row>
    <row r="26" spans="1:23" ht="18.75" customHeight="1">
      <c r="B26" s="43" t="s">
        <v>159</v>
      </c>
      <c r="C26" s="121" t="str">
        <f>C28&amp;"テーブルから組入れ条件で絞り込んだ結果を"&amp;R28&amp;"テーブルに格納する。"</f>
        <v>バックアップ_疾患データ_組み入れ第一条件テーブルから組入れ条件で絞り込んだ結果を組入れ_対象疾患テーブルに格納する。</v>
      </c>
      <c r="D26" s="122"/>
      <c r="E26" s="122"/>
      <c r="F26" s="122"/>
      <c r="G26" s="122"/>
      <c r="H26" s="122"/>
      <c r="I26" s="122"/>
      <c r="J26" s="122"/>
      <c r="K26" s="122"/>
      <c r="L26" s="122"/>
      <c r="M26" s="122"/>
      <c r="N26" s="122"/>
      <c r="O26" s="122"/>
      <c r="P26" s="122"/>
      <c r="Q26" s="122"/>
      <c r="R26" s="122"/>
      <c r="S26" s="122"/>
      <c r="T26" s="122"/>
      <c r="U26" s="123"/>
      <c r="W26" s="35" t="str">
        <f>"-- "&amp;C26</f>
        <v>-- バックアップ_疾患データ_組み入れ第一条件テーブルから組入れ条件で絞り込んだ結果を組入れ_対象疾患テーブルに格納する。</v>
      </c>
    </row>
    <row r="28" spans="1:23" ht="18.75" customHeight="1">
      <c r="C28" s="110" t="s">
        <v>3789</v>
      </c>
      <c r="D28" s="111"/>
      <c r="E28" s="114" t="str">
        <f>エンティティ一覧!$O$2</f>
        <v>milscm_2023_009</v>
      </c>
      <c r="F28" s="36"/>
      <c r="G28" s="36"/>
      <c r="H28" s="36"/>
      <c r="I28" s="36"/>
      <c r="J28" s="36"/>
      <c r="M28" s="36"/>
      <c r="N28" s="36"/>
      <c r="O28" s="36"/>
      <c r="P28" s="36"/>
      <c r="Q28" s="36"/>
      <c r="R28" s="110" t="s">
        <v>3673</v>
      </c>
      <c r="S28" s="111"/>
      <c r="T28" s="114" t="str">
        <f>エンティティ一覧!$O$2</f>
        <v>milscm_2023_009</v>
      </c>
    </row>
    <row r="29" spans="1:23" ht="18.75" customHeight="1">
      <c r="C29" s="112"/>
      <c r="D29" s="113"/>
      <c r="E29" s="115"/>
      <c r="F29" s="37"/>
      <c r="G29" s="37"/>
      <c r="H29" s="37"/>
      <c r="I29" s="37"/>
      <c r="J29" s="37"/>
      <c r="K29" s="37"/>
      <c r="L29" s="38"/>
      <c r="M29" s="37"/>
      <c r="N29" s="37"/>
      <c r="O29" s="37"/>
      <c r="P29" s="37"/>
      <c r="Q29" s="37"/>
      <c r="R29" s="112"/>
      <c r="S29" s="113"/>
      <c r="T29" s="115"/>
    </row>
    <row r="30" spans="1:23" ht="18.75" customHeight="1">
      <c r="K30" s="39"/>
      <c r="L30" s="40"/>
    </row>
    <row r="31" spans="1:23" ht="18.75" customHeight="1">
      <c r="H31" s="110" t="s">
        <v>3671</v>
      </c>
      <c r="I31" s="111"/>
      <c r="J31" s="114" t="str">
        <f>エンティティ一覧!$O$2</f>
        <v>milscm_2023_009</v>
      </c>
      <c r="L31" s="41"/>
    </row>
    <row r="32" spans="1:23" ht="18.75" customHeight="1">
      <c r="H32" s="112"/>
      <c r="I32" s="113"/>
      <c r="J32" s="115"/>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190</v>
      </c>
      <c r="D36" s="50"/>
      <c r="W36" s="35" t="str">
        <f>"-- "&amp;B36&amp;" : "&amp;C36</f>
        <v>-- SQL_ID : 11_03</v>
      </c>
    </row>
    <row r="37" spans="2:23" ht="18.75" customHeight="1">
      <c r="B37" s="43" t="s">
        <v>158</v>
      </c>
      <c r="C37" s="118" t="str">
        <f>R40&amp;"登録"</f>
        <v>組入れ_対象診療行為登録</v>
      </c>
      <c r="D37" s="119"/>
      <c r="E37" s="119"/>
      <c r="F37" s="119"/>
      <c r="G37" s="119"/>
      <c r="H37" s="119"/>
      <c r="I37" s="119"/>
      <c r="J37" s="119"/>
      <c r="K37" s="119"/>
      <c r="L37" s="119"/>
      <c r="M37" s="119"/>
      <c r="N37" s="119"/>
      <c r="O37" s="119"/>
      <c r="P37" s="119"/>
      <c r="Q37" s="119"/>
      <c r="R37" s="119"/>
      <c r="S37" s="119"/>
      <c r="T37" s="119"/>
      <c r="U37" s="120"/>
      <c r="W37" s="35" t="str">
        <f>"-- "&amp;C37</f>
        <v>-- 組入れ_対象診療行為登録</v>
      </c>
    </row>
    <row r="38" spans="2:23" ht="18.75" customHeight="1">
      <c r="B38" s="43" t="s">
        <v>159</v>
      </c>
      <c r="C38" s="121" t="str">
        <f>C40&amp;"テーブルから組入れ条件で絞り込んだ結果を"&amp;R40&amp;"テーブルに格納する。"</f>
        <v>バックアップ_診療行為データテーブルから組入れ条件で絞り込んだ結果を組入れ_対象診療行為テーブルに格納する。</v>
      </c>
      <c r="D38" s="122"/>
      <c r="E38" s="122"/>
      <c r="F38" s="122"/>
      <c r="G38" s="122"/>
      <c r="H38" s="122"/>
      <c r="I38" s="122"/>
      <c r="J38" s="122"/>
      <c r="K38" s="122"/>
      <c r="L38" s="122"/>
      <c r="M38" s="122"/>
      <c r="N38" s="122"/>
      <c r="O38" s="122"/>
      <c r="P38" s="122"/>
      <c r="Q38" s="122"/>
      <c r="R38" s="122"/>
      <c r="S38" s="122"/>
      <c r="T38" s="122"/>
      <c r="U38" s="123"/>
      <c r="W38" s="35" t="str">
        <f>"-- "&amp;C38</f>
        <v>-- バックアップ_診療行為データテーブルから組入れ条件で絞り込んだ結果を組入れ_対象診療行為テーブルに格納する。</v>
      </c>
    </row>
    <row r="40" spans="2:23" ht="18.75" customHeight="1">
      <c r="C40" s="110" t="s">
        <v>3799</v>
      </c>
      <c r="D40" s="111"/>
      <c r="E40" s="114" t="str">
        <f>エンティティ一覧!$O$2</f>
        <v>milscm_2023_009</v>
      </c>
      <c r="F40" s="36"/>
      <c r="G40" s="36"/>
      <c r="H40" s="36"/>
      <c r="I40" s="36"/>
      <c r="J40" s="36"/>
      <c r="K40" s="36"/>
      <c r="L40" s="36"/>
      <c r="M40" s="36"/>
      <c r="N40" s="36"/>
      <c r="O40" s="36"/>
      <c r="R40" s="110" t="s">
        <v>3798</v>
      </c>
      <c r="S40" s="111"/>
      <c r="T40" s="114" t="str">
        <f>エンティティ一覧!$O$2</f>
        <v>milscm_2023_009</v>
      </c>
    </row>
    <row r="41" spans="2:23" ht="18.75" customHeight="1">
      <c r="C41" s="112"/>
      <c r="D41" s="113"/>
      <c r="E41" s="115"/>
      <c r="F41" s="37"/>
      <c r="G41" s="37"/>
      <c r="H41" s="37"/>
      <c r="I41" s="37"/>
      <c r="J41" s="37"/>
      <c r="K41" s="37"/>
      <c r="L41" s="37"/>
      <c r="M41" s="37"/>
      <c r="N41" s="37"/>
      <c r="O41" s="37"/>
      <c r="P41" s="37"/>
      <c r="Q41" s="38"/>
      <c r="R41" s="112"/>
      <c r="S41" s="113"/>
      <c r="T41" s="115"/>
    </row>
    <row r="42" spans="2:23" ht="18.75" customHeight="1">
      <c r="P42" s="39"/>
      <c r="Q42" s="40"/>
    </row>
    <row r="43" spans="2:23" ht="18.75" customHeight="1">
      <c r="H43" s="35" t="s">
        <v>3800</v>
      </c>
      <c r="J43" s="35">
        <v>160231010</v>
      </c>
      <c r="M43" s="110" t="s">
        <v>3671</v>
      </c>
      <c r="N43" s="111"/>
      <c r="O43" s="114" t="str">
        <f>エンティティ一覧!$O$2</f>
        <v>milscm_2023_009</v>
      </c>
      <c r="Q43" s="41"/>
    </row>
    <row r="44" spans="2:23" ht="18.75" customHeight="1">
      <c r="H44" s="35" t="s">
        <v>3801</v>
      </c>
      <c r="J44" s="35">
        <v>160233010</v>
      </c>
      <c r="M44" s="112"/>
      <c r="N44" s="113"/>
      <c r="O44" s="115"/>
      <c r="P44" s="37"/>
    </row>
    <row r="45" spans="2:23" ht="18.75" customHeight="1">
      <c r="H45" s="35" t="s">
        <v>3802</v>
      </c>
      <c r="J45" s="35">
        <v>160060870</v>
      </c>
    </row>
    <row r="47" spans="2:23" ht="18.75" customHeight="1" thickBot="1">
      <c r="B47" s="42"/>
      <c r="C47" s="42"/>
      <c r="D47" s="42"/>
      <c r="E47" s="42"/>
      <c r="F47" s="42"/>
      <c r="G47" s="42"/>
      <c r="H47" s="42"/>
      <c r="I47" s="42"/>
      <c r="J47" s="42"/>
      <c r="K47" s="42"/>
      <c r="L47" s="42"/>
      <c r="M47" s="42"/>
      <c r="N47" s="42"/>
      <c r="O47" s="42"/>
      <c r="P47" s="42"/>
      <c r="Q47" s="42"/>
      <c r="R47" s="42"/>
      <c r="S47" s="42"/>
      <c r="T47" s="42"/>
      <c r="U47" s="42"/>
    </row>
    <row r="49" spans="2:23" ht="18.75" customHeight="1">
      <c r="B49" s="63" t="s">
        <v>904</v>
      </c>
      <c r="C49" s="51" t="s">
        <v>3674</v>
      </c>
      <c r="D49" s="95"/>
      <c r="W49" s="35" t="str">
        <f>"-- "&amp;B49&amp;" : "&amp;C49</f>
        <v>-- 処理ID : 11_04</v>
      </c>
    </row>
    <row r="50" spans="2:23" ht="18.75" customHeight="1">
      <c r="B50" s="63" t="s">
        <v>558</v>
      </c>
      <c r="C50" s="118" t="str">
        <f>R53&amp;"登録"</f>
        <v>組入れ_検体検査マスタ登録</v>
      </c>
      <c r="D50" s="119"/>
      <c r="E50" s="119"/>
      <c r="F50" s="119"/>
      <c r="G50" s="119"/>
      <c r="H50" s="119"/>
      <c r="I50" s="119"/>
      <c r="J50" s="119"/>
      <c r="K50" s="119"/>
      <c r="L50" s="119"/>
      <c r="M50" s="119"/>
      <c r="N50" s="119"/>
      <c r="O50" s="119"/>
      <c r="P50" s="119"/>
      <c r="Q50" s="119"/>
      <c r="R50" s="119"/>
      <c r="S50" s="119"/>
      <c r="T50" s="119"/>
      <c r="U50" s="120"/>
      <c r="W50" s="35" t="str">
        <f>"-- "&amp;C50</f>
        <v>-- 組入れ_検体検査マスタ登録</v>
      </c>
    </row>
    <row r="51" spans="2:23" ht="18.75" customHeight="1">
      <c r="B51" s="63" t="s">
        <v>159</v>
      </c>
      <c r="C51" s="121" t="s">
        <v>3994</v>
      </c>
      <c r="D51" s="122"/>
      <c r="E51" s="122"/>
      <c r="F51" s="122"/>
      <c r="G51" s="122"/>
      <c r="H51" s="122"/>
      <c r="I51" s="122"/>
      <c r="J51" s="122"/>
      <c r="K51" s="122"/>
      <c r="L51" s="122"/>
      <c r="M51" s="122"/>
      <c r="N51" s="122"/>
      <c r="O51" s="122"/>
      <c r="P51" s="122"/>
      <c r="Q51" s="122"/>
      <c r="R51" s="122"/>
      <c r="S51" s="122"/>
      <c r="T51" s="122"/>
      <c r="U51" s="123"/>
      <c r="W51" s="35" t="str">
        <f>"-- "&amp;C51</f>
        <v>-- 検査マスタ_組入れ.tsvを組入れ_検体検査マスタテーブルに登録する。</v>
      </c>
    </row>
    <row r="53" spans="2:23" ht="18.75" customHeight="1">
      <c r="C53" s="110" t="s">
        <v>3804</v>
      </c>
      <c r="D53" s="111"/>
      <c r="E53" s="114" t="s">
        <v>3805</v>
      </c>
      <c r="F53" s="36"/>
      <c r="G53" s="36"/>
      <c r="H53" s="36"/>
      <c r="I53" s="36"/>
      <c r="J53" s="36"/>
      <c r="K53" s="36"/>
      <c r="L53" s="36"/>
      <c r="M53" s="36"/>
      <c r="N53" s="36"/>
      <c r="O53" s="36"/>
      <c r="P53" s="36"/>
      <c r="Q53" s="36"/>
      <c r="R53" s="110" t="s">
        <v>3835</v>
      </c>
      <c r="S53" s="111"/>
      <c r="T53" s="114" t="str">
        <f>エンティティ一覧!$O$2</f>
        <v>milscm_2023_009</v>
      </c>
    </row>
    <row r="54" spans="2:23" ht="18.75" customHeight="1">
      <c r="C54" s="112"/>
      <c r="D54" s="113"/>
      <c r="E54" s="115"/>
      <c r="F54" s="37"/>
      <c r="G54" s="37"/>
      <c r="H54" s="37"/>
      <c r="I54" s="37"/>
      <c r="J54" s="37"/>
      <c r="K54" s="37"/>
      <c r="L54" s="37"/>
      <c r="M54" s="37"/>
      <c r="N54" s="37"/>
      <c r="O54" s="37"/>
      <c r="P54" s="37"/>
      <c r="Q54" s="37"/>
      <c r="R54" s="112"/>
      <c r="S54" s="113"/>
      <c r="T54" s="115"/>
    </row>
    <row r="55" spans="2:23" ht="18.75" customHeight="1">
      <c r="C55" s="35" t="s">
        <v>3803</v>
      </c>
    </row>
    <row r="59" spans="2:23" ht="18.75" customHeight="1" thickBot="1">
      <c r="B59" s="42"/>
      <c r="C59" s="42"/>
      <c r="D59" s="42"/>
      <c r="E59" s="42"/>
      <c r="F59" s="42"/>
      <c r="G59" s="42"/>
      <c r="H59" s="42"/>
      <c r="I59" s="42"/>
      <c r="J59" s="42"/>
      <c r="K59" s="42"/>
      <c r="L59" s="42"/>
      <c r="M59" s="42"/>
      <c r="N59" s="42"/>
      <c r="O59" s="42"/>
      <c r="P59" s="42"/>
      <c r="Q59" s="42"/>
      <c r="R59" s="42"/>
      <c r="S59" s="42"/>
      <c r="T59" s="42"/>
      <c r="U59" s="42"/>
    </row>
    <row r="61" spans="2:23" ht="18.75" customHeight="1">
      <c r="B61" s="43" t="s">
        <v>163</v>
      </c>
      <c r="C61" s="51" t="s">
        <v>3675</v>
      </c>
      <c r="D61" s="102"/>
      <c r="W61" s="35" t="str">
        <f>"-- "&amp;B61&amp;" : "&amp;C61</f>
        <v>-- SQL_ID : 11_05</v>
      </c>
    </row>
    <row r="62" spans="2:23" ht="18.75" customHeight="1">
      <c r="B62" s="43" t="s">
        <v>158</v>
      </c>
      <c r="C62" s="118" t="str">
        <f>R65&amp;"登録"</f>
        <v>組入れ_対象検体検査登録</v>
      </c>
      <c r="D62" s="119"/>
      <c r="E62" s="119"/>
      <c r="F62" s="119"/>
      <c r="G62" s="119"/>
      <c r="H62" s="119"/>
      <c r="I62" s="119"/>
      <c r="J62" s="119"/>
      <c r="K62" s="119"/>
      <c r="L62" s="119"/>
      <c r="M62" s="119"/>
      <c r="N62" s="119"/>
      <c r="O62" s="119"/>
      <c r="P62" s="119"/>
      <c r="Q62" s="119"/>
      <c r="R62" s="119"/>
      <c r="S62" s="119"/>
      <c r="T62" s="119"/>
      <c r="U62" s="120"/>
      <c r="W62" s="35" t="str">
        <f>"-- "&amp;C62</f>
        <v>-- 組入れ_対象検体検査登録</v>
      </c>
    </row>
    <row r="63" spans="2:23" ht="18.75" customHeight="1">
      <c r="B63" s="43" t="s">
        <v>159</v>
      </c>
      <c r="C63" s="121" t="str">
        <f>"検査データのテーブルから組入れ条件で絞り込んだ結果を"&amp;R65&amp;"テーブルに格納する。"</f>
        <v>検査データのテーブルから組入れ条件で絞り込んだ結果を組入れ_対象検体検査テーブルに格納する。</v>
      </c>
      <c r="D63" s="122"/>
      <c r="E63" s="122"/>
      <c r="F63" s="122"/>
      <c r="G63" s="122"/>
      <c r="H63" s="122"/>
      <c r="I63" s="122"/>
      <c r="J63" s="122"/>
      <c r="K63" s="122"/>
      <c r="L63" s="122"/>
      <c r="M63" s="122"/>
      <c r="N63" s="122"/>
      <c r="O63" s="122"/>
      <c r="P63" s="122"/>
      <c r="Q63" s="122"/>
      <c r="R63" s="122"/>
      <c r="S63" s="122"/>
      <c r="T63" s="122"/>
      <c r="U63" s="123"/>
      <c r="W63" s="35" t="str">
        <f>"-- "&amp;C63</f>
        <v>-- 検査データのテーブルから組入れ条件で絞り込んだ結果を組入れ_対象検体検査テーブルに格納する。</v>
      </c>
    </row>
    <row r="65" spans="3:20" ht="18.75" customHeight="1">
      <c r="C65" s="110" t="s">
        <v>3808</v>
      </c>
      <c r="D65" s="111"/>
      <c r="E65" s="114" t="str">
        <f>エンティティ一覧!$O$2</f>
        <v>milscm_2023_009</v>
      </c>
      <c r="H65" s="36"/>
      <c r="I65" s="36"/>
      <c r="J65" s="36"/>
      <c r="M65" s="36"/>
      <c r="R65" s="110" t="s">
        <v>3807</v>
      </c>
      <c r="S65" s="111"/>
      <c r="T65" s="114" t="str">
        <f>エンティティ一覧!$O$2</f>
        <v>milscm_2023_009</v>
      </c>
    </row>
    <row r="66" spans="3:20" ht="18.75" customHeight="1">
      <c r="C66" s="112"/>
      <c r="D66" s="113"/>
      <c r="E66" s="115"/>
      <c r="F66" s="37"/>
      <c r="G66" s="38"/>
      <c r="H66" s="37"/>
      <c r="I66" s="37"/>
      <c r="J66" s="37"/>
      <c r="K66" s="37"/>
      <c r="L66" s="37"/>
      <c r="M66" s="97"/>
      <c r="N66" s="37"/>
      <c r="O66" s="38"/>
      <c r="P66" s="37"/>
      <c r="Q66" s="38"/>
      <c r="R66" s="112"/>
      <c r="S66" s="113"/>
      <c r="T66" s="115"/>
    </row>
    <row r="67" spans="3:20" ht="18.75" customHeight="1">
      <c r="F67" s="39"/>
      <c r="G67" s="40"/>
      <c r="K67" s="39"/>
      <c r="L67" s="101"/>
      <c r="M67" s="104"/>
      <c r="N67" s="39"/>
      <c r="O67" s="40"/>
      <c r="P67" s="39"/>
      <c r="Q67" s="40"/>
    </row>
    <row r="68" spans="3:20" ht="18.75" customHeight="1">
      <c r="C68" s="110" t="s">
        <v>3671</v>
      </c>
      <c r="D68" s="111"/>
      <c r="E68" s="114" t="str">
        <f>エンティティ一覧!$O$2</f>
        <v>milscm_2023_009</v>
      </c>
      <c r="G68" s="41"/>
      <c r="K68" s="39"/>
      <c r="L68" s="101"/>
      <c r="M68" s="104"/>
      <c r="N68" s="39"/>
      <c r="O68" s="40"/>
      <c r="P68" s="39"/>
      <c r="Q68" s="40"/>
    </row>
    <row r="69" spans="3:20" ht="18.75" customHeight="1">
      <c r="C69" s="112"/>
      <c r="D69" s="113"/>
      <c r="E69" s="115"/>
      <c r="F69" s="37"/>
      <c r="K69" s="39"/>
      <c r="L69" s="101"/>
      <c r="M69" s="104"/>
      <c r="N69" s="39"/>
      <c r="O69" s="40"/>
      <c r="P69" s="39"/>
      <c r="Q69" s="40"/>
    </row>
    <row r="70" spans="3:20" ht="18.75" customHeight="1">
      <c r="K70" s="39"/>
      <c r="L70" s="101"/>
      <c r="M70" s="104"/>
      <c r="N70" s="39"/>
      <c r="O70" s="40"/>
      <c r="P70" s="39"/>
      <c r="Q70" s="40"/>
    </row>
    <row r="71" spans="3:20" ht="18.75" customHeight="1">
      <c r="H71" s="110" t="s">
        <v>3809</v>
      </c>
      <c r="I71" s="111"/>
      <c r="J71" s="114" t="str">
        <f>エンティティ一覧!$O$2</f>
        <v>milscm_2023_009</v>
      </c>
      <c r="L71" s="36"/>
      <c r="M71" s="105"/>
      <c r="N71" s="39"/>
      <c r="O71" s="40"/>
      <c r="P71" s="39"/>
      <c r="Q71" s="40"/>
    </row>
    <row r="72" spans="3:20" ht="18.75" customHeight="1">
      <c r="H72" s="112"/>
      <c r="I72" s="113"/>
      <c r="J72" s="115"/>
      <c r="K72" s="96"/>
      <c r="N72" s="39"/>
      <c r="O72" s="40"/>
      <c r="P72" s="39"/>
      <c r="Q72" s="40"/>
    </row>
    <row r="73" spans="3:20" ht="18.75" customHeight="1">
      <c r="K73" s="39"/>
      <c r="L73" s="40"/>
      <c r="N73" s="39"/>
      <c r="O73" s="40"/>
      <c r="P73" s="39"/>
      <c r="Q73" s="40"/>
    </row>
    <row r="74" spans="3:20" ht="18.75" customHeight="1">
      <c r="H74" s="110" t="s">
        <v>3835</v>
      </c>
      <c r="I74" s="111"/>
      <c r="J74" s="114" t="str">
        <f>エンティティ一覧!$O$2</f>
        <v>milscm_2023_009</v>
      </c>
      <c r="L74" s="41"/>
      <c r="N74" s="39"/>
      <c r="O74" s="40"/>
      <c r="P74" s="39"/>
      <c r="Q74" s="40"/>
    </row>
    <row r="75" spans="3:20" ht="18.75" customHeight="1">
      <c r="H75" s="112"/>
      <c r="I75" s="113"/>
      <c r="J75" s="115"/>
      <c r="K75" s="37"/>
      <c r="N75" s="39"/>
      <c r="O75" s="40"/>
      <c r="P75" s="39"/>
      <c r="Q75" s="40"/>
    </row>
    <row r="76" spans="3:20" ht="18.75" customHeight="1">
      <c r="N76" s="39"/>
      <c r="O76" s="40"/>
      <c r="P76" s="39"/>
      <c r="Q76" s="40"/>
    </row>
    <row r="77" spans="3:20" ht="18.75" customHeight="1">
      <c r="H77" s="110" t="s">
        <v>3810</v>
      </c>
      <c r="I77" s="111"/>
      <c r="J77" s="114" t="str">
        <f>エンティティ一覧!$O$2</f>
        <v>milscm_2023_009</v>
      </c>
      <c r="M77" s="36"/>
      <c r="O77" s="41"/>
      <c r="P77" s="39"/>
      <c r="Q77" s="40"/>
    </row>
    <row r="78" spans="3:20" ht="18.75" customHeight="1">
      <c r="H78" s="112"/>
      <c r="I78" s="113"/>
      <c r="J78" s="115"/>
      <c r="K78" s="37"/>
      <c r="L78" s="38"/>
      <c r="M78" s="37"/>
      <c r="N78" s="37"/>
      <c r="P78" s="39"/>
      <c r="Q78" s="40"/>
    </row>
    <row r="79" spans="3:20" ht="18.75" customHeight="1">
      <c r="K79" s="39"/>
      <c r="L79" s="40"/>
      <c r="P79" s="39"/>
      <c r="Q79" s="40"/>
    </row>
    <row r="80" spans="3:20" ht="18.75" customHeight="1">
      <c r="H80" s="110" t="s">
        <v>3835</v>
      </c>
      <c r="I80" s="111"/>
      <c r="J80" s="114" t="str">
        <f>エンティティ一覧!$O$2</f>
        <v>milscm_2023_009</v>
      </c>
      <c r="L80" s="41"/>
      <c r="P80" s="39"/>
      <c r="Q80" s="40"/>
    </row>
    <row r="81" spans="2:23" ht="18.75" customHeight="1">
      <c r="H81" s="112"/>
      <c r="I81" s="113"/>
      <c r="J81" s="115"/>
      <c r="K81" s="37"/>
      <c r="P81" s="39"/>
      <c r="Q81" s="40"/>
    </row>
    <row r="82" spans="2:23" ht="18.75" customHeight="1">
      <c r="P82" s="39"/>
      <c r="Q82" s="40"/>
    </row>
    <row r="83" spans="2:23" ht="18.75" customHeight="1">
      <c r="M83" s="110" t="s">
        <v>3835</v>
      </c>
      <c r="N83" s="111"/>
      <c r="O83" s="114" t="str">
        <f>エンティティ一覧!$O$2</f>
        <v>milscm_2023_009</v>
      </c>
      <c r="Q83" s="41"/>
    </row>
    <row r="84" spans="2:23" ht="18.75" customHeight="1">
      <c r="M84" s="112"/>
      <c r="N84" s="113"/>
      <c r="O84" s="115"/>
      <c r="P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4026</v>
      </c>
      <c r="D88" s="89"/>
      <c r="W88" s="35" t="str">
        <f>"-- "&amp;B88&amp;" : "&amp;C88</f>
        <v>-- SQL_ID : 11_05-01</v>
      </c>
    </row>
    <row r="89" spans="2:23" ht="18.75" customHeight="1">
      <c r="B89" s="43" t="s">
        <v>158</v>
      </c>
      <c r="C89" s="118" t="str">
        <f>R92&amp;"登録"</f>
        <v>組入れ_対象検体検査登録</v>
      </c>
      <c r="D89" s="119"/>
      <c r="E89" s="119"/>
      <c r="F89" s="119"/>
      <c r="G89" s="119"/>
      <c r="H89" s="119"/>
      <c r="I89" s="119"/>
      <c r="J89" s="119"/>
      <c r="K89" s="119"/>
      <c r="L89" s="119"/>
      <c r="M89" s="119"/>
      <c r="N89" s="119"/>
      <c r="O89" s="119"/>
      <c r="P89" s="119"/>
      <c r="Q89" s="119"/>
      <c r="R89" s="119"/>
      <c r="S89" s="119"/>
      <c r="T89" s="119"/>
      <c r="U89" s="120"/>
      <c r="W89" s="35" t="str">
        <f>"-- "&amp;C89</f>
        <v>-- 組入れ_対象検体検査登録</v>
      </c>
    </row>
    <row r="90" spans="2:23" ht="18.75" customHeight="1">
      <c r="B90" s="43" t="s">
        <v>159</v>
      </c>
      <c r="C90" s="121" t="str">
        <f>"検査データ（スキーマ4）のテーブルから組入れ条件で絞り込んだ結果を"&amp;R92&amp;"テーブルに格納する。"</f>
        <v>検査データ（スキーマ4）のテーブルから組入れ条件で絞り込んだ結果を組入れ_対象検体検査テーブルに格納する。</v>
      </c>
      <c r="D90" s="122"/>
      <c r="E90" s="122"/>
      <c r="F90" s="122"/>
      <c r="G90" s="122"/>
      <c r="H90" s="122"/>
      <c r="I90" s="122"/>
      <c r="J90" s="122"/>
      <c r="K90" s="122"/>
      <c r="L90" s="122"/>
      <c r="M90" s="122"/>
      <c r="N90" s="122"/>
      <c r="O90" s="122"/>
      <c r="P90" s="122"/>
      <c r="Q90" s="122"/>
      <c r="R90" s="122"/>
      <c r="S90" s="122"/>
      <c r="T90" s="122"/>
      <c r="U90" s="123"/>
      <c r="W90" s="35" t="str">
        <f>"-- "&amp;C90</f>
        <v>-- 検査データ（スキーマ4）のテーブルから組入れ条件で絞り込んだ結果を組入れ_対象検体検査テーブルに格納する。</v>
      </c>
    </row>
    <row r="92" spans="2:23" ht="18.75" customHeight="1">
      <c r="C92" s="110" t="s">
        <v>3987</v>
      </c>
      <c r="D92" s="111"/>
      <c r="E92" s="114" t="str">
        <f>エンティティ一覧!$O$2</f>
        <v>milscm_2023_009</v>
      </c>
      <c r="H92" s="36"/>
      <c r="I92" s="36"/>
      <c r="J92" s="36"/>
      <c r="M92" s="36"/>
      <c r="N92" s="36"/>
      <c r="O92" s="36"/>
      <c r="P92" s="36"/>
      <c r="Q92" s="36"/>
      <c r="R92" s="110" t="s">
        <v>3807</v>
      </c>
      <c r="S92" s="111"/>
      <c r="T92" s="114" t="str">
        <f>エンティティ一覧!$O$2</f>
        <v>milscm_2023_009</v>
      </c>
    </row>
    <row r="93" spans="2:23" ht="18.75" customHeight="1">
      <c r="C93" s="112"/>
      <c r="D93" s="113"/>
      <c r="E93" s="115"/>
      <c r="F93" s="37"/>
      <c r="G93" s="38"/>
      <c r="H93" s="37"/>
      <c r="I93" s="37"/>
      <c r="J93" s="37"/>
      <c r="K93" s="37"/>
      <c r="L93" s="37"/>
      <c r="M93" s="97"/>
      <c r="N93" s="97"/>
      <c r="O93" s="37"/>
      <c r="P93" s="37"/>
      <c r="Q93" s="38"/>
      <c r="R93" s="112"/>
      <c r="S93" s="113"/>
      <c r="T93" s="115"/>
    </row>
    <row r="94" spans="2:23" ht="18.75" customHeight="1">
      <c r="F94" s="39"/>
      <c r="G94" s="40"/>
      <c r="K94" s="39"/>
      <c r="L94" s="101"/>
      <c r="M94" s="104"/>
      <c r="N94" s="104"/>
      <c r="Q94" s="41"/>
    </row>
    <row r="95" spans="2:23" ht="18.75" customHeight="1">
      <c r="C95" s="110" t="s">
        <v>3671</v>
      </c>
      <c r="D95" s="111"/>
      <c r="E95" s="114" t="str">
        <f>エンティティ一覧!$O$2</f>
        <v>milscm_2023_009</v>
      </c>
      <c r="F95" s="106"/>
      <c r="G95" s="40"/>
      <c r="K95" s="39"/>
      <c r="L95" s="101"/>
      <c r="M95" s="104"/>
      <c r="N95" s="104"/>
      <c r="Q95" s="41"/>
    </row>
    <row r="96" spans="2:23" ht="18.75" customHeight="1">
      <c r="C96" s="112"/>
      <c r="D96" s="113"/>
      <c r="E96" s="115"/>
      <c r="F96" s="39"/>
      <c r="G96" s="101"/>
      <c r="K96" s="39"/>
      <c r="L96" s="101"/>
      <c r="M96" s="104"/>
      <c r="N96" s="104"/>
      <c r="Q96" s="41"/>
    </row>
    <row r="97" spans="3:17" ht="18.75" customHeight="1">
      <c r="F97" s="39"/>
      <c r="G97" s="101"/>
      <c r="K97" s="39"/>
      <c r="L97" s="101"/>
      <c r="M97" s="104"/>
      <c r="N97" s="104"/>
      <c r="Q97" s="41"/>
    </row>
    <row r="98" spans="3:17" ht="18.75" customHeight="1">
      <c r="F98" s="39"/>
      <c r="G98" s="101"/>
      <c r="H98" s="124" t="s">
        <v>3988</v>
      </c>
      <c r="I98" s="125"/>
      <c r="J98" s="114" t="str">
        <f>エンティティ一覧!$O$2</f>
        <v>milscm_2023_009</v>
      </c>
      <c r="L98" s="107"/>
      <c r="M98" s="105"/>
      <c r="N98" s="104"/>
      <c r="Q98" s="41"/>
    </row>
    <row r="99" spans="3:17" ht="18.75" customHeight="1">
      <c r="F99" s="39"/>
      <c r="G99" s="101"/>
      <c r="H99" s="126"/>
      <c r="I99" s="127"/>
      <c r="J99" s="115"/>
      <c r="K99" s="38"/>
      <c r="L99" s="40"/>
      <c r="N99" s="104"/>
      <c r="Q99" s="41"/>
    </row>
    <row r="100" spans="3:17" ht="18.75" customHeight="1">
      <c r="F100" s="39"/>
      <c r="G100" s="101"/>
      <c r="K100" s="39"/>
      <c r="L100" s="40"/>
      <c r="N100" s="104"/>
      <c r="Q100" s="41"/>
    </row>
    <row r="101" spans="3:17" ht="18.75" customHeight="1">
      <c r="C101" s="110" t="s">
        <v>3835</v>
      </c>
      <c r="D101" s="111"/>
      <c r="E101" s="114" t="str">
        <f>エンティティ一覧!$O$2</f>
        <v>milscm_2023_009</v>
      </c>
      <c r="G101" s="107"/>
      <c r="H101" s="36"/>
      <c r="I101" s="36"/>
      <c r="J101" s="36"/>
      <c r="K101" s="105"/>
      <c r="L101" s="40"/>
      <c r="N101" s="104"/>
      <c r="Q101" s="41"/>
    </row>
    <row r="102" spans="3:17" ht="18.75" customHeight="1">
      <c r="C102" s="112"/>
      <c r="D102" s="113"/>
      <c r="E102" s="115"/>
      <c r="F102" s="38"/>
      <c r="G102" s="40"/>
      <c r="N102" s="104"/>
      <c r="Q102" s="41"/>
    </row>
    <row r="103" spans="3:17" ht="18.75" customHeight="1">
      <c r="F103" s="39"/>
      <c r="G103" s="40"/>
      <c r="N103" s="104"/>
      <c r="Q103" s="41"/>
    </row>
    <row r="104" spans="3:17" ht="18.75" customHeight="1">
      <c r="C104" s="110" t="s">
        <v>3671</v>
      </c>
      <c r="D104" s="111"/>
      <c r="E104" s="114" t="str">
        <f>エンティティ一覧!$O$2</f>
        <v>milscm_2023_009</v>
      </c>
      <c r="G104" s="40"/>
      <c r="N104" s="104"/>
      <c r="Q104" s="41"/>
    </row>
    <row r="105" spans="3:17" ht="18.75" customHeight="1">
      <c r="C105" s="112"/>
      <c r="D105" s="113"/>
      <c r="E105" s="115"/>
      <c r="F105" s="37"/>
      <c r="G105" s="101"/>
      <c r="L105" s="101"/>
      <c r="N105" s="104"/>
      <c r="Q105" s="41"/>
    </row>
    <row r="106" spans="3:17" ht="18.75" customHeight="1">
      <c r="F106" s="39"/>
      <c r="G106" s="101"/>
      <c r="K106" s="39"/>
      <c r="L106" s="101"/>
      <c r="N106" s="104"/>
      <c r="Q106" s="41"/>
    </row>
    <row r="107" spans="3:17" ht="18.75" customHeight="1">
      <c r="G107" s="94"/>
      <c r="H107" s="110" t="s">
        <v>3989</v>
      </c>
      <c r="I107" s="111"/>
      <c r="J107" s="114" t="str">
        <f>エンティティ一覧!$O$2</f>
        <v>milscm_2023_009</v>
      </c>
      <c r="L107" s="36"/>
      <c r="M107" s="36"/>
      <c r="N107" s="105"/>
      <c r="Q107" s="41"/>
    </row>
    <row r="108" spans="3:17" ht="18.75" customHeight="1">
      <c r="H108" s="112"/>
      <c r="I108" s="113"/>
      <c r="J108" s="115"/>
      <c r="K108" s="37"/>
      <c r="L108" s="41"/>
      <c r="Q108" s="41"/>
    </row>
    <row r="109" spans="3:17" ht="18.75" customHeight="1">
      <c r="F109" s="39"/>
      <c r="G109" s="101"/>
      <c r="K109" s="39"/>
      <c r="L109" s="40"/>
      <c r="Q109" s="41"/>
    </row>
    <row r="110" spans="3:17" ht="18.75" customHeight="1">
      <c r="C110" s="110" t="s">
        <v>3835</v>
      </c>
      <c r="D110" s="111"/>
      <c r="E110" s="114" t="str">
        <f>エンティティ一覧!$O$2</f>
        <v>milscm_2023_009</v>
      </c>
      <c r="G110" s="107"/>
      <c r="H110" s="36"/>
      <c r="I110" s="36"/>
      <c r="J110" s="36"/>
      <c r="K110" s="105"/>
      <c r="L110" s="40"/>
      <c r="Q110" s="41"/>
    </row>
    <row r="111" spans="3:17" ht="18.75" customHeight="1">
      <c r="C111" s="112"/>
      <c r="D111" s="113"/>
      <c r="E111" s="115"/>
      <c r="F111" s="38"/>
      <c r="G111" s="40"/>
      <c r="Q111" s="41"/>
    </row>
    <row r="112" spans="3:17" ht="18.75" customHeight="1">
      <c r="F112" s="39"/>
      <c r="G112" s="40"/>
      <c r="Q112" s="41"/>
    </row>
    <row r="113" spans="2:23" ht="18.75" customHeight="1">
      <c r="C113" s="110" t="s">
        <v>3671</v>
      </c>
      <c r="D113" s="111"/>
      <c r="E113" s="114" t="str">
        <f>エンティティ一覧!$O$2</f>
        <v>milscm_2023_009</v>
      </c>
      <c r="G113" s="40"/>
      <c r="Q113" s="41"/>
    </row>
    <row r="114" spans="2:23" ht="18.75" customHeight="1">
      <c r="C114" s="112"/>
      <c r="D114" s="113"/>
      <c r="E114" s="115"/>
      <c r="F114" s="37"/>
      <c r="G114" s="101"/>
      <c r="L114" s="101"/>
      <c r="Q114" s="41"/>
    </row>
    <row r="115" spans="2:23" ht="18.75" customHeight="1">
      <c r="F115" s="39"/>
      <c r="G115" s="101"/>
      <c r="K115" s="39"/>
      <c r="L115" s="101"/>
      <c r="Q115" s="41"/>
    </row>
    <row r="116" spans="2:23" ht="18.75" customHeight="1">
      <c r="H116" s="110" t="s">
        <v>3835</v>
      </c>
      <c r="I116" s="111"/>
      <c r="J116" s="114" t="str">
        <f>エンティティ一覧!$O$2</f>
        <v>milscm_2023_009</v>
      </c>
      <c r="L116" s="107"/>
      <c r="M116" s="36"/>
      <c r="N116" s="36"/>
      <c r="O116" s="36"/>
      <c r="P116" s="105"/>
      <c r="Q116" s="41"/>
    </row>
    <row r="117" spans="2:23" ht="18.75" customHeight="1">
      <c r="H117" s="112"/>
      <c r="I117" s="113"/>
      <c r="J117" s="115"/>
      <c r="K117" s="38"/>
      <c r="L117" s="40"/>
      <c r="Q117" s="94"/>
    </row>
    <row r="118" spans="2:23" ht="18.75" customHeight="1">
      <c r="K118" s="39"/>
      <c r="L118" s="40"/>
      <c r="Q118" s="94"/>
    </row>
    <row r="119" spans="2:23" ht="18.75" customHeight="1">
      <c r="H119" s="110" t="s">
        <v>3671</v>
      </c>
      <c r="I119" s="111"/>
      <c r="J119" s="114" t="str">
        <f>エンティティ一覧!$O$2</f>
        <v>milscm_2023_009</v>
      </c>
      <c r="L119" s="40"/>
      <c r="Q119" s="94"/>
    </row>
    <row r="120" spans="2:23" ht="18.75" customHeight="1">
      <c r="H120" s="112"/>
      <c r="I120" s="113"/>
      <c r="J120" s="115"/>
      <c r="K120" s="37"/>
      <c r="L120" s="101"/>
      <c r="Q120" s="94"/>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3811</v>
      </c>
      <c r="D124" s="108"/>
      <c r="W124" s="35" t="str">
        <f>"-- "&amp;B124&amp;" : "&amp;C124</f>
        <v>-- SQL_ID : 11_06</v>
      </c>
    </row>
    <row r="125" spans="2:23" ht="18.75" customHeight="1">
      <c r="B125" s="43" t="s">
        <v>158</v>
      </c>
      <c r="C125" s="118" t="str">
        <f>R128&amp;"登録"</f>
        <v>組入れ_対象検体検査_対象患者登録</v>
      </c>
      <c r="D125" s="119"/>
      <c r="E125" s="119"/>
      <c r="F125" s="119"/>
      <c r="G125" s="119"/>
      <c r="H125" s="119"/>
      <c r="I125" s="119"/>
      <c r="J125" s="119"/>
      <c r="K125" s="119"/>
      <c r="L125" s="119"/>
      <c r="M125" s="119"/>
      <c r="N125" s="119"/>
      <c r="O125" s="119"/>
      <c r="P125" s="119"/>
      <c r="Q125" s="119"/>
      <c r="R125" s="119"/>
      <c r="S125" s="119"/>
      <c r="T125" s="119"/>
      <c r="U125" s="120"/>
      <c r="W125" s="35" t="str">
        <f>"-- "&amp;C125</f>
        <v>-- 組入れ_対象検体検査_対象患者登録</v>
      </c>
    </row>
    <row r="126" spans="2:23" ht="18.75" customHeight="1">
      <c r="B126" s="43" t="s">
        <v>159</v>
      </c>
      <c r="C126" s="121" t="str">
        <f>"検査データのテーブルから組入れ条件（対象期間、表示名の種類）で絞り込んだ結果を"&amp;R128&amp;"テーブルに格納する。"</f>
        <v>検査データのテーブルから組入れ条件（対象期間、表示名の種類）で絞り込んだ結果を組入れ_対象検体検査_対象患者テーブルに格納する。</v>
      </c>
      <c r="D126" s="122"/>
      <c r="E126" s="122"/>
      <c r="F126" s="122"/>
      <c r="G126" s="122"/>
      <c r="H126" s="122"/>
      <c r="I126" s="122"/>
      <c r="J126" s="122"/>
      <c r="K126" s="122"/>
      <c r="L126" s="122"/>
      <c r="M126" s="122"/>
      <c r="N126" s="122"/>
      <c r="O126" s="122"/>
      <c r="P126" s="122"/>
      <c r="Q126" s="122"/>
      <c r="R126" s="122"/>
      <c r="S126" s="122"/>
      <c r="T126" s="122"/>
      <c r="U126" s="123"/>
      <c r="W126" s="35" t="str">
        <f>"-- "&amp;C126</f>
        <v>-- 検査データのテーブルから組入れ条件（対象期間、表示名の種類）で絞り込んだ結果を組入れ_対象検体検査_対象患者テーブルに格納する。</v>
      </c>
    </row>
    <row r="128" spans="2:23" ht="18.75" customHeight="1">
      <c r="C128" s="110" t="s">
        <v>3807</v>
      </c>
      <c r="D128" s="111"/>
      <c r="E128" s="114" t="str">
        <f>エンティティ一覧!$O$2</f>
        <v>milscm_2023_009</v>
      </c>
      <c r="F128" s="36"/>
      <c r="G128" s="36"/>
      <c r="H128" s="36"/>
      <c r="I128" s="36"/>
      <c r="L128" s="107"/>
      <c r="O128" s="107"/>
      <c r="R128" s="110" t="s">
        <v>4027</v>
      </c>
      <c r="S128" s="111"/>
      <c r="T128" s="114" t="str">
        <f>エンティティ一覧!$O$2</f>
        <v>milscm_2023_009</v>
      </c>
    </row>
    <row r="129" spans="1:23" ht="18.75" customHeight="1">
      <c r="C129" s="112"/>
      <c r="D129" s="113"/>
      <c r="E129" s="115"/>
      <c r="F129" s="37"/>
      <c r="G129" s="37"/>
      <c r="H129" s="37"/>
      <c r="I129" s="37"/>
      <c r="J129" s="37"/>
      <c r="K129" s="97"/>
      <c r="L129" s="40"/>
      <c r="M129" s="37"/>
      <c r="N129" s="97"/>
      <c r="O129" s="40"/>
      <c r="P129" s="37"/>
      <c r="Q129" s="37"/>
      <c r="R129" s="112"/>
      <c r="S129" s="113"/>
      <c r="T129" s="115"/>
    </row>
    <row r="130" spans="1:23" ht="18.75" customHeight="1">
      <c r="K130" s="39"/>
      <c r="L130" s="40"/>
      <c r="M130" s="39"/>
      <c r="N130" s="39"/>
      <c r="O130" s="40"/>
    </row>
    <row r="131" spans="1:23" ht="18.75" customHeight="1">
      <c r="H131" s="110" t="s">
        <v>3671</v>
      </c>
      <c r="I131" s="111"/>
      <c r="J131" s="114" t="str">
        <f>エンティティ一覧!$O$2</f>
        <v>milscm_2023_009</v>
      </c>
      <c r="L131" s="41"/>
      <c r="M131" s="39"/>
      <c r="N131" s="39"/>
      <c r="O131" s="40"/>
    </row>
    <row r="132" spans="1:23" ht="18.75" customHeight="1">
      <c r="H132" s="112"/>
      <c r="I132" s="113"/>
      <c r="J132" s="115"/>
      <c r="K132" s="37"/>
      <c r="M132" s="39"/>
      <c r="N132" s="39"/>
      <c r="O132" s="40"/>
    </row>
    <row r="133" spans="1:23" ht="18.75" customHeight="1">
      <c r="K133" s="39"/>
      <c r="L133" s="101"/>
      <c r="M133" s="39"/>
      <c r="N133" s="39"/>
      <c r="O133" s="40"/>
    </row>
    <row r="134" spans="1:23" ht="18.75" customHeight="1">
      <c r="C134" s="110" t="s">
        <v>3807</v>
      </c>
      <c r="D134" s="111"/>
      <c r="E134" s="114" t="str">
        <f>エンティティ一覧!$O$2</f>
        <v>milscm_2023_009</v>
      </c>
      <c r="F134" s="36"/>
      <c r="G134" s="36"/>
      <c r="H134" s="36"/>
      <c r="I134" s="36"/>
      <c r="J134" s="36"/>
      <c r="L134" s="107"/>
      <c r="O134" s="41"/>
      <c r="R134" s="39"/>
      <c r="S134" s="39"/>
      <c r="T134" s="39"/>
    </row>
    <row r="135" spans="1:23" ht="18.75" customHeight="1">
      <c r="C135" s="112"/>
      <c r="D135" s="113"/>
      <c r="E135" s="115"/>
      <c r="F135" s="37"/>
      <c r="G135" s="37"/>
      <c r="H135" s="37"/>
      <c r="I135" s="37"/>
      <c r="J135" s="37"/>
      <c r="K135" s="97"/>
      <c r="L135" s="40"/>
      <c r="M135" s="37"/>
      <c r="N135" s="37"/>
      <c r="R135" s="39"/>
      <c r="S135" s="39"/>
      <c r="T135" s="39"/>
    </row>
    <row r="136" spans="1:23" ht="18.75" customHeight="1">
      <c r="K136" s="39"/>
      <c r="L136" s="40"/>
      <c r="M136" s="39"/>
      <c r="N136" s="39"/>
      <c r="O136" s="39"/>
      <c r="P136" s="39"/>
      <c r="Q136" s="39"/>
    </row>
    <row r="137" spans="1:23" ht="18.75" customHeight="1">
      <c r="H137" s="110" t="s">
        <v>3671</v>
      </c>
      <c r="I137" s="111"/>
      <c r="J137" s="114" t="str">
        <f>エンティティ一覧!$O$2</f>
        <v>milscm_2023_009</v>
      </c>
      <c r="L137" s="41"/>
      <c r="M137" s="39"/>
      <c r="N137" s="39"/>
      <c r="O137" s="39"/>
      <c r="P137" s="39"/>
      <c r="Q137" s="39"/>
    </row>
    <row r="138" spans="1:23" ht="18.75" customHeight="1">
      <c r="H138" s="112"/>
      <c r="I138" s="113"/>
      <c r="J138" s="115"/>
      <c r="K138" s="37"/>
      <c r="M138" s="39"/>
      <c r="N138" s="39"/>
      <c r="O138" s="39"/>
      <c r="P138" s="39"/>
      <c r="Q138" s="39"/>
    </row>
    <row r="139" spans="1:23" ht="18.75" customHeight="1">
      <c r="K139" s="39"/>
      <c r="L139" s="101"/>
      <c r="M139" s="39"/>
      <c r="N139" s="39"/>
      <c r="O139" s="39"/>
      <c r="P139" s="39"/>
      <c r="Q139" s="39"/>
    </row>
    <row r="140" spans="1:23" ht="18.75" customHeight="1" thickBot="1">
      <c r="B140" s="42"/>
      <c r="C140" s="42"/>
      <c r="D140" s="42"/>
      <c r="E140" s="42"/>
      <c r="F140" s="42"/>
      <c r="G140" s="42"/>
      <c r="H140" s="42"/>
      <c r="I140" s="42"/>
      <c r="J140" s="42"/>
      <c r="K140" s="42"/>
      <c r="L140" s="42"/>
      <c r="M140" s="42"/>
      <c r="N140" s="42"/>
      <c r="O140" s="42"/>
      <c r="P140" s="42"/>
      <c r="Q140" s="42"/>
      <c r="R140" s="42"/>
      <c r="S140" s="42"/>
      <c r="T140" s="42"/>
      <c r="U140" s="42"/>
    </row>
    <row r="142" spans="1:23" ht="18.75" customHeight="1">
      <c r="A142" s="77"/>
      <c r="B142" s="43" t="s">
        <v>163</v>
      </c>
      <c r="C142" s="51" t="s">
        <v>3812</v>
      </c>
      <c r="D142" s="95"/>
      <c r="W142" s="35" t="str">
        <f>"-- "&amp;B142&amp;" : "&amp;C142</f>
        <v>-- SQL_ID : 11_07</v>
      </c>
    </row>
    <row r="143" spans="1:23" ht="18.75" customHeight="1">
      <c r="B143" s="43" t="s">
        <v>158</v>
      </c>
      <c r="C143" s="118" t="str">
        <f>R146&amp;"登録"</f>
        <v>組入れ_対象患者登録</v>
      </c>
      <c r="D143" s="119"/>
      <c r="E143" s="119"/>
      <c r="F143" s="119"/>
      <c r="G143" s="119"/>
      <c r="H143" s="119"/>
      <c r="I143" s="119"/>
      <c r="J143" s="119"/>
      <c r="K143" s="119"/>
      <c r="L143" s="119"/>
      <c r="M143" s="119"/>
      <c r="N143" s="119"/>
      <c r="O143" s="119"/>
      <c r="P143" s="119"/>
      <c r="Q143" s="119"/>
      <c r="R143" s="119"/>
      <c r="S143" s="119"/>
      <c r="T143" s="119"/>
      <c r="U143" s="120"/>
      <c r="W143" s="35" t="str">
        <f>"-- "&amp;C143</f>
        <v>-- 組入れ_対象患者登録</v>
      </c>
    </row>
    <row r="144" spans="1:23" ht="18.75" customHeight="1">
      <c r="B144" s="43" t="s">
        <v>159</v>
      </c>
      <c r="C144" s="121" t="str">
        <f>C146&amp;"テーブルから組入れ条件で絞り込んだ結果を"&amp;R146&amp;"テーブルに格納する。"</f>
        <v>組入れ_対象疾患テーブルから組入れ条件で絞り込んだ結果を組入れ_対象患者テーブルに格納する。</v>
      </c>
      <c r="D144" s="122"/>
      <c r="E144" s="122"/>
      <c r="F144" s="122"/>
      <c r="G144" s="122"/>
      <c r="H144" s="122"/>
      <c r="I144" s="122"/>
      <c r="J144" s="122"/>
      <c r="K144" s="122"/>
      <c r="L144" s="122"/>
      <c r="M144" s="122"/>
      <c r="N144" s="122"/>
      <c r="O144" s="122"/>
      <c r="P144" s="122"/>
      <c r="Q144" s="122"/>
      <c r="R144" s="122"/>
      <c r="S144" s="122"/>
      <c r="T144" s="122"/>
      <c r="U144" s="123"/>
      <c r="W144" s="35" t="str">
        <f>"-- "&amp;C144</f>
        <v>-- 組入れ_対象疾患テーブルから組入れ条件で絞り込んだ結果を組入れ_対象患者テーブルに格納する。</v>
      </c>
    </row>
    <row r="146" spans="3:20" ht="18.75" customHeight="1">
      <c r="C146" s="110" t="s">
        <v>3673</v>
      </c>
      <c r="D146" s="111"/>
      <c r="E146" s="114" t="str">
        <f>エンティティ一覧!$O$2</f>
        <v>milscm_2023_009</v>
      </c>
      <c r="H146" s="36"/>
      <c r="I146" s="36"/>
      <c r="J146" s="36"/>
      <c r="M146" s="36"/>
      <c r="N146" s="36"/>
      <c r="O146" s="36"/>
      <c r="P146" s="36"/>
      <c r="Q146" s="36"/>
      <c r="R146" s="110" t="s">
        <v>175</v>
      </c>
      <c r="S146" s="111"/>
      <c r="T146" s="114" t="str">
        <f>エンティティ一覧!$O$2</f>
        <v>milscm_2023_009</v>
      </c>
    </row>
    <row r="147" spans="3:20" ht="18.75" customHeight="1">
      <c r="C147" s="112"/>
      <c r="D147" s="113"/>
      <c r="E147" s="115"/>
      <c r="F147" s="37"/>
      <c r="G147" s="38"/>
      <c r="H147" s="37"/>
      <c r="I147" s="37"/>
      <c r="J147" s="37"/>
      <c r="K147" s="37"/>
      <c r="L147" s="38"/>
      <c r="M147" s="37"/>
      <c r="N147" s="37"/>
      <c r="O147" s="37"/>
      <c r="P147" s="37"/>
      <c r="Q147" s="37"/>
      <c r="R147" s="112"/>
      <c r="S147" s="113"/>
      <c r="T147" s="115"/>
    </row>
    <row r="148" spans="3:20" ht="18.75" customHeight="1">
      <c r="F148" s="39"/>
      <c r="G148" s="40"/>
      <c r="K148" s="39"/>
      <c r="L148" s="40"/>
    </row>
    <row r="149" spans="3:20" ht="18.75" customHeight="1">
      <c r="C149" s="110" t="s">
        <v>3185</v>
      </c>
      <c r="D149" s="111"/>
      <c r="E149" s="114" t="str">
        <f>エンティティ一覧!$O$2</f>
        <v>milscm_2023_009</v>
      </c>
      <c r="G149" s="41"/>
      <c r="K149" s="39"/>
      <c r="L149" s="40"/>
    </row>
    <row r="150" spans="3:20" ht="18.75" customHeight="1">
      <c r="C150" s="112"/>
      <c r="D150" s="113"/>
      <c r="E150" s="115"/>
      <c r="F150" s="37"/>
      <c r="K150" s="39"/>
      <c r="L150" s="40"/>
    </row>
    <row r="151" spans="3:20" ht="18.75" customHeight="1">
      <c r="K151" s="39"/>
      <c r="L151" s="40"/>
    </row>
    <row r="152" spans="3:20" ht="18.75" customHeight="1">
      <c r="C152" s="110" t="s">
        <v>3798</v>
      </c>
      <c r="D152" s="111"/>
      <c r="E152" s="114" t="str">
        <f>エンティティ一覧!$O$2</f>
        <v>milscm_2023_009</v>
      </c>
      <c r="H152" s="36"/>
      <c r="I152" s="36"/>
      <c r="J152" s="36"/>
      <c r="K152" s="36"/>
      <c r="L152" s="41"/>
    </row>
    <row r="153" spans="3:20" ht="18.75" customHeight="1">
      <c r="C153" s="112"/>
      <c r="D153" s="113"/>
      <c r="E153" s="115"/>
      <c r="F153" s="37"/>
      <c r="G153" s="38"/>
      <c r="H153" s="37"/>
      <c r="I153" s="37"/>
      <c r="J153" s="37"/>
      <c r="K153" s="97"/>
    </row>
    <row r="154" spans="3:20" ht="18.75" customHeight="1">
      <c r="F154" s="39"/>
      <c r="G154" s="40"/>
      <c r="K154" s="39"/>
      <c r="L154" s="40"/>
    </row>
    <row r="155" spans="3:20" ht="18.75" customHeight="1">
      <c r="C155" s="110" t="s">
        <v>3185</v>
      </c>
      <c r="D155" s="111"/>
      <c r="E155" s="114" t="str">
        <f>エンティティ一覧!$O$2</f>
        <v>milscm_2023_009</v>
      </c>
      <c r="G155" s="41"/>
      <c r="K155" s="39"/>
      <c r="L155" s="40"/>
    </row>
    <row r="156" spans="3:20" ht="18.75" customHeight="1">
      <c r="C156" s="112"/>
      <c r="D156" s="113"/>
      <c r="E156" s="115"/>
      <c r="F156" s="37"/>
      <c r="K156" s="39"/>
      <c r="L156" s="40"/>
    </row>
    <row r="157" spans="3:20" ht="18.75" customHeight="1">
      <c r="K157" s="39"/>
      <c r="L157" s="40"/>
    </row>
    <row r="158" spans="3:20" ht="18.75" customHeight="1">
      <c r="C158" s="110" t="s">
        <v>4027</v>
      </c>
      <c r="D158" s="111"/>
      <c r="E158" s="114" t="str">
        <f>エンティティ一覧!$O$2</f>
        <v>milscm_2023_009</v>
      </c>
      <c r="H158" s="36"/>
      <c r="I158" s="36"/>
      <c r="J158" s="36"/>
      <c r="L158" s="41"/>
    </row>
    <row r="159" spans="3:20" ht="18.75" customHeight="1">
      <c r="C159" s="112"/>
      <c r="D159" s="113"/>
      <c r="E159" s="115"/>
      <c r="F159" s="37"/>
      <c r="G159" s="38"/>
      <c r="H159" s="37"/>
      <c r="I159" s="37"/>
      <c r="J159" s="37"/>
      <c r="K159" s="37"/>
    </row>
    <row r="160" spans="3:20" ht="18.75" customHeight="1">
      <c r="F160" s="39"/>
      <c r="G160" s="40"/>
    </row>
    <row r="161" spans="2:23" ht="18.75" customHeight="1">
      <c r="C161" s="110" t="s">
        <v>3185</v>
      </c>
      <c r="D161" s="111"/>
      <c r="E161" s="114" t="str">
        <f>エンティティ一覧!$O$2</f>
        <v>milscm_2023_009</v>
      </c>
      <c r="G161" s="41"/>
    </row>
    <row r="162" spans="2:23" ht="18.75" customHeight="1">
      <c r="C162" s="112"/>
      <c r="D162" s="113"/>
      <c r="E162" s="115"/>
      <c r="F162" s="37"/>
    </row>
    <row r="164" spans="2:23" ht="18.75" customHeight="1" thickBot="1">
      <c r="B164" s="42"/>
      <c r="C164" s="42"/>
      <c r="D164" s="42"/>
      <c r="E164" s="42"/>
      <c r="F164" s="42"/>
      <c r="G164" s="42"/>
      <c r="H164" s="42"/>
      <c r="I164" s="42"/>
      <c r="J164" s="42"/>
      <c r="K164" s="42"/>
      <c r="L164" s="42"/>
      <c r="M164" s="42"/>
      <c r="N164" s="42"/>
      <c r="O164" s="42"/>
      <c r="P164" s="42"/>
      <c r="Q164" s="42"/>
      <c r="R164" s="42"/>
      <c r="S164" s="42"/>
      <c r="T164" s="42"/>
      <c r="U164" s="42"/>
    </row>
    <row r="166" spans="2:23" ht="18.75" customHeight="1">
      <c r="B166" s="43" t="s">
        <v>163</v>
      </c>
      <c r="C166" s="51" t="s">
        <v>3990</v>
      </c>
      <c r="D166" s="52"/>
      <c r="W166" s="35" t="str">
        <f>"-- "&amp;B166&amp;" : "&amp;C166</f>
        <v>-- SQL_ID : 11_08</v>
      </c>
    </row>
    <row r="167" spans="2:23" ht="18.75" customHeight="1">
      <c r="B167" s="43" t="s">
        <v>158</v>
      </c>
      <c r="C167" s="118" t="s">
        <v>906</v>
      </c>
      <c r="D167" s="119"/>
      <c r="E167" s="119"/>
      <c r="F167" s="119"/>
      <c r="G167" s="119"/>
      <c r="H167" s="119"/>
      <c r="I167" s="119"/>
      <c r="J167" s="119"/>
      <c r="K167" s="119"/>
      <c r="L167" s="119"/>
      <c r="M167" s="119"/>
      <c r="N167" s="119"/>
      <c r="O167" s="119"/>
      <c r="P167" s="119"/>
      <c r="Q167" s="119"/>
      <c r="R167" s="119"/>
      <c r="S167" s="119"/>
      <c r="T167" s="119"/>
      <c r="U167" s="120"/>
      <c r="W167" s="35" t="str">
        <f>"-- "&amp;C167</f>
        <v>-- 組入れ_施設別患者数_取得</v>
      </c>
    </row>
    <row r="168" spans="2:23" ht="18.75" customHeight="1">
      <c r="B168" s="43" t="s">
        <v>159</v>
      </c>
      <c r="C168" s="121" t="s">
        <v>3813</v>
      </c>
      <c r="D168" s="122"/>
      <c r="E168" s="122"/>
      <c r="F168" s="122"/>
      <c r="G168" s="122"/>
      <c r="H168" s="122"/>
      <c r="I168" s="122"/>
      <c r="J168" s="122"/>
      <c r="K168" s="122"/>
      <c r="L168" s="122"/>
      <c r="M168" s="122"/>
      <c r="N168" s="122"/>
      <c r="O168" s="122"/>
      <c r="P168" s="122"/>
      <c r="Q168" s="122"/>
      <c r="R168" s="122"/>
      <c r="S168" s="122"/>
      <c r="T168" s="122"/>
      <c r="U168" s="123"/>
      <c r="W168" s="35" t="str">
        <f>"-- "&amp;C168</f>
        <v>-- 施設別の患者数の集計結果を取得する。　※事前調査時点の544名と比較して同程度であるか確認する。</v>
      </c>
    </row>
    <row r="170" spans="2:23" ht="18.75" customHeight="1">
      <c r="C170" s="110" t="s">
        <v>175</v>
      </c>
      <c r="D170" s="111"/>
      <c r="E170" s="114" t="s">
        <v>167</v>
      </c>
      <c r="F170" s="36"/>
      <c r="G170" s="36"/>
      <c r="H170" s="36"/>
      <c r="I170" s="36"/>
      <c r="J170" s="36"/>
      <c r="K170" s="36"/>
      <c r="L170" s="36"/>
      <c r="M170" s="36"/>
      <c r="N170" s="36"/>
      <c r="O170" s="36"/>
      <c r="P170" s="36"/>
      <c r="Q170" s="36"/>
      <c r="R170" s="110" t="s">
        <v>188</v>
      </c>
      <c r="S170" s="111"/>
      <c r="T170" s="114" t="s">
        <v>177</v>
      </c>
    </row>
    <row r="171" spans="2:23" ht="18.75" customHeight="1">
      <c r="C171" s="112"/>
      <c r="D171" s="113"/>
      <c r="E171" s="115"/>
      <c r="F171" s="37"/>
      <c r="G171" s="37"/>
      <c r="H171" s="37"/>
      <c r="I171" s="37"/>
      <c r="J171" s="37"/>
      <c r="K171" s="37"/>
      <c r="L171" s="37"/>
      <c r="M171" s="37"/>
      <c r="N171" s="37"/>
      <c r="O171" s="37"/>
      <c r="P171" s="37"/>
      <c r="Q171" s="37"/>
      <c r="R171" s="112"/>
      <c r="S171" s="113"/>
      <c r="T171" s="115"/>
    </row>
    <row r="173" spans="2:23" ht="18.75" customHeight="1" thickBot="1">
      <c r="B173" s="42"/>
      <c r="C173" s="42"/>
      <c r="D173" s="42"/>
      <c r="E173" s="42"/>
      <c r="F173" s="42"/>
      <c r="G173" s="42"/>
      <c r="H173" s="42"/>
      <c r="I173" s="42"/>
      <c r="J173" s="42"/>
      <c r="K173" s="42"/>
      <c r="L173" s="42"/>
      <c r="M173" s="42"/>
      <c r="N173" s="42"/>
      <c r="O173" s="42"/>
      <c r="P173" s="42"/>
      <c r="Q173" s="42"/>
      <c r="R173" s="42"/>
      <c r="S173" s="42"/>
      <c r="T173" s="42"/>
      <c r="U173" s="42"/>
    </row>
  </sheetData>
  <mergeCells count="112">
    <mergeCell ref="C16:U16"/>
    <mergeCell ref="C17:U17"/>
    <mergeCell ref="C19:D20"/>
    <mergeCell ref="E19:E20"/>
    <mergeCell ref="R19:S20"/>
    <mergeCell ref="T19:T20"/>
    <mergeCell ref="H116:I117"/>
    <mergeCell ref="J116:J117"/>
    <mergeCell ref="H119:I120"/>
    <mergeCell ref="J119:J120"/>
    <mergeCell ref="C95:D96"/>
    <mergeCell ref="E95:E96"/>
    <mergeCell ref="C110:D111"/>
    <mergeCell ref="E110:E111"/>
    <mergeCell ref="C113:D114"/>
    <mergeCell ref="E113:E114"/>
    <mergeCell ref="O83:O84"/>
    <mergeCell ref="C104:D105"/>
    <mergeCell ref="E104:E105"/>
    <mergeCell ref="H74:I75"/>
    <mergeCell ref="J74:J75"/>
    <mergeCell ref="H77:I78"/>
    <mergeCell ref="J77:J78"/>
    <mergeCell ref="H80:I81"/>
    <mergeCell ref="J80:J81"/>
    <mergeCell ref="C134:D135"/>
    <mergeCell ref="E134:E135"/>
    <mergeCell ref="H137:I138"/>
    <mergeCell ref="J137:J138"/>
    <mergeCell ref="C68:D69"/>
    <mergeCell ref="E68:E69"/>
    <mergeCell ref="H71:I72"/>
    <mergeCell ref="J71:J72"/>
    <mergeCell ref="M83:N84"/>
    <mergeCell ref="C125:U125"/>
    <mergeCell ref="C126:U126"/>
    <mergeCell ref="C128:D129"/>
    <mergeCell ref="E128:E129"/>
    <mergeCell ref="R128:S129"/>
    <mergeCell ref="T128:T129"/>
    <mergeCell ref="H131:I132"/>
    <mergeCell ref="J131:J132"/>
    <mergeCell ref="C161:D162"/>
    <mergeCell ref="E161:E162"/>
    <mergeCell ref="C155:D156"/>
    <mergeCell ref="E155:E156"/>
    <mergeCell ref="C158:D159"/>
    <mergeCell ref="E158:E159"/>
    <mergeCell ref="C144:U144"/>
    <mergeCell ref="C146:D147"/>
    <mergeCell ref="E146:E147"/>
    <mergeCell ref="R146:S147"/>
    <mergeCell ref="T146:T147"/>
    <mergeCell ref="C50:U50"/>
    <mergeCell ref="C51:U51"/>
    <mergeCell ref="C53:D54"/>
    <mergeCell ref="E53:E54"/>
    <mergeCell ref="R53:S54"/>
    <mergeCell ref="T53:T54"/>
    <mergeCell ref="C62:U62"/>
    <mergeCell ref="C63:U63"/>
    <mergeCell ref="C65:D66"/>
    <mergeCell ref="E65:E66"/>
    <mergeCell ref="T65:T66"/>
    <mergeCell ref="J31:J32"/>
    <mergeCell ref="C37:U37"/>
    <mergeCell ref="C38:U38"/>
    <mergeCell ref="C40:D41"/>
    <mergeCell ref="C167:U167"/>
    <mergeCell ref="C168:U168"/>
    <mergeCell ref="H107:I108"/>
    <mergeCell ref="J107:J108"/>
    <mergeCell ref="C90:U90"/>
    <mergeCell ref="C92:D93"/>
    <mergeCell ref="E92:E93"/>
    <mergeCell ref="R92:S93"/>
    <mergeCell ref="T92:T93"/>
    <mergeCell ref="C101:D102"/>
    <mergeCell ref="E101:E102"/>
    <mergeCell ref="C143:U143"/>
    <mergeCell ref="C149:D150"/>
    <mergeCell ref="E149:E150"/>
    <mergeCell ref="C152:D153"/>
    <mergeCell ref="E152:E153"/>
    <mergeCell ref="M43:N44"/>
    <mergeCell ref="O43:O44"/>
    <mergeCell ref="H98:I99"/>
    <mergeCell ref="J98:J99"/>
    <mergeCell ref="E40:E41"/>
    <mergeCell ref="R40:S41"/>
    <mergeCell ref="T40:T41"/>
    <mergeCell ref="R65:S66"/>
    <mergeCell ref="C170:D171"/>
    <mergeCell ref="E170:E171"/>
    <mergeCell ref="R170:S171"/>
    <mergeCell ref="T170:T171"/>
    <mergeCell ref="C4:U4"/>
    <mergeCell ref="C5:U5"/>
    <mergeCell ref="C7:D8"/>
    <mergeCell ref="E7:E8"/>
    <mergeCell ref="R7:S8"/>
    <mergeCell ref="T7:T8"/>
    <mergeCell ref="C10:D11"/>
    <mergeCell ref="E10:E11"/>
    <mergeCell ref="C89:U89"/>
    <mergeCell ref="C25:U25"/>
    <mergeCell ref="C26:U26"/>
    <mergeCell ref="C28:D29"/>
    <mergeCell ref="E28:E29"/>
    <mergeCell ref="R28:S29"/>
    <mergeCell ref="T28:T29"/>
    <mergeCell ref="H31:I3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80"/>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18" t="str">
        <f>R7&amp;"登録"</f>
        <v>患者ID一覧マスタ登録</v>
      </c>
      <c r="D4" s="119"/>
      <c r="E4" s="119"/>
      <c r="F4" s="119"/>
      <c r="G4" s="119"/>
      <c r="H4" s="119"/>
      <c r="I4" s="119"/>
      <c r="J4" s="119"/>
      <c r="K4" s="119"/>
      <c r="L4" s="119"/>
      <c r="M4" s="119"/>
      <c r="N4" s="119"/>
      <c r="O4" s="119"/>
      <c r="P4" s="119"/>
      <c r="Q4" s="119"/>
      <c r="R4" s="119"/>
      <c r="S4" s="119"/>
      <c r="T4" s="119"/>
      <c r="U4" s="120"/>
      <c r="W4" s="35" t="str">
        <f>"-- "&amp;C4</f>
        <v>-- 患者ID一覧マスタ登録</v>
      </c>
    </row>
    <row r="5" spans="2:23" ht="18.75" customHeight="1">
      <c r="B5" s="43" t="s">
        <v>159</v>
      </c>
      <c r="C5" s="121"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2"/>
      <c r="E5" s="122"/>
      <c r="F5" s="122"/>
      <c r="G5" s="122"/>
      <c r="H5" s="122"/>
      <c r="I5" s="122"/>
      <c r="J5" s="122"/>
      <c r="K5" s="122"/>
      <c r="L5" s="122"/>
      <c r="M5" s="122"/>
      <c r="N5" s="122"/>
      <c r="O5" s="122"/>
      <c r="P5" s="122"/>
      <c r="Q5" s="122"/>
      <c r="R5" s="122"/>
      <c r="S5" s="122"/>
      <c r="T5" s="122"/>
      <c r="U5" s="123"/>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10" t="s">
        <v>4095</v>
      </c>
      <c r="I7" s="111"/>
      <c r="J7" s="114" t="str">
        <f>エンティティ一覧!$O$2</f>
        <v>milscm_2023_009</v>
      </c>
      <c r="K7" s="36"/>
      <c r="M7" s="36"/>
      <c r="N7" s="36"/>
      <c r="O7" s="36"/>
      <c r="R7" s="110" t="s">
        <v>3737</v>
      </c>
      <c r="S7" s="111"/>
      <c r="T7" s="114" t="str">
        <f>エンティティ一覧!$O$2</f>
        <v>milscm_2023_009</v>
      </c>
    </row>
    <row r="8" spans="2:23" ht="18.75" customHeight="1">
      <c r="H8" s="112"/>
      <c r="I8" s="113"/>
      <c r="J8" s="115"/>
      <c r="K8" s="37"/>
      <c r="L8" s="38"/>
      <c r="M8" s="37"/>
      <c r="N8" s="37"/>
      <c r="O8" s="37"/>
      <c r="P8" s="37"/>
      <c r="Q8" s="38"/>
      <c r="R8" s="112"/>
      <c r="S8" s="113"/>
      <c r="T8" s="115"/>
    </row>
    <row r="9" spans="2:23" ht="18.75" customHeight="1">
      <c r="K9" s="39"/>
      <c r="L9" s="40"/>
      <c r="P9" s="39"/>
      <c r="Q9" s="40"/>
    </row>
    <row r="10" spans="2:23" ht="18.75" customHeight="1">
      <c r="C10" s="110" t="s">
        <v>4095</v>
      </c>
      <c r="D10" s="111"/>
      <c r="E10" s="114" t="str">
        <f>エンティティ一覧!$O$2</f>
        <v>milscm_2023_009</v>
      </c>
      <c r="H10" s="36"/>
      <c r="I10" s="36"/>
      <c r="J10" s="36"/>
      <c r="L10" s="41"/>
      <c r="P10" s="39"/>
      <c r="Q10" s="40"/>
    </row>
    <row r="11" spans="2:23" ht="18.75" customHeight="1">
      <c r="C11" s="112"/>
      <c r="D11" s="113"/>
      <c r="E11" s="115"/>
      <c r="F11" s="37"/>
      <c r="G11" s="38"/>
      <c r="H11" s="37"/>
      <c r="I11" s="37"/>
      <c r="J11" s="37"/>
      <c r="K11" s="37"/>
      <c r="P11" s="39"/>
      <c r="Q11" s="40"/>
    </row>
    <row r="12" spans="2:23" ht="18.75" customHeight="1">
      <c r="F12" s="39"/>
      <c r="G12" s="40"/>
      <c r="P12" s="39"/>
      <c r="Q12" s="40"/>
    </row>
    <row r="13" spans="2:23" ht="18.75" customHeight="1">
      <c r="C13" s="110" t="s">
        <v>175</v>
      </c>
      <c r="D13" s="111"/>
      <c r="E13" s="114" t="str">
        <f>エンティティ一覧!$O$2</f>
        <v>milscm_2023_009</v>
      </c>
      <c r="G13" s="41"/>
      <c r="P13" s="39"/>
      <c r="Q13" s="40"/>
    </row>
    <row r="14" spans="2:23" ht="18.75" customHeight="1">
      <c r="C14" s="112"/>
      <c r="D14" s="113"/>
      <c r="E14" s="115"/>
      <c r="F14" s="37"/>
      <c r="P14" s="39"/>
      <c r="Q14" s="40"/>
    </row>
    <row r="15" spans="2:23" ht="18.75" customHeight="1">
      <c r="P15" s="39"/>
      <c r="Q15" s="40"/>
    </row>
    <row r="16" spans="2:23" ht="18.75" customHeight="1">
      <c r="M16" s="110" t="s">
        <v>3669</v>
      </c>
      <c r="N16" s="111"/>
      <c r="O16" s="116" t="s">
        <v>162</v>
      </c>
      <c r="Q16" s="41"/>
    </row>
    <row r="17" spans="2:23" ht="18.75" customHeight="1">
      <c r="M17" s="112"/>
      <c r="N17" s="113"/>
      <c r="O17" s="117"/>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1"/>
      <c r="W21" s="35" t="str">
        <f>"-- "&amp;B21&amp;" : "&amp;C21</f>
        <v>-- SQL_ID : 21_02</v>
      </c>
    </row>
    <row r="22" spans="2:23" ht="18.75" customHeight="1">
      <c r="B22" s="43" t="s">
        <v>158</v>
      </c>
      <c r="C22" s="118" t="str">
        <f>R25&amp;"登録"</f>
        <v>施設マスタ登録</v>
      </c>
      <c r="D22" s="119"/>
      <c r="E22" s="119"/>
      <c r="F22" s="119"/>
      <c r="G22" s="119"/>
      <c r="H22" s="119"/>
      <c r="I22" s="119"/>
      <c r="J22" s="119"/>
      <c r="K22" s="119"/>
      <c r="L22" s="119"/>
      <c r="M22" s="119"/>
      <c r="N22" s="119"/>
      <c r="O22" s="119"/>
      <c r="P22" s="119"/>
      <c r="Q22" s="119"/>
      <c r="R22" s="119"/>
      <c r="S22" s="119"/>
      <c r="T22" s="119"/>
      <c r="U22" s="120"/>
      <c r="W22" s="35" t="str">
        <f>"-- "&amp;C22</f>
        <v>-- 施設マスタ登録</v>
      </c>
    </row>
    <row r="23" spans="2:23" ht="18.75" customHeight="1">
      <c r="B23" s="43" t="s">
        <v>159</v>
      </c>
      <c r="C23" s="136" t="str">
        <f>C25&amp;"テーブルに施設マスクIDを付与した結果を"&amp;R25&amp;"テーブルに格納する。"</f>
        <v>組入れ_対象施設テーブルに施設マスクIDを付与した結果を施設マスタテーブルに格納する。</v>
      </c>
      <c r="D23" s="137"/>
      <c r="E23" s="137"/>
      <c r="F23" s="137"/>
      <c r="G23" s="137"/>
      <c r="H23" s="137"/>
      <c r="I23" s="137"/>
      <c r="J23" s="137"/>
      <c r="K23" s="137"/>
      <c r="L23" s="137"/>
      <c r="M23" s="137"/>
      <c r="N23" s="137"/>
      <c r="O23" s="137"/>
      <c r="P23" s="137"/>
      <c r="Q23" s="137"/>
      <c r="R23" s="137"/>
      <c r="S23" s="137"/>
      <c r="T23" s="137"/>
      <c r="U23" s="138"/>
      <c r="W23" s="35" t="str">
        <f>"-- "&amp;C23</f>
        <v>-- 組入れ_対象施設テーブルに施設マスクIDを付与した結果を施設マスタテーブルに格納する。</v>
      </c>
    </row>
    <row r="25" spans="2:23" ht="18.75" customHeight="1">
      <c r="C25" s="110" t="s">
        <v>3671</v>
      </c>
      <c r="D25" s="111"/>
      <c r="E25" s="114" t="str">
        <f>エンティティ一覧!$O$2</f>
        <v>milscm_2023_009</v>
      </c>
      <c r="F25" s="36"/>
      <c r="G25" s="36"/>
      <c r="H25" s="36"/>
      <c r="I25" s="36"/>
      <c r="J25" s="36"/>
      <c r="K25" s="36"/>
      <c r="L25" s="36"/>
      <c r="M25" s="36"/>
      <c r="N25" s="36"/>
      <c r="O25" s="36"/>
      <c r="P25" s="36"/>
      <c r="Q25" s="36"/>
      <c r="R25" s="110" t="s">
        <v>4096</v>
      </c>
      <c r="S25" s="111"/>
      <c r="T25" s="114" t="str">
        <f>エンティティ一覧!$O$2</f>
        <v>milscm_2023_009</v>
      </c>
    </row>
    <row r="26" spans="2:23" ht="18.75" customHeight="1">
      <c r="C26" s="112"/>
      <c r="D26" s="113"/>
      <c r="E26" s="115"/>
      <c r="F26" s="37"/>
      <c r="G26" s="37"/>
      <c r="H26" s="37"/>
      <c r="I26" s="37"/>
      <c r="J26" s="37"/>
      <c r="K26" s="37"/>
      <c r="L26" s="37"/>
      <c r="M26" s="37"/>
      <c r="N26" s="37"/>
      <c r="O26" s="37"/>
      <c r="P26" s="37"/>
      <c r="Q26" s="37"/>
      <c r="R26" s="112"/>
      <c r="S26" s="113"/>
      <c r="T26" s="115"/>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905</v>
      </c>
      <c r="D30" s="109"/>
      <c r="W30" s="35" t="str">
        <f>"-- "&amp;B30&amp;" : "&amp;C30</f>
        <v>-- SQL_ID : 21_03</v>
      </c>
    </row>
    <row r="31" spans="2:23" ht="18.75" customHeight="1">
      <c r="B31" s="43" t="s">
        <v>158</v>
      </c>
      <c r="C31" s="118" t="str">
        <f>R34&amp;"登録"</f>
        <v>患者マスタ登録</v>
      </c>
      <c r="D31" s="119"/>
      <c r="E31" s="119"/>
      <c r="F31" s="119"/>
      <c r="G31" s="119"/>
      <c r="H31" s="119"/>
      <c r="I31" s="119"/>
      <c r="J31" s="119"/>
      <c r="K31" s="119"/>
      <c r="L31" s="119"/>
      <c r="M31" s="119"/>
      <c r="N31" s="119"/>
      <c r="O31" s="119"/>
      <c r="P31" s="119"/>
      <c r="Q31" s="119"/>
      <c r="R31" s="119"/>
      <c r="S31" s="119"/>
      <c r="T31" s="119"/>
      <c r="U31" s="120"/>
      <c r="W31" s="35" t="str">
        <f>"-- "&amp;C31</f>
        <v>-- 患者マスタ登録</v>
      </c>
    </row>
    <row r="32" spans="2:23" ht="18.75" customHeight="1">
      <c r="B32" s="43" t="s">
        <v>159</v>
      </c>
      <c r="C32" s="136"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37"/>
      <c r="E32" s="137"/>
      <c r="F32" s="137"/>
      <c r="G32" s="137"/>
      <c r="H32" s="137"/>
      <c r="I32" s="137"/>
      <c r="J32" s="137"/>
      <c r="K32" s="137"/>
      <c r="L32" s="137"/>
      <c r="M32" s="137"/>
      <c r="N32" s="137"/>
      <c r="O32" s="137"/>
      <c r="P32" s="137"/>
      <c r="Q32" s="137"/>
      <c r="R32" s="137"/>
      <c r="S32" s="137"/>
      <c r="T32" s="137"/>
      <c r="U32" s="138"/>
      <c r="W32" s="35" t="str">
        <f>"-- "&amp;C32</f>
        <v>-- 患者ID一覧マスタテーブルを施設IDと紐づけIDで集約し、マスクIDを付与した結果を患者マスタテーブルに格納する。</v>
      </c>
    </row>
    <row r="34" spans="2:23" ht="18.75" customHeight="1">
      <c r="C34" s="110" t="s">
        <v>3737</v>
      </c>
      <c r="D34" s="111"/>
      <c r="E34" s="114" t="str">
        <f>エンティティ一覧!$O$2</f>
        <v>milscm_2023_009</v>
      </c>
      <c r="F34" s="36"/>
      <c r="G34" s="36"/>
      <c r="H34" s="36"/>
      <c r="I34" s="36"/>
      <c r="J34" s="36"/>
      <c r="K34" s="36"/>
      <c r="L34" s="36"/>
      <c r="M34" s="36"/>
      <c r="N34" s="36"/>
      <c r="O34" s="36"/>
      <c r="P34" s="36"/>
      <c r="Q34" s="36"/>
      <c r="R34" s="110" t="s">
        <v>187</v>
      </c>
      <c r="S34" s="111"/>
      <c r="T34" s="114" t="str">
        <f>エンティティ一覧!$O$2</f>
        <v>milscm_2023_009</v>
      </c>
    </row>
    <row r="35" spans="2:23" ht="18.75" customHeight="1">
      <c r="C35" s="112"/>
      <c r="D35" s="113"/>
      <c r="E35" s="115"/>
      <c r="F35" s="37"/>
      <c r="G35" s="37"/>
      <c r="H35" s="37"/>
      <c r="I35" s="37"/>
      <c r="J35" s="37"/>
      <c r="K35" s="37"/>
      <c r="L35" s="38"/>
      <c r="M35" s="37"/>
      <c r="N35" s="37"/>
      <c r="O35" s="37"/>
      <c r="P35" s="37"/>
      <c r="Q35" s="37"/>
      <c r="R35" s="112"/>
      <c r="S35" s="113"/>
      <c r="T35" s="115"/>
    </row>
    <row r="36" spans="2:23" ht="18.75" customHeight="1">
      <c r="K36" s="39"/>
      <c r="L36" s="40"/>
    </row>
    <row r="37" spans="2:23" ht="18.75" customHeight="1">
      <c r="C37" s="110" t="s">
        <v>3852</v>
      </c>
      <c r="D37" s="111"/>
      <c r="E37" s="114" t="str">
        <f>エンティティ一覧!$O$2</f>
        <v>milscm_2023_009</v>
      </c>
      <c r="F37" s="36"/>
      <c r="G37" s="36"/>
      <c r="H37" s="36"/>
      <c r="I37" s="36"/>
      <c r="J37" s="36"/>
      <c r="L37" s="41"/>
    </row>
    <row r="38" spans="2:23" ht="18.75" customHeight="1">
      <c r="C38" s="112"/>
      <c r="D38" s="113"/>
      <c r="E38" s="115"/>
      <c r="F38" s="37"/>
      <c r="G38" s="37"/>
      <c r="H38" s="37"/>
      <c r="I38" s="37"/>
      <c r="J38" s="37"/>
      <c r="K38" s="37"/>
    </row>
    <row r="40" spans="2:23" ht="18.75" customHeight="1" thickBot="1">
      <c r="B40" s="42"/>
      <c r="C40" s="42"/>
      <c r="D40" s="42"/>
      <c r="E40" s="42"/>
      <c r="F40" s="42"/>
      <c r="G40" s="42"/>
      <c r="H40" s="42"/>
      <c r="I40" s="42"/>
      <c r="J40" s="42"/>
      <c r="K40" s="42"/>
      <c r="L40" s="42"/>
      <c r="M40" s="42"/>
      <c r="N40" s="42"/>
      <c r="O40" s="42"/>
      <c r="P40" s="42"/>
      <c r="Q40" s="42"/>
      <c r="R40" s="42"/>
      <c r="S40" s="42"/>
      <c r="T40" s="42"/>
      <c r="U40" s="42"/>
    </row>
    <row r="42" spans="2:23" ht="18.75" customHeight="1">
      <c r="B42" s="43" t="s">
        <v>163</v>
      </c>
      <c r="C42" s="51" t="s">
        <v>4097</v>
      </c>
      <c r="D42" s="62"/>
      <c r="W42" s="35" t="str">
        <f>"-- "&amp;B42&amp;" : "&amp;C42</f>
        <v>-- SQL_ID : 21_04</v>
      </c>
    </row>
    <row r="43" spans="2:23" ht="18.75" customHeight="1">
      <c r="B43" s="43" t="s">
        <v>158</v>
      </c>
      <c r="C43" s="118" t="str">
        <f>R46&amp;"投入"</f>
        <v>疾患マスタ投入</v>
      </c>
      <c r="D43" s="119"/>
      <c r="E43" s="119"/>
      <c r="F43" s="119"/>
      <c r="G43" s="119"/>
      <c r="H43" s="119"/>
      <c r="I43" s="119"/>
      <c r="J43" s="119"/>
      <c r="K43" s="119"/>
      <c r="L43" s="119"/>
      <c r="M43" s="119"/>
      <c r="N43" s="119"/>
      <c r="O43" s="119"/>
      <c r="P43" s="119"/>
      <c r="Q43" s="119"/>
      <c r="R43" s="119"/>
      <c r="S43" s="119"/>
      <c r="T43" s="119"/>
      <c r="U43" s="120"/>
      <c r="W43" s="35" t="str">
        <f>"-- "&amp;C43</f>
        <v>-- 疾患マスタ投入</v>
      </c>
    </row>
    <row r="44" spans="2:23" ht="18.75" customHeight="1">
      <c r="B44" s="43" t="s">
        <v>159</v>
      </c>
      <c r="C44" s="121" t="s">
        <v>4098</v>
      </c>
      <c r="D44" s="122"/>
      <c r="E44" s="122"/>
      <c r="F44" s="122"/>
      <c r="G44" s="122"/>
      <c r="H44" s="122"/>
      <c r="I44" s="122"/>
      <c r="J44" s="122"/>
      <c r="K44" s="122"/>
      <c r="L44" s="122"/>
      <c r="M44" s="122"/>
      <c r="N44" s="122"/>
      <c r="O44" s="122"/>
      <c r="P44" s="122"/>
      <c r="Q44" s="122"/>
      <c r="R44" s="122"/>
      <c r="S44" s="122"/>
      <c r="T44" s="122"/>
      <c r="U44" s="123"/>
      <c r="W44" s="35" t="str">
        <f>"-- "&amp;C44</f>
        <v>-- 疾患マスタを疾患マスタに投入する。</v>
      </c>
    </row>
    <row r="46" spans="2:23" ht="18.75" customHeight="1">
      <c r="C46" s="110" t="s">
        <v>178</v>
      </c>
      <c r="D46" s="111"/>
      <c r="E46" s="114" t="s">
        <v>177</v>
      </c>
      <c r="F46" s="36"/>
      <c r="G46" s="36"/>
      <c r="H46" s="36"/>
      <c r="I46" s="36"/>
      <c r="J46" s="36"/>
      <c r="K46" s="36"/>
      <c r="L46" s="36"/>
      <c r="M46" s="36"/>
      <c r="N46" s="36"/>
      <c r="O46" s="36"/>
      <c r="P46" s="36"/>
      <c r="Q46" s="36"/>
      <c r="R46" s="110" t="s">
        <v>178</v>
      </c>
      <c r="S46" s="111"/>
      <c r="T46" s="114" t="str">
        <f>エンティティ一覧!$O$2</f>
        <v>milscm_2023_009</v>
      </c>
    </row>
    <row r="47" spans="2:23" ht="18.75" customHeight="1">
      <c r="C47" s="112"/>
      <c r="D47" s="113"/>
      <c r="E47" s="115"/>
      <c r="F47" s="37"/>
      <c r="G47" s="37"/>
      <c r="H47" s="37"/>
      <c r="I47" s="37"/>
      <c r="J47" s="37"/>
      <c r="K47" s="37"/>
      <c r="L47" s="37"/>
      <c r="M47" s="37"/>
      <c r="N47" s="37"/>
      <c r="O47" s="37"/>
      <c r="P47" s="37"/>
      <c r="Q47" s="37"/>
      <c r="R47" s="112"/>
      <c r="S47" s="113"/>
      <c r="T47" s="115"/>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4099</v>
      </c>
      <c r="D52" s="109"/>
      <c r="W52" s="35" t="str">
        <f>"-- "&amp;B52&amp;" : "&amp;C52</f>
        <v>-- SQL_ID : 21_05</v>
      </c>
    </row>
    <row r="53" spans="2:23" ht="18.75" customHeight="1">
      <c r="B53" s="43" t="s">
        <v>158</v>
      </c>
      <c r="C53" s="118" t="str">
        <f>R56&amp;"投入"</f>
        <v>薬剤マスタ投入</v>
      </c>
      <c r="D53" s="119"/>
      <c r="E53" s="119"/>
      <c r="F53" s="119"/>
      <c r="G53" s="119"/>
      <c r="H53" s="119"/>
      <c r="I53" s="119"/>
      <c r="J53" s="119"/>
      <c r="K53" s="119"/>
      <c r="L53" s="119"/>
      <c r="M53" s="119"/>
      <c r="N53" s="119"/>
      <c r="O53" s="119"/>
      <c r="P53" s="119"/>
      <c r="Q53" s="119"/>
      <c r="R53" s="119"/>
      <c r="S53" s="119"/>
      <c r="T53" s="119"/>
      <c r="U53" s="120"/>
      <c r="W53" s="35" t="str">
        <f>"-- "&amp;C53</f>
        <v>-- 薬剤マスタ投入</v>
      </c>
    </row>
    <row r="54" spans="2:23" ht="18.75" customHeight="1">
      <c r="B54" s="43" t="s">
        <v>159</v>
      </c>
      <c r="C54" s="121" t="s">
        <v>4100</v>
      </c>
      <c r="D54" s="122"/>
      <c r="E54" s="122"/>
      <c r="F54" s="122"/>
      <c r="G54" s="122"/>
      <c r="H54" s="122"/>
      <c r="I54" s="122"/>
      <c r="J54" s="122"/>
      <c r="K54" s="122"/>
      <c r="L54" s="122"/>
      <c r="M54" s="122"/>
      <c r="N54" s="122"/>
      <c r="O54" s="122"/>
      <c r="P54" s="122"/>
      <c r="Q54" s="122"/>
      <c r="R54" s="122"/>
      <c r="S54" s="122"/>
      <c r="T54" s="122"/>
      <c r="U54" s="123"/>
      <c r="W54" s="35" t="str">
        <f>"-- "&amp;C54</f>
        <v>-- 薬剤マスタを薬剤マスタに投入する。</v>
      </c>
    </row>
    <row r="56" spans="2:23" ht="18.75" customHeight="1">
      <c r="C56" s="110" t="s">
        <v>4093</v>
      </c>
      <c r="D56" s="111"/>
      <c r="E56" s="114" t="s">
        <v>177</v>
      </c>
      <c r="F56" s="36"/>
      <c r="G56" s="36"/>
      <c r="H56" s="36"/>
      <c r="I56" s="36"/>
      <c r="J56" s="36"/>
      <c r="K56" s="36"/>
      <c r="L56" s="36"/>
      <c r="M56" s="36"/>
      <c r="N56" s="36"/>
      <c r="O56" s="36"/>
      <c r="P56" s="36"/>
      <c r="Q56" s="36"/>
      <c r="R56" s="110" t="s">
        <v>4093</v>
      </c>
      <c r="S56" s="111"/>
      <c r="T56" s="114" t="str">
        <f>エンティティ一覧!$O$2</f>
        <v>milscm_2023_009</v>
      </c>
    </row>
    <row r="57" spans="2:23" ht="18.75" customHeight="1">
      <c r="C57" s="112"/>
      <c r="D57" s="113"/>
      <c r="E57" s="115"/>
      <c r="F57" s="37"/>
      <c r="G57" s="37"/>
      <c r="H57" s="37"/>
      <c r="I57" s="37"/>
      <c r="J57" s="37"/>
      <c r="K57" s="37"/>
      <c r="L57" s="37"/>
      <c r="M57" s="37"/>
      <c r="N57" s="37"/>
      <c r="O57" s="37"/>
      <c r="P57" s="37"/>
      <c r="Q57" s="37"/>
      <c r="R57" s="112"/>
      <c r="S57" s="113"/>
      <c r="T57" s="115"/>
    </row>
    <row r="60" spans="2:23" ht="18.75" customHeight="1" thickBot="1">
      <c r="B60" s="42"/>
      <c r="C60" s="42"/>
      <c r="D60" s="42"/>
      <c r="E60" s="42"/>
      <c r="F60" s="42"/>
      <c r="G60" s="42"/>
      <c r="H60" s="42"/>
      <c r="I60" s="42"/>
      <c r="J60" s="42"/>
      <c r="K60" s="42"/>
      <c r="L60" s="42"/>
      <c r="M60" s="42"/>
      <c r="N60" s="42"/>
      <c r="O60" s="42"/>
      <c r="P60" s="42"/>
      <c r="Q60" s="42"/>
      <c r="R60" s="42"/>
      <c r="S60" s="42"/>
      <c r="T60" s="42"/>
      <c r="U60" s="42"/>
    </row>
    <row r="62" spans="2:23" ht="18.75" customHeight="1">
      <c r="B62" s="43" t="s">
        <v>163</v>
      </c>
      <c r="C62" s="51" t="s">
        <v>4101</v>
      </c>
      <c r="D62" s="109"/>
      <c r="W62" s="35" t="str">
        <f>"-- "&amp;B62&amp;" : "&amp;C62</f>
        <v>-- SQL_ID : 21_06</v>
      </c>
    </row>
    <row r="63" spans="2:23" ht="18.75" customHeight="1">
      <c r="B63" s="43" t="s">
        <v>158</v>
      </c>
      <c r="C63" s="118" t="str">
        <f>R66&amp;"投入"</f>
        <v>検体検査マスタ投入</v>
      </c>
      <c r="D63" s="119"/>
      <c r="E63" s="119"/>
      <c r="F63" s="119"/>
      <c r="G63" s="119"/>
      <c r="H63" s="119"/>
      <c r="I63" s="119"/>
      <c r="J63" s="119"/>
      <c r="K63" s="119"/>
      <c r="L63" s="119"/>
      <c r="M63" s="119"/>
      <c r="N63" s="119"/>
      <c r="O63" s="119"/>
      <c r="P63" s="119"/>
      <c r="Q63" s="119"/>
      <c r="R63" s="119"/>
      <c r="S63" s="119"/>
      <c r="T63" s="119"/>
      <c r="U63" s="120"/>
      <c r="W63" s="35" t="str">
        <f>"-- "&amp;C63</f>
        <v>-- 検体検査マスタ投入</v>
      </c>
    </row>
    <row r="64" spans="2:23" ht="18.75" customHeight="1">
      <c r="B64" s="43" t="s">
        <v>159</v>
      </c>
      <c r="C64" s="121" t="s">
        <v>4102</v>
      </c>
      <c r="D64" s="122"/>
      <c r="E64" s="122"/>
      <c r="F64" s="122"/>
      <c r="G64" s="122"/>
      <c r="H64" s="122"/>
      <c r="I64" s="122"/>
      <c r="J64" s="122"/>
      <c r="K64" s="122"/>
      <c r="L64" s="122"/>
      <c r="M64" s="122"/>
      <c r="N64" s="122"/>
      <c r="O64" s="122"/>
      <c r="P64" s="122"/>
      <c r="Q64" s="122"/>
      <c r="R64" s="122"/>
      <c r="S64" s="122"/>
      <c r="T64" s="122"/>
      <c r="U64" s="123"/>
      <c r="W64" s="35" t="str">
        <f>"-- "&amp;C64</f>
        <v>-- 検体検査マスタを検体検査マスタに投入する。</v>
      </c>
    </row>
    <row r="66" spans="2:23" ht="18.75" customHeight="1">
      <c r="C66" s="110" t="s">
        <v>4072</v>
      </c>
      <c r="D66" s="111"/>
      <c r="E66" s="114" t="s">
        <v>177</v>
      </c>
      <c r="F66" s="36"/>
      <c r="G66" s="36"/>
      <c r="H66" s="36"/>
      <c r="I66" s="36"/>
      <c r="J66" s="36"/>
      <c r="K66" s="36"/>
      <c r="L66" s="36"/>
      <c r="M66" s="36"/>
      <c r="N66" s="36"/>
      <c r="O66" s="36"/>
      <c r="P66" s="36"/>
      <c r="Q66" s="36"/>
      <c r="R66" s="110" t="s">
        <v>4072</v>
      </c>
      <c r="S66" s="111"/>
      <c r="T66" s="114" t="str">
        <f>エンティティ一覧!$O$2</f>
        <v>milscm_2023_009</v>
      </c>
    </row>
    <row r="67" spans="2:23" ht="18.75" customHeight="1">
      <c r="C67" s="112"/>
      <c r="D67" s="113"/>
      <c r="E67" s="115"/>
      <c r="F67" s="37"/>
      <c r="G67" s="37"/>
      <c r="H67" s="37"/>
      <c r="I67" s="37"/>
      <c r="J67" s="37"/>
      <c r="K67" s="37"/>
      <c r="L67" s="37"/>
      <c r="M67" s="37"/>
      <c r="N67" s="37"/>
      <c r="O67" s="37"/>
      <c r="P67" s="37"/>
      <c r="Q67" s="37"/>
      <c r="R67" s="112"/>
      <c r="S67" s="113"/>
      <c r="T67" s="115"/>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4103</v>
      </c>
      <c r="D72" s="109"/>
      <c r="W72" s="35" t="str">
        <f>"-- "&amp;B72&amp;" : "&amp;C72</f>
        <v>-- SQL_ID : 21_07</v>
      </c>
    </row>
    <row r="73" spans="2:23" ht="18.75" customHeight="1">
      <c r="B73" s="43" t="s">
        <v>158</v>
      </c>
      <c r="C73" s="118" t="str">
        <f>R76&amp;"投入"</f>
        <v>診療行為マスタ投入</v>
      </c>
      <c r="D73" s="119"/>
      <c r="E73" s="119"/>
      <c r="F73" s="119"/>
      <c r="G73" s="119"/>
      <c r="H73" s="119"/>
      <c r="I73" s="119"/>
      <c r="J73" s="119"/>
      <c r="K73" s="119"/>
      <c r="L73" s="119"/>
      <c r="M73" s="119"/>
      <c r="N73" s="119"/>
      <c r="O73" s="119"/>
      <c r="P73" s="119"/>
      <c r="Q73" s="119"/>
      <c r="R73" s="119"/>
      <c r="S73" s="119"/>
      <c r="T73" s="119"/>
      <c r="U73" s="120"/>
      <c r="W73" s="35" t="str">
        <f>"-- "&amp;C73</f>
        <v>-- 診療行為マスタ投入</v>
      </c>
    </row>
    <row r="74" spans="2:23" ht="18.75" customHeight="1">
      <c r="B74" s="43" t="s">
        <v>159</v>
      </c>
      <c r="C74" s="121" t="s">
        <v>4104</v>
      </c>
      <c r="D74" s="122"/>
      <c r="E74" s="122"/>
      <c r="F74" s="122"/>
      <c r="G74" s="122"/>
      <c r="H74" s="122"/>
      <c r="I74" s="122"/>
      <c r="J74" s="122"/>
      <c r="K74" s="122"/>
      <c r="L74" s="122"/>
      <c r="M74" s="122"/>
      <c r="N74" s="122"/>
      <c r="O74" s="122"/>
      <c r="P74" s="122"/>
      <c r="Q74" s="122"/>
      <c r="R74" s="122"/>
      <c r="S74" s="122"/>
      <c r="T74" s="122"/>
      <c r="U74" s="123"/>
      <c r="W74" s="35" t="str">
        <f>"-- "&amp;C74</f>
        <v>-- 診療行為マスタを診療行為マスタに投入する。</v>
      </c>
    </row>
    <row r="76" spans="2:23" ht="18.75" customHeight="1">
      <c r="C76" s="110" t="s">
        <v>4091</v>
      </c>
      <c r="D76" s="111"/>
      <c r="E76" s="114" t="s">
        <v>177</v>
      </c>
      <c r="F76" s="36"/>
      <c r="G76" s="36"/>
      <c r="H76" s="36"/>
      <c r="I76" s="36"/>
      <c r="J76" s="36"/>
      <c r="K76" s="36"/>
      <c r="L76" s="36"/>
      <c r="M76" s="36"/>
      <c r="N76" s="36"/>
      <c r="O76" s="36"/>
      <c r="P76" s="36"/>
      <c r="Q76" s="36"/>
      <c r="R76" s="110" t="s">
        <v>4091</v>
      </c>
      <c r="S76" s="111"/>
      <c r="T76" s="114" t="str">
        <f>エンティティ一覧!$O$2</f>
        <v>milscm_2023_009</v>
      </c>
    </row>
    <row r="77" spans="2:23" ht="18.75" customHeight="1">
      <c r="C77" s="112"/>
      <c r="D77" s="113"/>
      <c r="E77" s="115"/>
      <c r="F77" s="37"/>
      <c r="G77" s="37"/>
      <c r="H77" s="37"/>
      <c r="I77" s="37"/>
      <c r="J77" s="37"/>
      <c r="K77" s="37"/>
      <c r="L77" s="37"/>
      <c r="M77" s="37"/>
      <c r="N77" s="37"/>
      <c r="O77" s="37"/>
      <c r="P77" s="37"/>
      <c r="Q77" s="37"/>
      <c r="R77" s="112"/>
      <c r="S77" s="113"/>
      <c r="T77" s="115"/>
    </row>
    <row r="80" spans="2:23" ht="18.75" customHeight="1" thickBot="1">
      <c r="B80" s="42"/>
      <c r="C80" s="42"/>
      <c r="D80" s="42"/>
      <c r="E80" s="42"/>
      <c r="F80" s="42"/>
      <c r="G80" s="42"/>
      <c r="H80" s="42"/>
      <c r="I80" s="42"/>
      <c r="J80" s="42"/>
      <c r="K80" s="42"/>
      <c r="L80" s="42"/>
      <c r="M80" s="42"/>
      <c r="N80" s="42"/>
      <c r="O80" s="42"/>
      <c r="P80" s="42"/>
      <c r="Q80" s="42"/>
      <c r="R80" s="42"/>
      <c r="S80" s="42"/>
      <c r="T80" s="42"/>
      <c r="U80" s="42"/>
    </row>
  </sheetData>
  <mergeCells count="50">
    <mergeCell ref="C73:U73"/>
    <mergeCell ref="C74:U74"/>
    <mergeCell ref="C76:D77"/>
    <mergeCell ref="E76:E77"/>
    <mergeCell ref="R76:S77"/>
    <mergeCell ref="T76:T77"/>
    <mergeCell ref="C63:U63"/>
    <mergeCell ref="C64:U64"/>
    <mergeCell ref="C66:D67"/>
    <mergeCell ref="E66:E67"/>
    <mergeCell ref="R66:S67"/>
    <mergeCell ref="T66:T67"/>
    <mergeCell ref="C37:D38"/>
    <mergeCell ref="E37:E38"/>
    <mergeCell ref="C53:U53"/>
    <mergeCell ref="C54:U54"/>
    <mergeCell ref="C56:D57"/>
    <mergeCell ref="E56:E57"/>
    <mergeCell ref="R56:S57"/>
    <mergeCell ref="T56:T57"/>
    <mergeCell ref="C46:D47"/>
    <mergeCell ref="E46:E47"/>
    <mergeCell ref="R46:S47"/>
    <mergeCell ref="T46:T47"/>
    <mergeCell ref="O16:O17"/>
    <mergeCell ref="E25:E26"/>
    <mergeCell ref="T25:T26"/>
    <mergeCell ref="C43:U43"/>
    <mergeCell ref="C44:U44"/>
    <mergeCell ref="C25:D26"/>
    <mergeCell ref="C22:U22"/>
    <mergeCell ref="C23:U23"/>
    <mergeCell ref="R25:S26"/>
    <mergeCell ref="C31:U31"/>
    <mergeCell ref="C32:U32"/>
    <mergeCell ref="C34:D35"/>
    <mergeCell ref="E34:E35"/>
    <mergeCell ref="R34:S35"/>
    <mergeCell ref="T34:T35"/>
    <mergeCell ref="C10:D11"/>
    <mergeCell ref="E10:E11"/>
    <mergeCell ref="C13:D14"/>
    <mergeCell ref="E13:E14"/>
    <mergeCell ref="M16:N17"/>
    <mergeCell ref="C4:U4"/>
    <mergeCell ref="C5:U5"/>
    <mergeCell ref="H7:I8"/>
    <mergeCell ref="J7:J8"/>
    <mergeCell ref="R7:S8"/>
    <mergeCell ref="T7:T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33"/>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3745</v>
      </c>
      <c r="D3" s="92"/>
      <c r="W3" s="35" t="str">
        <f>"-- "&amp;B3&amp;" : "&amp;C3</f>
        <v>-- SQL_ID : 31_A1-02</v>
      </c>
    </row>
    <row r="4" spans="2:23" ht="18.75" customHeight="1">
      <c r="B4" s="43" t="s">
        <v>158</v>
      </c>
      <c r="C4" s="118" t="str">
        <f>R7&amp;"登録"</f>
        <v>ベース_処方データ登録</v>
      </c>
      <c r="D4" s="119"/>
      <c r="E4" s="119"/>
      <c r="F4" s="119"/>
      <c r="G4" s="119"/>
      <c r="H4" s="119"/>
      <c r="I4" s="119"/>
      <c r="J4" s="119"/>
      <c r="K4" s="119"/>
      <c r="L4" s="119"/>
      <c r="M4" s="119"/>
      <c r="N4" s="119"/>
      <c r="O4" s="119"/>
      <c r="P4" s="119"/>
      <c r="Q4" s="119"/>
      <c r="R4" s="119"/>
      <c r="S4" s="119"/>
      <c r="T4" s="119"/>
      <c r="U4" s="120"/>
      <c r="W4" s="35" t="str">
        <f>"-- "&amp;C4</f>
        <v>-- ベース_処方データ登録</v>
      </c>
    </row>
    <row r="5" spans="2:23" ht="18.75" customHeight="1">
      <c r="B5" s="43" t="s">
        <v>159</v>
      </c>
      <c r="C5" s="121" t="str">
        <f>C7&amp;"テーブルから対象患者で絞り込んだ結果を"&amp;R7&amp;"テーブルに格納する。"</f>
        <v>バックアップ_処方データテーブルから対象患者で絞り込んだ結果をベース_処方データテーブルに格納する。</v>
      </c>
      <c r="D5" s="122"/>
      <c r="E5" s="122"/>
      <c r="F5" s="122"/>
      <c r="G5" s="122"/>
      <c r="H5" s="122"/>
      <c r="I5" s="122"/>
      <c r="J5" s="122"/>
      <c r="K5" s="122"/>
      <c r="L5" s="122"/>
      <c r="M5" s="122"/>
      <c r="N5" s="122"/>
      <c r="O5" s="122"/>
      <c r="P5" s="122"/>
      <c r="Q5" s="122"/>
      <c r="R5" s="122"/>
      <c r="S5" s="122"/>
      <c r="T5" s="122"/>
      <c r="U5" s="123"/>
      <c r="W5" s="35" t="str">
        <f>"-- "&amp;C5</f>
        <v>-- バックアップ_処方データテーブルから対象患者で絞り込んだ結果をベース_処方データテーブルに格納する。</v>
      </c>
    </row>
    <row r="7" spans="2:23" ht="18.75" customHeight="1">
      <c r="C7" s="110" t="s">
        <v>3744</v>
      </c>
      <c r="D7" s="111"/>
      <c r="E7" s="114" t="str">
        <f>エンティティ一覧!$O$2</f>
        <v>milscm_2023_009</v>
      </c>
      <c r="H7" s="36"/>
      <c r="I7" s="36"/>
      <c r="J7" s="36"/>
      <c r="K7" s="36"/>
      <c r="L7" s="36"/>
      <c r="M7" s="36"/>
      <c r="N7" s="36"/>
      <c r="O7" s="36"/>
      <c r="P7" s="36"/>
      <c r="Q7" s="36"/>
      <c r="R7" s="110" t="str">
        <f>"ベース"&amp;SUBSTITUTE(C7,"バックアップ","")</f>
        <v>ベース_処方データ</v>
      </c>
      <c r="S7" s="111"/>
      <c r="T7" s="114" t="str">
        <f>エンティティ一覧!$O$2</f>
        <v>milscm_2023_009</v>
      </c>
    </row>
    <row r="8" spans="2:23" ht="18.75" customHeight="1">
      <c r="C8" s="112"/>
      <c r="D8" s="113"/>
      <c r="E8" s="115"/>
      <c r="F8" s="37"/>
      <c r="G8" s="38"/>
      <c r="H8" s="37"/>
      <c r="I8" s="37"/>
      <c r="J8" s="37"/>
      <c r="K8" s="37"/>
      <c r="L8" s="37"/>
      <c r="M8" s="37"/>
      <c r="N8" s="37"/>
      <c r="O8" s="37"/>
      <c r="P8" s="37"/>
      <c r="Q8" s="37"/>
      <c r="R8" s="112"/>
      <c r="S8" s="113"/>
      <c r="T8" s="115"/>
    </row>
    <row r="9" spans="2:23" ht="18.75" customHeight="1">
      <c r="F9" s="39"/>
      <c r="G9" s="40"/>
    </row>
    <row r="10" spans="2:23" ht="18.75" customHeight="1">
      <c r="C10" s="110" t="s">
        <v>3743</v>
      </c>
      <c r="D10" s="111"/>
      <c r="E10" s="114" t="str">
        <f>エンティティ一覧!$O$2</f>
        <v>milscm_2023_009</v>
      </c>
      <c r="G10" s="41"/>
    </row>
    <row r="11" spans="2:23" ht="18.75" customHeight="1">
      <c r="C11" s="112"/>
      <c r="D11" s="113"/>
      <c r="E11" s="115"/>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3747</v>
      </c>
      <c r="D15" s="92"/>
      <c r="W15" s="35" t="str">
        <f>"-- "&amp;B15&amp;" : "&amp;C15</f>
        <v>-- SQL_ID : 31_A1-03</v>
      </c>
    </row>
    <row r="16" spans="2:23" ht="18.75" customHeight="1">
      <c r="B16" s="43" t="s">
        <v>158</v>
      </c>
      <c r="C16" s="118" t="str">
        <f>R19&amp;"登録"</f>
        <v>ベース_診療行為データ登録</v>
      </c>
      <c r="D16" s="119"/>
      <c r="E16" s="119"/>
      <c r="F16" s="119"/>
      <c r="G16" s="119"/>
      <c r="H16" s="119"/>
      <c r="I16" s="119"/>
      <c r="J16" s="119"/>
      <c r="K16" s="119"/>
      <c r="L16" s="119"/>
      <c r="M16" s="119"/>
      <c r="N16" s="119"/>
      <c r="O16" s="119"/>
      <c r="P16" s="119"/>
      <c r="Q16" s="119"/>
      <c r="R16" s="119"/>
      <c r="S16" s="119"/>
      <c r="T16" s="119"/>
      <c r="U16" s="120"/>
      <c r="W16" s="35" t="str">
        <f>"-- "&amp;C16</f>
        <v>-- ベース_診療行為データ登録</v>
      </c>
    </row>
    <row r="17" spans="2:23" ht="18.75" customHeight="1">
      <c r="B17" s="43" t="s">
        <v>159</v>
      </c>
      <c r="C17" s="121" t="str">
        <f>C19&amp;"テーブルから対象患者で絞り込んだ結果を"&amp;R19&amp;"テーブルに格納する。"</f>
        <v>バックアップ_診療行為データテーブルから対象患者で絞り込んだ結果をベース_診療行為データテーブルに格納する。</v>
      </c>
      <c r="D17" s="122"/>
      <c r="E17" s="122"/>
      <c r="F17" s="122"/>
      <c r="G17" s="122"/>
      <c r="H17" s="122"/>
      <c r="I17" s="122"/>
      <c r="J17" s="122"/>
      <c r="K17" s="122"/>
      <c r="L17" s="122"/>
      <c r="M17" s="122"/>
      <c r="N17" s="122"/>
      <c r="O17" s="122"/>
      <c r="P17" s="122"/>
      <c r="Q17" s="122"/>
      <c r="R17" s="122"/>
      <c r="S17" s="122"/>
      <c r="T17" s="122"/>
      <c r="U17" s="123"/>
      <c r="W17" s="35" t="str">
        <f>"-- "&amp;C17</f>
        <v>-- バックアップ_診療行為データテーブルから対象患者で絞り込んだ結果をベース_診療行為データテーブルに格納する。</v>
      </c>
    </row>
    <row r="19" spans="2:23" ht="18.75" customHeight="1">
      <c r="C19" s="110" t="s">
        <v>3746</v>
      </c>
      <c r="D19" s="111"/>
      <c r="E19" s="114" t="str">
        <f>エンティティ一覧!$O$2</f>
        <v>milscm_2023_009</v>
      </c>
      <c r="H19" s="36"/>
      <c r="I19" s="36"/>
      <c r="J19" s="36"/>
      <c r="K19" s="36"/>
      <c r="L19" s="36"/>
      <c r="M19" s="36"/>
      <c r="N19" s="36"/>
      <c r="O19" s="36"/>
      <c r="P19" s="36"/>
      <c r="Q19" s="36"/>
      <c r="R19" s="110" t="str">
        <f>"ベース"&amp;SUBSTITUTE(C19,"バックアップ","")</f>
        <v>ベース_診療行為データ</v>
      </c>
      <c r="S19" s="111"/>
      <c r="T19" s="114" t="str">
        <f>エンティティ一覧!$O$2</f>
        <v>milscm_2023_009</v>
      </c>
    </row>
    <row r="20" spans="2:23" ht="18.75" customHeight="1">
      <c r="C20" s="112"/>
      <c r="D20" s="113"/>
      <c r="E20" s="115"/>
      <c r="F20" s="37"/>
      <c r="G20" s="38"/>
      <c r="H20" s="37"/>
      <c r="I20" s="37"/>
      <c r="J20" s="37"/>
      <c r="K20" s="37"/>
      <c r="L20" s="37"/>
      <c r="M20" s="37"/>
      <c r="N20" s="37"/>
      <c r="O20" s="37"/>
      <c r="P20" s="37"/>
      <c r="Q20" s="37"/>
      <c r="R20" s="112"/>
      <c r="S20" s="113"/>
      <c r="T20" s="115"/>
    </row>
    <row r="21" spans="2:23" ht="18.75" customHeight="1">
      <c r="F21" s="39"/>
      <c r="G21" s="40"/>
    </row>
    <row r="22" spans="2:23" ht="18.75" customHeight="1">
      <c r="C22" s="110" t="s">
        <v>3743</v>
      </c>
      <c r="D22" s="111"/>
      <c r="E22" s="114" t="str">
        <f>エンティティ一覧!$O$2</f>
        <v>milscm_2023_009</v>
      </c>
      <c r="G22" s="41"/>
    </row>
    <row r="23" spans="2:23" ht="18.75" customHeight="1">
      <c r="C23" s="112"/>
      <c r="D23" s="113"/>
      <c r="E23" s="115"/>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3748</v>
      </c>
      <c r="D27" s="92"/>
      <c r="W27" s="35" t="str">
        <f>"-- "&amp;B27&amp;" : "&amp;C27</f>
        <v>-- SQL_ID : 31_A1-06</v>
      </c>
    </row>
    <row r="28" spans="2:23" ht="18.75" customHeight="1">
      <c r="B28" s="43" t="s">
        <v>158</v>
      </c>
      <c r="C28" s="118" t="str">
        <f>R31&amp;"登録"</f>
        <v>ベース_入院退院データ登録</v>
      </c>
      <c r="D28" s="119"/>
      <c r="E28" s="119"/>
      <c r="F28" s="119"/>
      <c r="G28" s="119"/>
      <c r="H28" s="119"/>
      <c r="I28" s="119"/>
      <c r="J28" s="119"/>
      <c r="K28" s="119"/>
      <c r="L28" s="119"/>
      <c r="M28" s="119"/>
      <c r="N28" s="119"/>
      <c r="O28" s="119"/>
      <c r="P28" s="119"/>
      <c r="Q28" s="119"/>
      <c r="R28" s="119"/>
      <c r="S28" s="119"/>
      <c r="T28" s="119"/>
      <c r="U28" s="120"/>
      <c r="W28" s="35" t="str">
        <f>"-- "&amp;C28</f>
        <v>-- ベース_入院退院データ登録</v>
      </c>
    </row>
    <row r="29" spans="2:23" ht="18.75" customHeight="1">
      <c r="B29" s="43" t="s">
        <v>159</v>
      </c>
      <c r="C29" s="121" t="str">
        <f>C31&amp;"テーブルから対象患者で絞り込んだ結果を"&amp;R31&amp;"テーブルに格納する。"</f>
        <v>バックアップ_入院退院データテーブルから対象患者で絞り込んだ結果をベース_入院退院データテーブルに格納する。</v>
      </c>
      <c r="D29" s="122"/>
      <c r="E29" s="122"/>
      <c r="F29" s="122"/>
      <c r="G29" s="122"/>
      <c r="H29" s="122"/>
      <c r="I29" s="122"/>
      <c r="J29" s="122"/>
      <c r="K29" s="122"/>
      <c r="L29" s="122"/>
      <c r="M29" s="122"/>
      <c r="N29" s="122"/>
      <c r="O29" s="122"/>
      <c r="P29" s="122"/>
      <c r="Q29" s="122"/>
      <c r="R29" s="122"/>
      <c r="S29" s="122"/>
      <c r="T29" s="122"/>
      <c r="U29" s="123"/>
      <c r="W29" s="35" t="str">
        <f>"-- "&amp;C29</f>
        <v>-- バックアップ_入院退院データテーブルから対象患者で絞り込んだ結果をベース_入院退院データテーブルに格納する。</v>
      </c>
    </row>
    <row r="31" spans="2:23" ht="18.75" customHeight="1">
      <c r="C31" s="110" t="s">
        <v>3749</v>
      </c>
      <c r="D31" s="111"/>
      <c r="E31" s="114" t="str">
        <f>エンティティ一覧!$O$2</f>
        <v>milscm_2023_009</v>
      </c>
      <c r="H31" s="36"/>
      <c r="I31" s="36"/>
      <c r="J31" s="36"/>
      <c r="K31" s="36"/>
      <c r="L31" s="36"/>
      <c r="M31" s="36"/>
      <c r="N31" s="36"/>
      <c r="O31" s="36"/>
      <c r="P31" s="36"/>
      <c r="Q31" s="36"/>
      <c r="R31" s="110" t="str">
        <f>"ベース"&amp;SUBSTITUTE(C31,"バックアップ","")</f>
        <v>ベース_入院退院データ</v>
      </c>
      <c r="S31" s="111"/>
      <c r="T31" s="114" t="str">
        <f>エンティティ一覧!$O$2</f>
        <v>milscm_2023_009</v>
      </c>
    </row>
    <row r="32" spans="2:23" ht="18.75" customHeight="1">
      <c r="C32" s="112"/>
      <c r="D32" s="113"/>
      <c r="E32" s="115"/>
      <c r="F32" s="37"/>
      <c r="G32" s="38"/>
      <c r="H32" s="37"/>
      <c r="I32" s="37"/>
      <c r="J32" s="37"/>
      <c r="K32" s="37"/>
      <c r="L32" s="37"/>
      <c r="M32" s="37"/>
      <c r="N32" s="37"/>
      <c r="O32" s="37"/>
      <c r="P32" s="37"/>
      <c r="Q32" s="37"/>
      <c r="R32" s="112"/>
      <c r="S32" s="113"/>
      <c r="T32" s="115"/>
    </row>
    <row r="33" spans="2:23" ht="18.75" customHeight="1">
      <c r="F33" s="39"/>
      <c r="G33" s="40"/>
    </row>
    <row r="34" spans="2:23" ht="18.75" customHeight="1">
      <c r="C34" s="110" t="s">
        <v>3743</v>
      </c>
      <c r="D34" s="111"/>
      <c r="E34" s="114" t="str">
        <f>エンティティ一覧!$O$2</f>
        <v>milscm_2023_009</v>
      </c>
      <c r="G34" s="41"/>
    </row>
    <row r="35" spans="2:23" ht="18.75" customHeight="1">
      <c r="C35" s="112"/>
      <c r="D35" s="113"/>
      <c r="E35" s="115"/>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3750</v>
      </c>
      <c r="D39" s="92"/>
      <c r="W39" s="35" t="str">
        <f>"-- "&amp;B39&amp;" : "&amp;C39</f>
        <v>-- SQL_ID : 31_A1-14</v>
      </c>
    </row>
    <row r="40" spans="2:23" ht="18.75" customHeight="1">
      <c r="B40" s="43" t="s">
        <v>158</v>
      </c>
      <c r="C40" s="118" t="str">
        <f>R43&amp;"登録"</f>
        <v>ベース_患者基本データ登録</v>
      </c>
      <c r="D40" s="119"/>
      <c r="E40" s="119"/>
      <c r="F40" s="119"/>
      <c r="G40" s="119"/>
      <c r="H40" s="119"/>
      <c r="I40" s="119"/>
      <c r="J40" s="119"/>
      <c r="K40" s="119"/>
      <c r="L40" s="119"/>
      <c r="M40" s="119"/>
      <c r="N40" s="119"/>
      <c r="O40" s="119"/>
      <c r="P40" s="119"/>
      <c r="Q40" s="119"/>
      <c r="R40" s="119"/>
      <c r="S40" s="119"/>
      <c r="T40" s="119"/>
      <c r="U40" s="120"/>
      <c r="W40" s="35" t="str">
        <f>"-- "&amp;C40</f>
        <v>-- ベース_患者基本データ登録</v>
      </c>
    </row>
    <row r="41" spans="2:23" ht="18.75" customHeight="1">
      <c r="B41" s="43" t="s">
        <v>159</v>
      </c>
      <c r="C41" s="121" t="str">
        <f>C43&amp;"テーブルから対象患者で絞り込んだ結果を"&amp;R43&amp;"テーブルに格納する。"</f>
        <v>バックアップ_患者基本データテーブルから対象患者で絞り込んだ結果をベース_患者基本データテーブルに格納する。</v>
      </c>
      <c r="D41" s="122"/>
      <c r="E41" s="122"/>
      <c r="F41" s="122"/>
      <c r="G41" s="122"/>
      <c r="H41" s="122"/>
      <c r="I41" s="122"/>
      <c r="J41" s="122"/>
      <c r="K41" s="122"/>
      <c r="L41" s="122"/>
      <c r="M41" s="122"/>
      <c r="N41" s="122"/>
      <c r="O41" s="122"/>
      <c r="P41" s="122"/>
      <c r="Q41" s="122"/>
      <c r="R41" s="122"/>
      <c r="S41" s="122"/>
      <c r="T41" s="122"/>
      <c r="U41" s="123"/>
      <c r="W41" s="35" t="str">
        <f>"-- "&amp;C41</f>
        <v>-- バックアップ_患者基本データテーブルから対象患者で絞り込んだ結果をベース_患者基本データテーブルに格納する。</v>
      </c>
    </row>
    <row r="43" spans="2:23" ht="18.75" customHeight="1">
      <c r="C43" s="110" t="s">
        <v>3751</v>
      </c>
      <c r="D43" s="111"/>
      <c r="E43" s="114" t="str">
        <f>エンティティ一覧!$O$2</f>
        <v>milscm_2023_009</v>
      </c>
      <c r="H43" s="36"/>
      <c r="I43" s="36"/>
      <c r="J43" s="36"/>
      <c r="K43" s="36"/>
      <c r="L43" s="36"/>
      <c r="M43" s="36"/>
      <c r="N43" s="36"/>
      <c r="O43" s="36"/>
      <c r="P43" s="36"/>
      <c r="Q43" s="36"/>
      <c r="R43" s="110" t="str">
        <f>"ベース"&amp;SUBSTITUTE(C43,"バックアップ","")</f>
        <v>ベース_患者基本データ</v>
      </c>
      <c r="S43" s="111"/>
      <c r="T43" s="114" t="str">
        <f>エンティティ一覧!$O$2</f>
        <v>milscm_2023_009</v>
      </c>
    </row>
    <row r="44" spans="2:23" ht="18.75" customHeight="1">
      <c r="C44" s="112"/>
      <c r="D44" s="113"/>
      <c r="E44" s="115"/>
      <c r="F44" s="37"/>
      <c r="G44" s="38"/>
      <c r="H44" s="37"/>
      <c r="I44" s="37"/>
      <c r="J44" s="37"/>
      <c r="K44" s="37"/>
      <c r="L44" s="37"/>
      <c r="M44" s="37"/>
      <c r="N44" s="37"/>
      <c r="O44" s="37"/>
      <c r="P44" s="37"/>
      <c r="Q44" s="37"/>
      <c r="R44" s="112"/>
      <c r="S44" s="113"/>
      <c r="T44" s="115"/>
    </row>
    <row r="45" spans="2:23" ht="18.75" customHeight="1">
      <c r="F45" s="39"/>
      <c r="G45" s="40"/>
    </row>
    <row r="46" spans="2:23" ht="18.75" customHeight="1">
      <c r="C46" s="110" t="s">
        <v>3743</v>
      </c>
      <c r="D46" s="111"/>
      <c r="E46" s="114" t="str">
        <f>エンティティ一覧!$O$2</f>
        <v>milscm_2023_009</v>
      </c>
      <c r="G46" s="41"/>
    </row>
    <row r="47" spans="2:23" ht="18.75" customHeight="1">
      <c r="C47" s="112"/>
      <c r="D47" s="113"/>
      <c r="E47" s="115"/>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3753</v>
      </c>
      <c r="D51" s="92"/>
      <c r="W51" s="35" t="str">
        <f>"-- "&amp;B51&amp;" : "&amp;C51</f>
        <v>-- SQL_ID : 31_A6-02</v>
      </c>
    </row>
    <row r="52" spans="2:23" ht="18.75" customHeight="1">
      <c r="B52" s="43" t="s">
        <v>158</v>
      </c>
      <c r="C52" s="118" t="str">
        <f>R55&amp;"登録"</f>
        <v>ベース_MML共通登録</v>
      </c>
      <c r="D52" s="119"/>
      <c r="E52" s="119"/>
      <c r="F52" s="119"/>
      <c r="G52" s="119"/>
      <c r="H52" s="119"/>
      <c r="I52" s="119"/>
      <c r="J52" s="119"/>
      <c r="K52" s="119"/>
      <c r="L52" s="119"/>
      <c r="M52" s="119"/>
      <c r="N52" s="119"/>
      <c r="O52" s="119"/>
      <c r="P52" s="119"/>
      <c r="Q52" s="119"/>
      <c r="R52" s="119"/>
      <c r="S52" s="119"/>
      <c r="T52" s="119"/>
      <c r="U52" s="120"/>
      <c r="W52" s="35" t="str">
        <f>"-- "&amp;C52</f>
        <v>-- ベース_MML共通登録</v>
      </c>
    </row>
    <row r="53" spans="2:23" ht="18.75" customHeight="1">
      <c r="B53" s="43" t="s">
        <v>159</v>
      </c>
      <c r="C53" s="121" t="str">
        <f>C55&amp;"テーブルから対象患者で絞り込んだ結果を"&amp;R55&amp;"テーブルに格納する。"</f>
        <v>バックアップ_MML共通テーブルから対象患者で絞り込んだ結果をベース_MML共通テーブルに格納する。</v>
      </c>
      <c r="D53" s="122"/>
      <c r="E53" s="122"/>
      <c r="F53" s="122"/>
      <c r="G53" s="122"/>
      <c r="H53" s="122"/>
      <c r="I53" s="122"/>
      <c r="J53" s="122"/>
      <c r="K53" s="122"/>
      <c r="L53" s="122"/>
      <c r="M53" s="122"/>
      <c r="N53" s="122"/>
      <c r="O53" s="122"/>
      <c r="P53" s="122"/>
      <c r="Q53" s="122"/>
      <c r="R53" s="122"/>
      <c r="S53" s="122"/>
      <c r="T53" s="122"/>
      <c r="U53" s="123"/>
      <c r="W53" s="35" t="str">
        <f>"-- "&amp;C53</f>
        <v>-- バックアップ_MML共通テーブルから対象患者で絞り込んだ結果をベース_MML共通テーブルに格納する。</v>
      </c>
    </row>
    <row r="55" spans="2:23" ht="18.75" customHeight="1">
      <c r="C55" s="110" t="s">
        <v>3752</v>
      </c>
      <c r="D55" s="111"/>
      <c r="E55" s="114" t="str">
        <f>エンティティ一覧!$O$2</f>
        <v>milscm_2023_009</v>
      </c>
      <c r="H55" s="36"/>
      <c r="I55" s="36"/>
      <c r="J55" s="36"/>
      <c r="K55" s="36"/>
      <c r="L55" s="36"/>
      <c r="M55" s="36"/>
      <c r="N55" s="36"/>
      <c r="O55" s="36"/>
      <c r="P55" s="36"/>
      <c r="Q55" s="36"/>
      <c r="R55" s="110" t="str">
        <f>"ベース"&amp;SUBSTITUTE(C55,"バックアップ","")</f>
        <v>ベース_MML共通</v>
      </c>
      <c r="S55" s="111"/>
      <c r="T55" s="114" t="str">
        <f>エンティティ一覧!$O$2</f>
        <v>milscm_2023_009</v>
      </c>
    </row>
    <row r="56" spans="2:23" ht="18.75" customHeight="1">
      <c r="C56" s="112"/>
      <c r="D56" s="113"/>
      <c r="E56" s="115"/>
      <c r="F56" s="37"/>
      <c r="G56" s="38"/>
      <c r="H56" s="37"/>
      <c r="I56" s="37"/>
      <c r="J56" s="37"/>
      <c r="K56" s="37"/>
      <c r="L56" s="37"/>
      <c r="M56" s="37"/>
      <c r="N56" s="37"/>
      <c r="O56" s="37"/>
      <c r="P56" s="37"/>
      <c r="Q56" s="37"/>
      <c r="R56" s="112"/>
      <c r="S56" s="113"/>
      <c r="T56" s="115"/>
    </row>
    <row r="57" spans="2:23" ht="18.75" customHeight="1">
      <c r="F57" s="39"/>
      <c r="G57" s="40"/>
    </row>
    <row r="58" spans="2:23" ht="18.75" customHeight="1">
      <c r="C58" s="110" t="s">
        <v>3743</v>
      </c>
      <c r="D58" s="111"/>
      <c r="E58" s="114" t="str">
        <f>エンティティ一覧!$O$2</f>
        <v>milscm_2023_009</v>
      </c>
      <c r="G58" s="41"/>
    </row>
    <row r="59" spans="2:23" ht="18.75" customHeight="1">
      <c r="C59" s="112"/>
      <c r="D59" s="113"/>
      <c r="E59" s="115"/>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3755</v>
      </c>
      <c r="D63" s="92"/>
      <c r="W63" s="35" t="str">
        <f>"-- "&amp;B63&amp;" : "&amp;C63</f>
        <v>-- SQL_ID : 31_A6-03</v>
      </c>
    </row>
    <row r="64" spans="2:23" ht="18.75" customHeight="1">
      <c r="B64" s="43" t="s">
        <v>158</v>
      </c>
      <c r="C64" s="118" t="str">
        <f>R67&amp;"登録"</f>
        <v>ベース_MML_診断履歴情報モジュール_本文登録</v>
      </c>
      <c r="D64" s="119"/>
      <c r="E64" s="119"/>
      <c r="F64" s="119"/>
      <c r="G64" s="119"/>
      <c r="H64" s="119"/>
      <c r="I64" s="119"/>
      <c r="J64" s="119"/>
      <c r="K64" s="119"/>
      <c r="L64" s="119"/>
      <c r="M64" s="119"/>
      <c r="N64" s="119"/>
      <c r="O64" s="119"/>
      <c r="P64" s="119"/>
      <c r="Q64" s="119"/>
      <c r="R64" s="119"/>
      <c r="S64" s="119"/>
      <c r="T64" s="119"/>
      <c r="U64" s="120"/>
      <c r="W64" s="35" t="str">
        <f>"-- "&amp;C64</f>
        <v>-- ベース_MML_診断履歴情報モジュール_本文登録</v>
      </c>
    </row>
    <row r="65" spans="2:23" ht="18.75" customHeight="1">
      <c r="B65" s="43" t="s">
        <v>159</v>
      </c>
      <c r="C65" s="121"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22"/>
      <c r="E65" s="122"/>
      <c r="F65" s="122"/>
      <c r="G65" s="122"/>
      <c r="H65" s="122"/>
      <c r="I65" s="122"/>
      <c r="J65" s="122"/>
      <c r="K65" s="122"/>
      <c r="L65" s="122"/>
      <c r="M65" s="122"/>
      <c r="N65" s="122"/>
      <c r="O65" s="122"/>
      <c r="P65" s="122"/>
      <c r="Q65" s="122"/>
      <c r="R65" s="122"/>
      <c r="S65" s="122"/>
      <c r="T65" s="122"/>
      <c r="U65" s="123"/>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10" t="s">
        <v>3754</v>
      </c>
      <c r="D67" s="111"/>
      <c r="E67" s="114" t="str">
        <f>エンティティ一覧!$O$2</f>
        <v>milscm_2023_009</v>
      </c>
      <c r="H67" s="36"/>
      <c r="I67" s="36"/>
      <c r="J67" s="36"/>
      <c r="K67" s="36"/>
      <c r="L67" s="36"/>
      <c r="M67" s="36"/>
      <c r="N67" s="36"/>
      <c r="O67" s="36"/>
      <c r="P67" s="36"/>
      <c r="Q67" s="36"/>
      <c r="R67" s="110" t="str">
        <f>"ベース"&amp;SUBSTITUTE(C67,"バックアップ","")</f>
        <v>ベース_MML_診断履歴情報モジュール_本文</v>
      </c>
      <c r="S67" s="111"/>
      <c r="T67" s="114" t="str">
        <f>エンティティ一覧!$O$2</f>
        <v>milscm_2023_009</v>
      </c>
    </row>
    <row r="68" spans="2:23" ht="18.75" customHeight="1">
      <c r="C68" s="112"/>
      <c r="D68" s="113"/>
      <c r="E68" s="115"/>
      <c r="F68" s="37"/>
      <c r="G68" s="38"/>
      <c r="H68" s="37"/>
      <c r="I68" s="37"/>
      <c r="J68" s="37"/>
      <c r="K68" s="37"/>
      <c r="L68" s="37"/>
      <c r="M68" s="37"/>
      <c r="N68" s="37"/>
      <c r="O68" s="37"/>
      <c r="P68" s="37"/>
      <c r="Q68" s="37"/>
      <c r="R68" s="112"/>
      <c r="S68" s="113"/>
      <c r="T68" s="115"/>
    </row>
    <row r="69" spans="2:23" ht="18.75" customHeight="1">
      <c r="F69" s="39"/>
      <c r="G69" s="40"/>
    </row>
    <row r="70" spans="2:23" ht="18.75" customHeight="1">
      <c r="C70" s="110" t="s">
        <v>3743</v>
      </c>
      <c r="D70" s="111"/>
      <c r="E70" s="114" t="str">
        <f>エンティティ一覧!$O$2</f>
        <v>milscm_2023_009</v>
      </c>
      <c r="G70" s="41"/>
    </row>
    <row r="71" spans="2:23" ht="18.75" customHeight="1">
      <c r="C71" s="112"/>
      <c r="D71" s="113"/>
      <c r="E71" s="115"/>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3756</v>
      </c>
      <c r="D75" s="92"/>
      <c r="W75" s="35" t="str">
        <f>"-- "&amp;B75&amp;" : "&amp;C75</f>
        <v>-- SQL_ID : 31_A6-04</v>
      </c>
    </row>
    <row r="76" spans="2:23" ht="18.75" customHeight="1">
      <c r="B76" s="43" t="s">
        <v>158</v>
      </c>
      <c r="C76" s="118" t="str">
        <f>R79&amp;"登録"</f>
        <v>ベース_MML_診断履歴情報モジュール_病名登録</v>
      </c>
      <c r="D76" s="119"/>
      <c r="E76" s="119"/>
      <c r="F76" s="119"/>
      <c r="G76" s="119"/>
      <c r="H76" s="119"/>
      <c r="I76" s="119"/>
      <c r="J76" s="119"/>
      <c r="K76" s="119"/>
      <c r="L76" s="119"/>
      <c r="M76" s="119"/>
      <c r="N76" s="119"/>
      <c r="O76" s="119"/>
      <c r="P76" s="119"/>
      <c r="Q76" s="119"/>
      <c r="R76" s="119"/>
      <c r="S76" s="119"/>
      <c r="T76" s="119"/>
      <c r="U76" s="120"/>
      <c r="W76" s="35" t="str">
        <f>"-- "&amp;C76</f>
        <v>-- ベース_MML_診断履歴情報モジュール_病名登録</v>
      </c>
    </row>
    <row r="77" spans="2:23" ht="18.75" customHeight="1">
      <c r="B77" s="43" t="s">
        <v>159</v>
      </c>
      <c r="C77" s="121"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22"/>
      <c r="E77" s="122"/>
      <c r="F77" s="122"/>
      <c r="G77" s="122"/>
      <c r="H77" s="122"/>
      <c r="I77" s="122"/>
      <c r="J77" s="122"/>
      <c r="K77" s="122"/>
      <c r="L77" s="122"/>
      <c r="M77" s="122"/>
      <c r="N77" s="122"/>
      <c r="O77" s="122"/>
      <c r="P77" s="122"/>
      <c r="Q77" s="122"/>
      <c r="R77" s="122"/>
      <c r="S77" s="122"/>
      <c r="T77" s="122"/>
      <c r="U77" s="123"/>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10" t="s">
        <v>3757</v>
      </c>
      <c r="D79" s="111"/>
      <c r="E79" s="114" t="str">
        <f>エンティティ一覧!$O$2</f>
        <v>milscm_2023_009</v>
      </c>
      <c r="H79" s="36"/>
      <c r="I79" s="36"/>
      <c r="J79" s="36"/>
      <c r="K79" s="36"/>
      <c r="L79" s="36"/>
      <c r="M79" s="36"/>
      <c r="N79" s="36"/>
      <c r="O79" s="36"/>
      <c r="P79" s="36"/>
      <c r="Q79" s="36"/>
      <c r="R79" s="110" t="str">
        <f>"ベース"&amp;SUBSTITUTE(C79,"バックアップ","")</f>
        <v>ベース_MML_診断履歴情報モジュール_病名</v>
      </c>
      <c r="S79" s="111"/>
      <c r="T79" s="114" t="str">
        <f>エンティティ一覧!$O$2</f>
        <v>milscm_2023_009</v>
      </c>
    </row>
    <row r="80" spans="2:23" ht="18.75" customHeight="1">
      <c r="C80" s="112"/>
      <c r="D80" s="113"/>
      <c r="E80" s="115"/>
      <c r="F80" s="37"/>
      <c r="G80" s="38"/>
      <c r="H80" s="37"/>
      <c r="I80" s="37"/>
      <c r="J80" s="37"/>
      <c r="K80" s="37"/>
      <c r="L80" s="37"/>
      <c r="M80" s="37"/>
      <c r="N80" s="37"/>
      <c r="O80" s="37"/>
      <c r="P80" s="37"/>
      <c r="Q80" s="37"/>
      <c r="R80" s="112"/>
      <c r="S80" s="113"/>
      <c r="T80" s="115"/>
    </row>
    <row r="81" spans="2:23" ht="18.75" customHeight="1">
      <c r="F81" s="39"/>
      <c r="G81" s="40"/>
    </row>
    <row r="82" spans="2:23" ht="18.75" customHeight="1">
      <c r="C82" s="110" t="s">
        <v>3743</v>
      </c>
      <c r="D82" s="111"/>
      <c r="E82" s="114" t="str">
        <f>エンティティ一覧!$O$2</f>
        <v>milscm_2023_009</v>
      </c>
      <c r="G82" s="41"/>
    </row>
    <row r="83" spans="2:23" ht="18.75" customHeight="1">
      <c r="C83" s="112"/>
      <c r="D83" s="113"/>
      <c r="E83" s="115"/>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4004</v>
      </c>
      <c r="D87" s="103"/>
      <c r="W87" s="35" t="str">
        <f>"-- "&amp;B87&amp;" : "&amp;C87</f>
        <v>-- SQL_ID : 31_A6-18</v>
      </c>
    </row>
    <row r="88" spans="2:23" ht="18.75" customHeight="1">
      <c r="B88" s="43" t="s">
        <v>158</v>
      </c>
      <c r="C88" s="118" t="str">
        <f>R91&amp;"登録"</f>
        <v>ベース_MML_検歴情報モジュール_本文登録</v>
      </c>
      <c r="D88" s="119"/>
      <c r="E88" s="119"/>
      <c r="F88" s="119"/>
      <c r="G88" s="119"/>
      <c r="H88" s="119"/>
      <c r="I88" s="119"/>
      <c r="J88" s="119"/>
      <c r="K88" s="119"/>
      <c r="L88" s="119"/>
      <c r="M88" s="119"/>
      <c r="N88" s="119"/>
      <c r="O88" s="119"/>
      <c r="P88" s="119"/>
      <c r="Q88" s="119"/>
      <c r="R88" s="119"/>
      <c r="S88" s="119"/>
      <c r="T88" s="119"/>
      <c r="U88" s="120"/>
      <c r="W88" s="35" t="str">
        <f>"-- "&amp;C88</f>
        <v>-- ベース_MML_検歴情報モジュール_本文登録</v>
      </c>
    </row>
    <row r="89" spans="2:23" ht="18.75" customHeight="1">
      <c r="B89" s="43" t="s">
        <v>159</v>
      </c>
      <c r="C89" s="121" t="str">
        <f>C91&amp;"テーブルから対象患者で絞り込んだ結果を"&amp;R91&amp;"テーブルに格納する。"</f>
        <v>バックアップ_MML_検歴情報モジュール_本文テーブルから対象患者で絞り込んだ結果をベース_MML_検歴情報モジュール_本文テーブルに格納する。</v>
      </c>
      <c r="D89" s="122"/>
      <c r="E89" s="122"/>
      <c r="F89" s="122"/>
      <c r="G89" s="122"/>
      <c r="H89" s="122"/>
      <c r="I89" s="122"/>
      <c r="J89" s="122"/>
      <c r="K89" s="122"/>
      <c r="L89" s="122"/>
      <c r="M89" s="122"/>
      <c r="N89" s="122"/>
      <c r="O89" s="122"/>
      <c r="P89" s="122"/>
      <c r="Q89" s="122"/>
      <c r="R89" s="122"/>
      <c r="S89" s="122"/>
      <c r="T89" s="122"/>
      <c r="U89" s="123"/>
      <c r="W89" s="35" t="str">
        <f>"-- "&amp;C89</f>
        <v>-- バックアップ_MML_検歴情報モジュール_本文テーブルから対象患者で絞り込んだ結果をベース_MML_検歴情報モジュール_本文テーブルに格納する。</v>
      </c>
    </row>
    <row r="91" spans="2:23" ht="18.75" customHeight="1">
      <c r="C91" s="110" t="s">
        <v>4005</v>
      </c>
      <c r="D91" s="111"/>
      <c r="E91" s="114" t="str">
        <f>エンティティ一覧!$O$2</f>
        <v>milscm_2023_009</v>
      </c>
      <c r="H91" s="36"/>
      <c r="I91" s="36"/>
      <c r="J91" s="36"/>
      <c r="K91" s="36"/>
      <c r="L91" s="36"/>
      <c r="M91" s="36"/>
      <c r="N91" s="36"/>
      <c r="O91" s="36"/>
      <c r="P91" s="36"/>
      <c r="Q91" s="36"/>
      <c r="R91" s="110" t="str">
        <f>"ベース"&amp;SUBSTITUTE(C91,"バックアップ","")</f>
        <v>ベース_MML_検歴情報モジュール_本文</v>
      </c>
      <c r="S91" s="111"/>
      <c r="T91" s="114" t="str">
        <f>エンティティ一覧!$O$2</f>
        <v>milscm_2023_009</v>
      </c>
    </row>
    <row r="92" spans="2:23" ht="18.75" customHeight="1">
      <c r="C92" s="112"/>
      <c r="D92" s="113"/>
      <c r="E92" s="115"/>
      <c r="F92" s="37"/>
      <c r="G92" s="38"/>
      <c r="H92" s="37"/>
      <c r="I92" s="37"/>
      <c r="J92" s="37"/>
      <c r="K92" s="37"/>
      <c r="L92" s="37"/>
      <c r="M92" s="37"/>
      <c r="N92" s="37"/>
      <c r="O92" s="37"/>
      <c r="P92" s="37"/>
      <c r="Q92" s="37"/>
      <c r="R92" s="112"/>
      <c r="S92" s="113"/>
      <c r="T92" s="115"/>
    </row>
    <row r="93" spans="2:23" ht="18.75" customHeight="1">
      <c r="F93" s="39"/>
      <c r="G93" s="40"/>
    </row>
    <row r="94" spans="2:23" ht="18.75" customHeight="1">
      <c r="C94" s="110" t="s">
        <v>3743</v>
      </c>
      <c r="D94" s="111"/>
      <c r="E94" s="114" t="str">
        <f>エンティティ一覧!$O$2</f>
        <v>milscm_2023_009</v>
      </c>
      <c r="G94" s="41"/>
    </row>
    <row r="95" spans="2:23" ht="18.75" customHeight="1">
      <c r="C95" s="112"/>
      <c r="D95" s="113"/>
      <c r="E95" s="115"/>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4006</v>
      </c>
      <c r="D99" s="103"/>
      <c r="W99" s="35" t="str">
        <f>"-- "&amp;B99&amp;" : "&amp;C99</f>
        <v>-- SQL_ID : 31_A6-19</v>
      </c>
    </row>
    <row r="100" spans="2:23" ht="18.75" customHeight="1">
      <c r="B100" s="43" t="s">
        <v>158</v>
      </c>
      <c r="C100" s="118" t="str">
        <f>R103&amp;"登録"</f>
        <v>ベース_MML_検歴情報モジュール_報告コメント登録</v>
      </c>
      <c r="D100" s="119"/>
      <c r="E100" s="119"/>
      <c r="F100" s="119"/>
      <c r="G100" s="119"/>
      <c r="H100" s="119"/>
      <c r="I100" s="119"/>
      <c r="J100" s="119"/>
      <c r="K100" s="119"/>
      <c r="L100" s="119"/>
      <c r="M100" s="119"/>
      <c r="N100" s="119"/>
      <c r="O100" s="119"/>
      <c r="P100" s="119"/>
      <c r="Q100" s="119"/>
      <c r="R100" s="119"/>
      <c r="S100" s="119"/>
      <c r="T100" s="119"/>
      <c r="U100" s="120"/>
      <c r="W100" s="35" t="str">
        <f>"-- "&amp;C100</f>
        <v>-- ベース_MML_検歴情報モジュール_報告コメント登録</v>
      </c>
    </row>
    <row r="101" spans="2:23" ht="18.75" customHeight="1">
      <c r="B101" s="43" t="s">
        <v>159</v>
      </c>
      <c r="C101" s="121" t="str">
        <f>C103&amp;"テーブルから対象患者で絞り込んだ結果を"&amp;R103&amp;"テーブルに格納する。"</f>
        <v>バックアップ_MML_検歴情報モジュール_報告コメントテーブルから対象患者で絞り込んだ結果をベース_MML_検歴情報モジュール_報告コメントテーブルに格納する。</v>
      </c>
      <c r="D101" s="122"/>
      <c r="E101" s="122"/>
      <c r="F101" s="122"/>
      <c r="G101" s="122"/>
      <c r="H101" s="122"/>
      <c r="I101" s="122"/>
      <c r="J101" s="122"/>
      <c r="K101" s="122"/>
      <c r="L101" s="122"/>
      <c r="M101" s="122"/>
      <c r="N101" s="122"/>
      <c r="O101" s="122"/>
      <c r="P101" s="122"/>
      <c r="Q101" s="122"/>
      <c r="R101" s="122"/>
      <c r="S101" s="122"/>
      <c r="T101" s="122"/>
      <c r="U101" s="123"/>
      <c r="W101" s="35" t="str">
        <f>"-- "&amp;C101</f>
        <v>-- バックアップ_MML_検歴情報モジュール_報告コメントテーブルから対象患者で絞り込んだ結果をベース_MML_検歴情報モジュール_報告コメントテーブルに格納する。</v>
      </c>
    </row>
    <row r="103" spans="2:23" ht="18.75" customHeight="1">
      <c r="C103" s="110" t="s">
        <v>4007</v>
      </c>
      <c r="D103" s="111"/>
      <c r="E103" s="114" t="str">
        <f>エンティティ一覧!$O$2</f>
        <v>milscm_2023_009</v>
      </c>
      <c r="H103" s="36"/>
      <c r="I103" s="36"/>
      <c r="J103" s="36"/>
      <c r="K103" s="36"/>
      <c r="L103" s="36"/>
      <c r="M103" s="36"/>
      <c r="N103" s="36"/>
      <c r="O103" s="36"/>
      <c r="P103" s="36"/>
      <c r="Q103" s="36"/>
      <c r="R103" s="110" t="str">
        <f>"ベース"&amp;SUBSTITUTE(C103,"バックアップ","")</f>
        <v>ベース_MML_検歴情報モジュール_報告コメント</v>
      </c>
      <c r="S103" s="111"/>
      <c r="T103" s="114" t="str">
        <f>エンティティ一覧!$O$2</f>
        <v>milscm_2023_009</v>
      </c>
    </row>
    <row r="104" spans="2:23" ht="18.75" customHeight="1">
      <c r="C104" s="112"/>
      <c r="D104" s="113"/>
      <c r="E104" s="115"/>
      <c r="F104" s="37"/>
      <c r="G104" s="38"/>
      <c r="H104" s="37"/>
      <c r="I104" s="37"/>
      <c r="J104" s="37"/>
      <c r="K104" s="37"/>
      <c r="L104" s="37"/>
      <c r="M104" s="37"/>
      <c r="N104" s="37"/>
      <c r="O104" s="37"/>
      <c r="P104" s="37"/>
      <c r="Q104" s="37"/>
      <c r="R104" s="112"/>
      <c r="S104" s="113"/>
      <c r="T104" s="115"/>
    </row>
    <row r="105" spans="2:23" ht="18.75" customHeight="1">
      <c r="F105" s="39"/>
      <c r="G105" s="40"/>
    </row>
    <row r="106" spans="2:23" ht="18.75" customHeight="1">
      <c r="C106" s="110" t="s">
        <v>3743</v>
      </c>
      <c r="D106" s="111"/>
      <c r="E106" s="114" t="str">
        <f>エンティティ一覧!$O$2</f>
        <v>milscm_2023_009</v>
      </c>
      <c r="G106" s="41"/>
    </row>
    <row r="107" spans="2:23" ht="18.75" customHeight="1">
      <c r="C107" s="112"/>
      <c r="D107" s="113"/>
      <c r="E107" s="115"/>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4008</v>
      </c>
      <c r="D111" s="103"/>
      <c r="W111" s="35" t="str">
        <f>"-- "&amp;B111&amp;" : "&amp;C111</f>
        <v>-- SQL_ID : 31_A6-20</v>
      </c>
    </row>
    <row r="112" spans="2:23" ht="18.75" customHeight="1">
      <c r="B112" s="43" t="s">
        <v>158</v>
      </c>
      <c r="C112" s="118" t="str">
        <f>R115&amp;"登録"</f>
        <v>ベース_MML_検歴情報モジュール_検体検査結果情報登録</v>
      </c>
      <c r="D112" s="119"/>
      <c r="E112" s="119"/>
      <c r="F112" s="119"/>
      <c r="G112" s="119"/>
      <c r="H112" s="119"/>
      <c r="I112" s="119"/>
      <c r="J112" s="119"/>
      <c r="K112" s="119"/>
      <c r="L112" s="119"/>
      <c r="M112" s="119"/>
      <c r="N112" s="119"/>
      <c r="O112" s="119"/>
      <c r="P112" s="119"/>
      <c r="Q112" s="119"/>
      <c r="R112" s="119"/>
      <c r="S112" s="119"/>
      <c r="T112" s="119"/>
      <c r="U112" s="120"/>
      <c r="W112" s="35" t="str">
        <f>"-- "&amp;C112</f>
        <v>-- ベース_MML_検歴情報モジュール_検体検査結果情報登録</v>
      </c>
    </row>
    <row r="113" spans="2:23" ht="18.75" customHeight="1">
      <c r="B113" s="43" t="s">
        <v>159</v>
      </c>
      <c r="C113" s="121" t="str">
        <f>C115&amp;"テーブルから対象患者で絞り込んだ結果を"&amp;R115&amp;"テーブルに格納する。"</f>
        <v>バックアップ_MML_検歴情報モジュール_検体検査結果情報テーブルから対象患者で絞り込んだ結果をベース_MML_検歴情報モジュール_検体検査結果情報テーブルに格納する。</v>
      </c>
      <c r="D113" s="122"/>
      <c r="E113" s="122"/>
      <c r="F113" s="122"/>
      <c r="G113" s="122"/>
      <c r="H113" s="122"/>
      <c r="I113" s="122"/>
      <c r="J113" s="122"/>
      <c r="K113" s="122"/>
      <c r="L113" s="122"/>
      <c r="M113" s="122"/>
      <c r="N113" s="122"/>
      <c r="O113" s="122"/>
      <c r="P113" s="122"/>
      <c r="Q113" s="122"/>
      <c r="R113" s="122"/>
      <c r="S113" s="122"/>
      <c r="T113" s="122"/>
      <c r="U113" s="123"/>
      <c r="W113" s="35" t="str">
        <f>"-- "&amp;C113</f>
        <v>-- バックアップ_MML_検歴情報モジュール_検体検査結果情報テーブルから対象患者で絞り込んだ結果をベース_MML_検歴情報モジュール_検体検査結果情報テーブルに格納する。</v>
      </c>
    </row>
    <row r="115" spans="2:23" ht="18.75" customHeight="1">
      <c r="C115" s="124" t="s">
        <v>4009</v>
      </c>
      <c r="D115" s="125"/>
      <c r="E115" s="114" t="str">
        <f>エンティティ一覧!$O$2</f>
        <v>milscm_2023_009</v>
      </c>
      <c r="H115" s="36"/>
      <c r="I115" s="36"/>
      <c r="J115" s="36"/>
      <c r="K115" s="36"/>
      <c r="L115" s="36"/>
      <c r="M115" s="36"/>
      <c r="N115" s="36"/>
      <c r="O115" s="36"/>
      <c r="P115" s="36"/>
      <c r="Q115" s="36"/>
      <c r="R115" s="110" t="str">
        <f>"ベース"&amp;SUBSTITUTE(C115,"バックアップ","")</f>
        <v>ベース_MML_検歴情報モジュール_検体検査結果情報</v>
      </c>
      <c r="S115" s="111"/>
      <c r="T115" s="114" t="str">
        <f>エンティティ一覧!$O$2</f>
        <v>milscm_2023_009</v>
      </c>
    </row>
    <row r="116" spans="2:23" ht="18.75" customHeight="1">
      <c r="C116" s="126"/>
      <c r="D116" s="127"/>
      <c r="E116" s="115"/>
      <c r="F116" s="37"/>
      <c r="G116" s="38"/>
      <c r="H116" s="37"/>
      <c r="I116" s="37"/>
      <c r="J116" s="37"/>
      <c r="K116" s="37"/>
      <c r="L116" s="37"/>
      <c r="M116" s="37"/>
      <c r="N116" s="37"/>
      <c r="O116" s="37"/>
      <c r="P116" s="37"/>
      <c r="Q116" s="37"/>
      <c r="R116" s="112"/>
      <c r="S116" s="113"/>
      <c r="T116" s="115"/>
    </row>
    <row r="117" spans="2:23" ht="18.75" customHeight="1">
      <c r="F117" s="39"/>
      <c r="G117" s="40"/>
    </row>
    <row r="118" spans="2:23" ht="18.75" customHeight="1">
      <c r="C118" s="110" t="s">
        <v>3743</v>
      </c>
      <c r="D118" s="111"/>
      <c r="E118" s="114" t="str">
        <f>エンティティ一覧!$O$2</f>
        <v>milscm_2023_009</v>
      </c>
      <c r="G118" s="41"/>
    </row>
    <row r="119" spans="2:23" ht="18.75" customHeight="1">
      <c r="C119" s="112"/>
      <c r="D119" s="113"/>
      <c r="E119" s="115"/>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4010</v>
      </c>
      <c r="D123" s="103"/>
      <c r="W123" s="35" t="str">
        <f>"-- "&amp;B123&amp;" : "&amp;C123</f>
        <v>-- SQL_ID : 31_A6-21</v>
      </c>
    </row>
    <row r="124" spans="2:23" ht="18.75" customHeight="1">
      <c r="B124" s="43" t="s">
        <v>158</v>
      </c>
      <c r="C124" s="118" t="str">
        <f>R127&amp;"登録"</f>
        <v>ベース_MML_検歴情報モジュール_検体コメント登録</v>
      </c>
      <c r="D124" s="119"/>
      <c r="E124" s="119"/>
      <c r="F124" s="119"/>
      <c r="G124" s="119"/>
      <c r="H124" s="119"/>
      <c r="I124" s="119"/>
      <c r="J124" s="119"/>
      <c r="K124" s="119"/>
      <c r="L124" s="119"/>
      <c r="M124" s="119"/>
      <c r="N124" s="119"/>
      <c r="O124" s="119"/>
      <c r="P124" s="119"/>
      <c r="Q124" s="119"/>
      <c r="R124" s="119"/>
      <c r="S124" s="119"/>
      <c r="T124" s="119"/>
      <c r="U124" s="120"/>
      <c r="W124" s="35" t="str">
        <f>"-- "&amp;C124</f>
        <v>-- ベース_MML_検歴情報モジュール_検体コメント登録</v>
      </c>
    </row>
    <row r="125" spans="2:23" ht="18.75" customHeight="1">
      <c r="B125" s="43" t="s">
        <v>159</v>
      </c>
      <c r="C125" s="121" t="str">
        <f>C127&amp;"テーブルから対象患者で絞り込んだ結果を"&amp;R127&amp;"テーブルに格納する。"</f>
        <v>バックアップ_MML_検歴情報モジュール_検体コメントテーブルから対象患者で絞り込んだ結果をベース_MML_検歴情報モジュール_検体コメントテーブルに格納する。</v>
      </c>
      <c r="D125" s="122"/>
      <c r="E125" s="122"/>
      <c r="F125" s="122"/>
      <c r="G125" s="122"/>
      <c r="H125" s="122"/>
      <c r="I125" s="122"/>
      <c r="J125" s="122"/>
      <c r="K125" s="122"/>
      <c r="L125" s="122"/>
      <c r="M125" s="122"/>
      <c r="N125" s="122"/>
      <c r="O125" s="122"/>
      <c r="P125" s="122"/>
      <c r="Q125" s="122"/>
      <c r="R125" s="122"/>
      <c r="S125" s="122"/>
      <c r="T125" s="122"/>
      <c r="U125" s="123"/>
      <c r="W125" s="35" t="str">
        <f>"-- "&amp;C125</f>
        <v>-- バックアップ_MML_検歴情報モジュール_検体コメントテーブルから対象患者で絞り込んだ結果をベース_MML_検歴情報モジュール_検体コメントテーブルに格納する。</v>
      </c>
    </row>
    <row r="127" spans="2:23" ht="18.75" customHeight="1">
      <c r="C127" s="124" t="s">
        <v>4011</v>
      </c>
      <c r="D127" s="125"/>
      <c r="E127" s="114" t="str">
        <f>エンティティ一覧!$O$2</f>
        <v>milscm_2023_009</v>
      </c>
      <c r="H127" s="36"/>
      <c r="I127" s="36"/>
      <c r="J127" s="36"/>
      <c r="K127" s="36"/>
      <c r="L127" s="36"/>
      <c r="M127" s="36"/>
      <c r="N127" s="36"/>
      <c r="O127" s="36"/>
      <c r="P127" s="36"/>
      <c r="Q127" s="36"/>
      <c r="R127" s="110" t="str">
        <f>"ベース"&amp;SUBSTITUTE(C127,"バックアップ","")</f>
        <v>ベース_MML_検歴情報モジュール_検体コメント</v>
      </c>
      <c r="S127" s="111"/>
      <c r="T127" s="114" t="str">
        <f>エンティティ一覧!$O$2</f>
        <v>milscm_2023_009</v>
      </c>
    </row>
    <row r="128" spans="2:23" ht="18.75" customHeight="1">
      <c r="C128" s="126"/>
      <c r="D128" s="127"/>
      <c r="E128" s="115"/>
      <c r="F128" s="37"/>
      <c r="G128" s="38"/>
      <c r="H128" s="37"/>
      <c r="I128" s="37"/>
      <c r="J128" s="37"/>
      <c r="K128" s="37"/>
      <c r="L128" s="37"/>
      <c r="M128" s="37"/>
      <c r="N128" s="37"/>
      <c r="O128" s="37"/>
      <c r="P128" s="37"/>
      <c r="Q128" s="37"/>
      <c r="R128" s="112"/>
      <c r="S128" s="113"/>
      <c r="T128" s="115"/>
    </row>
    <row r="129" spans="2:23" ht="18.75" customHeight="1">
      <c r="F129" s="39"/>
      <c r="G129" s="40"/>
    </row>
    <row r="130" spans="2:23" ht="18.75" customHeight="1">
      <c r="C130" s="110" t="s">
        <v>3743</v>
      </c>
      <c r="D130" s="111"/>
      <c r="E130" s="114" t="str">
        <f>エンティティ一覧!$O$2</f>
        <v>milscm_2023_009</v>
      </c>
      <c r="G130" s="41"/>
    </row>
    <row r="131" spans="2:23" ht="18.75" customHeight="1">
      <c r="C131" s="112"/>
      <c r="D131" s="113"/>
      <c r="E131" s="115"/>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4012</v>
      </c>
      <c r="D135" s="103"/>
      <c r="W135" s="35" t="str">
        <f>"-- "&amp;B135&amp;" : "&amp;C135</f>
        <v>-- SQL_ID : 31_A6-22</v>
      </c>
    </row>
    <row r="136" spans="2:23" ht="18.75" customHeight="1">
      <c r="B136" s="43" t="s">
        <v>158</v>
      </c>
      <c r="C136" s="118" t="str">
        <f>R139&amp;"登録"</f>
        <v>ベース_MML_検歴情報モジュール_検査項目登録</v>
      </c>
      <c r="D136" s="119"/>
      <c r="E136" s="119"/>
      <c r="F136" s="119"/>
      <c r="G136" s="119"/>
      <c r="H136" s="119"/>
      <c r="I136" s="119"/>
      <c r="J136" s="119"/>
      <c r="K136" s="119"/>
      <c r="L136" s="119"/>
      <c r="M136" s="119"/>
      <c r="N136" s="119"/>
      <c r="O136" s="119"/>
      <c r="P136" s="119"/>
      <c r="Q136" s="119"/>
      <c r="R136" s="119"/>
      <c r="S136" s="119"/>
      <c r="T136" s="119"/>
      <c r="U136" s="120"/>
      <c r="W136" s="35" t="str">
        <f>"-- "&amp;C136</f>
        <v>-- ベース_MML_検歴情報モジュール_検査項目登録</v>
      </c>
    </row>
    <row r="137" spans="2:23" ht="18.75" customHeight="1">
      <c r="B137" s="43" t="s">
        <v>159</v>
      </c>
      <c r="C137" s="121" t="str">
        <f>C139&amp;"テーブルから対象患者で絞り込んだ結果を"&amp;R139&amp;"テーブルに格納する。"</f>
        <v>バックアップ_MML_検歴情報モジュール_検査項目テーブルから対象患者で絞り込んだ結果をベース_MML_検歴情報モジュール_検査項目テーブルに格納する。</v>
      </c>
      <c r="D137" s="122"/>
      <c r="E137" s="122"/>
      <c r="F137" s="122"/>
      <c r="G137" s="122"/>
      <c r="H137" s="122"/>
      <c r="I137" s="122"/>
      <c r="J137" s="122"/>
      <c r="K137" s="122"/>
      <c r="L137" s="122"/>
      <c r="M137" s="122"/>
      <c r="N137" s="122"/>
      <c r="O137" s="122"/>
      <c r="P137" s="122"/>
      <c r="Q137" s="122"/>
      <c r="R137" s="122"/>
      <c r="S137" s="122"/>
      <c r="T137" s="122"/>
      <c r="U137" s="123"/>
      <c r="W137" s="35" t="str">
        <f>"-- "&amp;C137</f>
        <v>-- バックアップ_MML_検歴情報モジュール_検査項目テーブルから対象患者で絞り込んだ結果をベース_MML_検歴情報モジュール_検査項目テーブルに格納する。</v>
      </c>
    </row>
    <row r="139" spans="2:23" ht="18.75" customHeight="1">
      <c r="C139" s="124" t="s">
        <v>4013</v>
      </c>
      <c r="D139" s="125"/>
      <c r="E139" s="114" t="str">
        <f>エンティティ一覧!$O$2</f>
        <v>milscm_2023_009</v>
      </c>
      <c r="H139" s="36"/>
      <c r="I139" s="36"/>
      <c r="J139" s="36"/>
      <c r="K139" s="36"/>
      <c r="L139" s="36"/>
      <c r="M139" s="36"/>
      <c r="N139" s="36"/>
      <c r="O139" s="36"/>
      <c r="P139" s="36"/>
      <c r="Q139" s="36"/>
      <c r="R139" s="110" t="str">
        <f>"ベース"&amp;SUBSTITUTE(C139,"バックアップ","")</f>
        <v>ベース_MML_検歴情報モジュール_検査項目</v>
      </c>
      <c r="S139" s="111"/>
      <c r="T139" s="114" t="str">
        <f>エンティティ一覧!$O$2</f>
        <v>milscm_2023_009</v>
      </c>
    </row>
    <row r="140" spans="2:23" ht="18.75" customHeight="1">
      <c r="C140" s="126"/>
      <c r="D140" s="127"/>
      <c r="E140" s="115"/>
      <c r="F140" s="37"/>
      <c r="G140" s="38"/>
      <c r="H140" s="37"/>
      <c r="I140" s="37"/>
      <c r="J140" s="37"/>
      <c r="K140" s="37"/>
      <c r="L140" s="37"/>
      <c r="M140" s="37"/>
      <c r="N140" s="37"/>
      <c r="O140" s="37"/>
      <c r="P140" s="37"/>
      <c r="Q140" s="37"/>
      <c r="R140" s="112"/>
      <c r="S140" s="113"/>
      <c r="T140" s="115"/>
    </row>
    <row r="141" spans="2:23" ht="18.75" customHeight="1">
      <c r="F141" s="39"/>
      <c r="G141" s="40"/>
    </row>
    <row r="142" spans="2:23" ht="18.75" customHeight="1">
      <c r="C142" s="110" t="s">
        <v>3743</v>
      </c>
      <c r="D142" s="111"/>
      <c r="E142" s="114" t="str">
        <f>エンティティ一覧!$O$2</f>
        <v>milscm_2023_009</v>
      </c>
      <c r="G142" s="41"/>
    </row>
    <row r="143" spans="2:23" ht="18.75" customHeight="1">
      <c r="C143" s="112"/>
      <c r="D143" s="113"/>
      <c r="E143" s="115"/>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4014</v>
      </c>
      <c r="D147" s="103"/>
      <c r="W147" s="35" t="str">
        <f>"-- "&amp;B147&amp;" : "&amp;C147</f>
        <v>-- SQL_ID : 31_A6-23</v>
      </c>
    </row>
    <row r="148" spans="2:23" ht="18.75" customHeight="1">
      <c r="B148" s="43" t="s">
        <v>158</v>
      </c>
      <c r="C148" s="118" t="str">
        <f>R151&amp;"登録"</f>
        <v>ベース_MML_検歴情報モジュール_検査項目コメント登録</v>
      </c>
      <c r="D148" s="119"/>
      <c r="E148" s="119"/>
      <c r="F148" s="119"/>
      <c r="G148" s="119"/>
      <c r="H148" s="119"/>
      <c r="I148" s="119"/>
      <c r="J148" s="119"/>
      <c r="K148" s="119"/>
      <c r="L148" s="119"/>
      <c r="M148" s="119"/>
      <c r="N148" s="119"/>
      <c r="O148" s="119"/>
      <c r="P148" s="119"/>
      <c r="Q148" s="119"/>
      <c r="R148" s="119"/>
      <c r="S148" s="119"/>
      <c r="T148" s="119"/>
      <c r="U148" s="120"/>
      <c r="W148" s="35" t="str">
        <f>"-- "&amp;C148</f>
        <v>-- ベース_MML_検歴情報モジュール_検査項目コメント登録</v>
      </c>
    </row>
    <row r="149" spans="2:23" ht="18.75" customHeight="1">
      <c r="B149" s="43" t="s">
        <v>159</v>
      </c>
      <c r="C149" s="121" t="str">
        <f>C151&amp;"テーブルから対象患者で絞り込んだ結果を"&amp;R151&amp;"テーブルに格納する。"</f>
        <v>バックアップ_MML_検歴情報モジュール_検査項目コメントテーブルから対象患者で絞り込んだ結果をベース_MML_検歴情報モジュール_検査項目コメントテーブルに格納する。</v>
      </c>
      <c r="D149" s="122"/>
      <c r="E149" s="122"/>
      <c r="F149" s="122"/>
      <c r="G149" s="122"/>
      <c r="H149" s="122"/>
      <c r="I149" s="122"/>
      <c r="J149" s="122"/>
      <c r="K149" s="122"/>
      <c r="L149" s="122"/>
      <c r="M149" s="122"/>
      <c r="N149" s="122"/>
      <c r="O149" s="122"/>
      <c r="P149" s="122"/>
      <c r="Q149" s="122"/>
      <c r="R149" s="122"/>
      <c r="S149" s="122"/>
      <c r="T149" s="122"/>
      <c r="U149" s="123"/>
      <c r="W149" s="35" t="str">
        <f>"-- "&amp;C149</f>
        <v>-- バックアップ_MML_検歴情報モジュール_検査項目コメントテーブルから対象患者で絞り込んだ結果をベース_MML_検歴情報モジュール_検査項目コメントテーブルに格納する。</v>
      </c>
    </row>
    <row r="151" spans="2:23" ht="18.75" customHeight="1">
      <c r="C151" s="124" t="s">
        <v>4015</v>
      </c>
      <c r="D151" s="125"/>
      <c r="E151" s="114" t="str">
        <f>エンティティ一覧!$O$2</f>
        <v>milscm_2023_009</v>
      </c>
      <c r="H151" s="36"/>
      <c r="I151" s="36"/>
      <c r="J151" s="36"/>
      <c r="K151" s="36"/>
      <c r="L151" s="36"/>
      <c r="M151" s="36"/>
      <c r="N151" s="36"/>
      <c r="O151" s="36"/>
      <c r="P151" s="36"/>
      <c r="Q151" s="36"/>
      <c r="R151" s="110" t="str">
        <f>"ベース"&amp;SUBSTITUTE(C151,"バックアップ","")</f>
        <v>ベース_MML_検歴情報モジュール_検査項目コメント</v>
      </c>
      <c r="S151" s="111"/>
      <c r="T151" s="114" t="str">
        <f>エンティティ一覧!$O$2</f>
        <v>milscm_2023_009</v>
      </c>
    </row>
    <row r="152" spans="2:23" ht="18.75" customHeight="1">
      <c r="C152" s="126"/>
      <c r="D152" s="127"/>
      <c r="E152" s="115"/>
      <c r="F152" s="37"/>
      <c r="G152" s="38"/>
      <c r="H152" s="37"/>
      <c r="I152" s="37"/>
      <c r="J152" s="37"/>
      <c r="K152" s="37"/>
      <c r="L152" s="37"/>
      <c r="M152" s="37"/>
      <c r="N152" s="37"/>
      <c r="O152" s="37"/>
      <c r="P152" s="37"/>
      <c r="Q152" s="37"/>
      <c r="R152" s="112"/>
      <c r="S152" s="113"/>
      <c r="T152" s="115"/>
    </row>
    <row r="153" spans="2:23" ht="18.75" customHeight="1">
      <c r="F153" s="39"/>
      <c r="G153" s="40"/>
    </row>
    <row r="154" spans="2:23" ht="18.75" customHeight="1">
      <c r="C154" s="110" t="s">
        <v>3743</v>
      </c>
      <c r="D154" s="111"/>
      <c r="E154" s="114" t="str">
        <f>エンティティ一覧!$O$2</f>
        <v>milscm_2023_009</v>
      </c>
      <c r="G154" s="41"/>
    </row>
    <row r="155" spans="2:23" ht="18.75" customHeight="1">
      <c r="C155" s="112"/>
      <c r="D155" s="113"/>
      <c r="E155" s="115"/>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3758</v>
      </c>
      <c r="D159" s="92"/>
      <c r="W159" s="35" t="str">
        <f>"-- "&amp;B159&amp;" : "&amp;C159</f>
        <v>-- SQL_ID : 31_A6-24</v>
      </c>
    </row>
    <row r="160" spans="2:23" ht="18.75" customHeight="1">
      <c r="B160" s="43" t="s">
        <v>158</v>
      </c>
      <c r="C160" s="118" t="str">
        <f>R163&amp;"登録"</f>
        <v>ベース_MML_処方箋モジュール_本文登録</v>
      </c>
      <c r="D160" s="119"/>
      <c r="E160" s="119"/>
      <c r="F160" s="119"/>
      <c r="G160" s="119"/>
      <c r="H160" s="119"/>
      <c r="I160" s="119"/>
      <c r="J160" s="119"/>
      <c r="K160" s="119"/>
      <c r="L160" s="119"/>
      <c r="M160" s="119"/>
      <c r="N160" s="119"/>
      <c r="O160" s="119"/>
      <c r="P160" s="119"/>
      <c r="Q160" s="119"/>
      <c r="R160" s="119"/>
      <c r="S160" s="119"/>
      <c r="T160" s="119"/>
      <c r="U160" s="120"/>
      <c r="W160" s="35" t="str">
        <f>"-- "&amp;C160</f>
        <v>-- ベース_MML_処方箋モジュール_本文登録</v>
      </c>
    </row>
    <row r="161" spans="2:23" ht="18.75" customHeight="1">
      <c r="B161" s="43" t="s">
        <v>159</v>
      </c>
      <c r="C161" s="121" t="str">
        <f>C163&amp;"テーブルから対象患者で絞り込んだ結果を"&amp;R163&amp;"テーブルに格納する。"</f>
        <v>バックアップ_MML_処方箋モジュール_本文テーブルから対象患者で絞り込んだ結果をベース_MML_処方箋モジュール_本文テーブルに格納する。</v>
      </c>
      <c r="D161" s="122"/>
      <c r="E161" s="122"/>
      <c r="F161" s="122"/>
      <c r="G161" s="122"/>
      <c r="H161" s="122"/>
      <c r="I161" s="122"/>
      <c r="J161" s="122"/>
      <c r="K161" s="122"/>
      <c r="L161" s="122"/>
      <c r="M161" s="122"/>
      <c r="N161" s="122"/>
      <c r="O161" s="122"/>
      <c r="P161" s="122"/>
      <c r="Q161" s="122"/>
      <c r="R161" s="122"/>
      <c r="S161" s="122"/>
      <c r="T161" s="122"/>
      <c r="U161" s="123"/>
      <c r="W161" s="35" t="str">
        <f>"-- "&amp;C161</f>
        <v>-- バックアップ_MML_処方箋モジュール_本文テーブルから対象患者で絞り込んだ結果をベース_MML_処方箋モジュール_本文テーブルに格納する。</v>
      </c>
    </row>
    <row r="163" spans="2:23" ht="18.75" customHeight="1">
      <c r="C163" s="110" t="s">
        <v>3759</v>
      </c>
      <c r="D163" s="111"/>
      <c r="E163" s="114" t="str">
        <f>エンティティ一覧!$O$2</f>
        <v>milscm_2023_009</v>
      </c>
      <c r="H163" s="36"/>
      <c r="I163" s="36"/>
      <c r="J163" s="36"/>
      <c r="K163" s="36"/>
      <c r="L163" s="36"/>
      <c r="M163" s="36"/>
      <c r="N163" s="36"/>
      <c r="O163" s="36"/>
      <c r="P163" s="36"/>
      <c r="Q163" s="36"/>
      <c r="R163" s="110" t="str">
        <f>"ベース"&amp;SUBSTITUTE(C163,"バックアップ","")</f>
        <v>ベース_MML_処方箋モジュール_本文</v>
      </c>
      <c r="S163" s="111"/>
      <c r="T163" s="114" t="str">
        <f>エンティティ一覧!$O$2</f>
        <v>milscm_2023_009</v>
      </c>
    </row>
    <row r="164" spans="2:23" ht="18.75" customHeight="1">
      <c r="C164" s="112"/>
      <c r="D164" s="113"/>
      <c r="E164" s="115"/>
      <c r="F164" s="37"/>
      <c r="G164" s="38"/>
      <c r="H164" s="37"/>
      <c r="I164" s="37"/>
      <c r="J164" s="37"/>
      <c r="K164" s="37"/>
      <c r="L164" s="37"/>
      <c r="M164" s="37"/>
      <c r="N164" s="37"/>
      <c r="O164" s="37"/>
      <c r="P164" s="37"/>
      <c r="Q164" s="37"/>
      <c r="R164" s="112"/>
      <c r="S164" s="113"/>
      <c r="T164" s="115"/>
    </row>
    <row r="165" spans="2:23" ht="18.75" customHeight="1">
      <c r="F165" s="39"/>
      <c r="G165" s="40"/>
    </row>
    <row r="166" spans="2:23" ht="18.75" customHeight="1">
      <c r="C166" s="110" t="s">
        <v>3743</v>
      </c>
      <c r="D166" s="111"/>
      <c r="E166" s="114" t="str">
        <f>エンティティ一覧!$O$2</f>
        <v>milscm_2023_009</v>
      </c>
      <c r="G166" s="41"/>
    </row>
    <row r="167" spans="2:23" ht="18.75" customHeight="1">
      <c r="C167" s="112"/>
      <c r="D167" s="113"/>
      <c r="E167" s="115"/>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3760</v>
      </c>
      <c r="D171" s="92"/>
      <c r="W171" s="35" t="str">
        <f>"-- "&amp;B171&amp;" : "&amp;C171</f>
        <v>-- SQL_ID : 31_A6-25</v>
      </c>
    </row>
    <row r="172" spans="2:23" ht="18.75" customHeight="1">
      <c r="B172" s="43" t="s">
        <v>158</v>
      </c>
      <c r="C172" s="118" t="str">
        <f>R175&amp;"登録"</f>
        <v>ベース_MML_処方箋モジュール_投薬登録</v>
      </c>
      <c r="D172" s="119"/>
      <c r="E172" s="119"/>
      <c r="F172" s="119"/>
      <c r="G172" s="119"/>
      <c r="H172" s="119"/>
      <c r="I172" s="119"/>
      <c r="J172" s="119"/>
      <c r="K172" s="119"/>
      <c r="L172" s="119"/>
      <c r="M172" s="119"/>
      <c r="N172" s="119"/>
      <c r="O172" s="119"/>
      <c r="P172" s="119"/>
      <c r="Q172" s="119"/>
      <c r="R172" s="119"/>
      <c r="S172" s="119"/>
      <c r="T172" s="119"/>
      <c r="U172" s="120"/>
      <c r="W172" s="35" t="str">
        <f>"-- "&amp;C172</f>
        <v>-- ベース_MML_処方箋モジュール_投薬登録</v>
      </c>
    </row>
    <row r="173" spans="2:23" ht="18.75" customHeight="1">
      <c r="B173" s="43" t="s">
        <v>159</v>
      </c>
      <c r="C173" s="121" t="str">
        <f>C175&amp;"テーブルから対象患者で絞り込んだ結果を"&amp;R175&amp;"テーブルに格納する。"</f>
        <v>バックアップ_MML_処方箋モジュール_投薬テーブルから対象患者で絞り込んだ結果をベース_MML_処方箋モジュール_投薬テーブルに格納する。</v>
      </c>
      <c r="D173" s="122"/>
      <c r="E173" s="122"/>
      <c r="F173" s="122"/>
      <c r="G173" s="122"/>
      <c r="H173" s="122"/>
      <c r="I173" s="122"/>
      <c r="J173" s="122"/>
      <c r="K173" s="122"/>
      <c r="L173" s="122"/>
      <c r="M173" s="122"/>
      <c r="N173" s="122"/>
      <c r="O173" s="122"/>
      <c r="P173" s="122"/>
      <c r="Q173" s="122"/>
      <c r="R173" s="122"/>
      <c r="S173" s="122"/>
      <c r="T173" s="122"/>
      <c r="U173" s="123"/>
      <c r="W173" s="35" t="str">
        <f>"-- "&amp;C173</f>
        <v>-- バックアップ_MML_処方箋モジュール_投薬テーブルから対象患者で絞り込んだ結果をベース_MML_処方箋モジュール_投薬テーブルに格納する。</v>
      </c>
    </row>
    <row r="175" spans="2:23" ht="18.75" customHeight="1">
      <c r="C175" s="110" t="s">
        <v>3761</v>
      </c>
      <c r="D175" s="111"/>
      <c r="E175" s="114" t="str">
        <f>エンティティ一覧!$O$2</f>
        <v>milscm_2023_009</v>
      </c>
      <c r="H175" s="36"/>
      <c r="I175" s="36"/>
      <c r="J175" s="36"/>
      <c r="K175" s="36"/>
      <c r="L175" s="36"/>
      <c r="M175" s="36"/>
      <c r="N175" s="36"/>
      <c r="O175" s="36"/>
      <c r="P175" s="36"/>
      <c r="Q175" s="36"/>
      <c r="R175" s="110" t="str">
        <f>"ベース"&amp;SUBSTITUTE(C175,"バックアップ","")</f>
        <v>ベース_MML_処方箋モジュール_投薬</v>
      </c>
      <c r="S175" s="111"/>
      <c r="T175" s="114" t="str">
        <f>エンティティ一覧!$O$2</f>
        <v>milscm_2023_009</v>
      </c>
    </row>
    <row r="176" spans="2:23" ht="18.75" customHeight="1">
      <c r="C176" s="112"/>
      <c r="D176" s="113"/>
      <c r="E176" s="115"/>
      <c r="F176" s="37"/>
      <c r="G176" s="38"/>
      <c r="H176" s="37"/>
      <c r="I176" s="37"/>
      <c r="J176" s="37"/>
      <c r="K176" s="37"/>
      <c r="L176" s="37"/>
      <c r="M176" s="37"/>
      <c r="N176" s="37"/>
      <c r="O176" s="37"/>
      <c r="P176" s="37"/>
      <c r="Q176" s="37"/>
      <c r="R176" s="112"/>
      <c r="S176" s="113"/>
      <c r="T176" s="115"/>
    </row>
    <row r="177" spans="2:23" ht="18.75" customHeight="1">
      <c r="F177" s="39"/>
      <c r="G177" s="40"/>
    </row>
    <row r="178" spans="2:23" ht="18.75" customHeight="1">
      <c r="C178" s="110" t="s">
        <v>3743</v>
      </c>
      <c r="D178" s="111"/>
      <c r="E178" s="114" t="str">
        <f>エンティティ一覧!$O$2</f>
        <v>milscm_2023_009</v>
      </c>
      <c r="G178" s="41"/>
    </row>
    <row r="179" spans="2:23" ht="18.75" customHeight="1">
      <c r="C179" s="112"/>
      <c r="D179" s="113"/>
      <c r="E179" s="115"/>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3762</v>
      </c>
      <c r="D183" s="92"/>
      <c r="W183" s="35" t="str">
        <f>"-- "&amp;B183&amp;" : "&amp;C183</f>
        <v>-- SQL_ID : 31_A6-26</v>
      </c>
    </row>
    <row r="184" spans="2:23" ht="18.75" customHeight="1">
      <c r="B184" s="43" t="s">
        <v>158</v>
      </c>
      <c r="C184" s="118" t="str">
        <f>R187&amp;"登録"</f>
        <v>ベース_MML_処方箋モジュール_薬剤登録</v>
      </c>
      <c r="D184" s="119"/>
      <c r="E184" s="119"/>
      <c r="F184" s="119"/>
      <c r="G184" s="119"/>
      <c r="H184" s="119"/>
      <c r="I184" s="119"/>
      <c r="J184" s="119"/>
      <c r="K184" s="119"/>
      <c r="L184" s="119"/>
      <c r="M184" s="119"/>
      <c r="N184" s="119"/>
      <c r="O184" s="119"/>
      <c r="P184" s="119"/>
      <c r="Q184" s="119"/>
      <c r="R184" s="119"/>
      <c r="S184" s="119"/>
      <c r="T184" s="119"/>
      <c r="U184" s="120"/>
      <c r="W184" s="35" t="str">
        <f>"-- "&amp;C184</f>
        <v>-- ベース_MML_処方箋モジュール_薬剤登録</v>
      </c>
    </row>
    <row r="185" spans="2:23" ht="18.75" customHeight="1">
      <c r="B185" s="43" t="s">
        <v>159</v>
      </c>
      <c r="C185" s="121" t="str">
        <f>C187&amp;"テーブルから対象患者で絞り込んだ結果を"&amp;R187&amp;"テーブルに格納する。"</f>
        <v>バックアップ_MML_処方箋モジュール_薬剤テーブルから対象患者で絞り込んだ結果をベース_MML_処方箋モジュール_薬剤テーブルに格納する。</v>
      </c>
      <c r="D185" s="122"/>
      <c r="E185" s="122"/>
      <c r="F185" s="122"/>
      <c r="G185" s="122"/>
      <c r="H185" s="122"/>
      <c r="I185" s="122"/>
      <c r="J185" s="122"/>
      <c r="K185" s="122"/>
      <c r="L185" s="122"/>
      <c r="M185" s="122"/>
      <c r="N185" s="122"/>
      <c r="O185" s="122"/>
      <c r="P185" s="122"/>
      <c r="Q185" s="122"/>
      <c r="R185" s="122"/>
      <c r="S185" s="122"/>
      <c r="T185" s="122"/>
      <c r="U185" s="123"/>
      <c r="W185" s="35" t="str">
        <f>"-- "&amp;C185</f>
        <v>-- バックアップ_MML_処方箋モジュール_薬剤テーブルから対象患者で絞り込んだ結果をベース_MML_処方箋モジュール_薬剤テーブルに格納する。</v>
      </c>
    </row>
    <row r="187" spans="2:23" ht="18.75" customHeight="1">
      <c r="C187" s="110" t="s">
        <v>3763</v>
      </c>
      <c r="D187" s="111"/>
      <c r="E187" s="114" t="str">
        <f>エンティティ一覧!$O$2</f>
        <v>milscm_2023_009</v>
      </c>
      <c r="H187" s="36"/>
      <c r="I187" s="36"/>
      <c r="J187" s="36"/>
      <c r="K187" s="36"/>
      <c r="L187" s="36"/>
      <c r="M187" s="36"/>
      <c r="N187" s="36"/>
      <c r="O187" s="36"/>
      <c r="P187" s="36"/>
      <c r="Q187" s="36"/>
      <c r="R187" s="110" t="str">
        <f>"ベース"&amp;SUBSTITUTE(C187,"バックアップ","")</f>
        <v>ベース_MML_処方箋モジュール_薬剤</v>
      </c>
      <c r="S187" s="111"/>
      <c r="T187" s="114" t="str">
        <f>エンティティ一覧!$O$2</f>
        <v>milscm_2023_009</v>
      </c>
    </row>
    <row r="188" spans="2:23" ht="18.75" customHeight="1">
      <c r="C188" s="112"/>
      <c r="D188" s="113"/>
      <c r="E188" s="115"/>
      <c r="F188" s="37"/>
      <c r="G188" s="38"/>
      <c r="H188" s="37"/>
      <c r="I188" s="37"/>
      <c r="J188" s="37"/>
      <c r="K188" s="37"/>
      <c r="L188" s="37"/>
      <c r="M188" s="37"/>
      <c r="N188" s="37"/>
      <c r="O188" s="37"/>
      <c r="P188" s="37"/>
      <c r="Q188" s="37"/>
      <c r="R188" s="112"/>
      <c r="S188" s="113"/>
      <c r="T188" s="115"/>
    </row>
    <row r="189" spans="2:23" ht="18.75" customHeight="1">
      <c r="F189" s="39"/>
      <c r="G189" s="40"/>
    </row>
    <row r="190" spans="2:23" ht="18.75" customHeight="1">
      <c r="C190" s="110" t="s">
        <v>3743</v>
      </c>
      <c r="D190" s="111"/>
      <c r="E190" s="114" t="str">
        <f>エンティティ一覧!$O$2</f>
        <v>milscm_2023_009</v>
      </c>
      <c r="G190" s="41"/>
    </row>
    <row r="191" spans="2:23" ht="18.75" customHeight="1">
      <c r="C191" s="112"/>
      <c r="D191" s="113"/>
      <c r="E191" s="115"/>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3738</v>
      </c>
      <c r="D195" s="52"/>
      <c r="W195" s="35" t="str">
        <f>"-- "&amp;B195&amp;" : "&amp;C195</f>
        <v>-- SQL_ID : 31_C1-02</v>
      </c>
    </row>
    <row r="196" spans="2:23" ht="18.75" customHeight="1">
      <c r="B196" s="43" t="s">
        <v>158</v>
      </c>
      <c r="C196" s="118" t="str">
        <f>R199&amp;"登録"</f>
        <v>ベース_DPC調査データ_入院EF統合ファイル登録</v>
      </c>
      <c r="D196" s="119"/>
      <c r="E196" s="119"/>
      <c r="F196" s="119"/>
      <c r="G196" s="119"/>
      <c r="H196" s="119"/>
      <c r="I196" s="119"/>
      <c r="J196" s="119"/>
      <c r="K196" s="119"/>
      <c r="L196" s="119"/>
      <c r="M196" s="119"/>
      <c r="N196" s="119"/>
      <c r="O196" s="119"/>
      <c r="P196" s="119"/>
      <c r="Q196" s="119"/>
      <c r="R196" s="119"/>
      <c r="S196" s="119"/>
      <c r="T196" s="119"/>
      <c r="U196" s="120"/>
      <c r="W196" s="35" t="str">
        <f>"-- "&amp;C196</f>
        <v>-- ベース_DPC調査データ_入院EF統合ファイル登録</v>
      </c>
    </row>
    <row r="197" spans="2:23" ht="18.75" customHeight="1">
      <c r="B197" s="43" t="s">
        <v>159</v>
      </c>
      <c r="C197" s="121" t="str">
        <f>C199&amp;"テーブルから対象患者で絞り込んだ結果を"&amp;R199&amp;"テーブルに格納する。"</f>
        <v>バックアップ_DPC調査データ_入院EF統合ファイルテーブルから対象患者で絞り込んだ結果をベース_DPC調査データ_入院EF統合ファイルテーブルに格納する。</v>
      </c>
      <c r="D197" s="122"/>
      <c r="E197" s="122"/>
      <c r="F197" s="122"/>
      <c r="G197" s="122"/>
      <c r="H197" s="122"/>
      <c r="I197" s="122"/>
      <c r="J197" s="122"/>
      <c r="K197" s="122"/>
      <c r="L197" s="122"/>
      <c r="M197" s="122"/>
      <c r="N197" s="122"/>
      <c r="O197" s="122"/>
      <c r="P197" s="122"/>
      <c r="Q197" s="122"/>
      <c r="R197" s="122"/>
      <c r="S197" s="122"/>
      <c r="T197" s="122"/>
      <c r="U197" s="123"/>
      <c r="W197" s="35" t="str">
        <f>"-- "&amp;C197</f>
        <v>-- バックアップ_DPC調査データ_入院EF統合ファイルテーブルから対象患者で絞り込んだ結果をベース_DPC調査データ_入院EF統合ファイルテーブルに格納する。</v>
      </c>
    </row>
    <row r="199" spans="2:23" ht="18.75" customHeight="1">
      <c r="C199" s="110" t="s">
        <v>182</v>
      </c>
      <c r="D199" s="111"/>
      <c r="E199" s="114" t="str">
        <f>エンティティ一覧!$O$2</f>
        <v>milscm_2023_009</v>
      </c>
      <c r="H199" s="36"/>
      <c r="I199" s="36"/>
      <c r="J199" s="36"/>
      <c r="K199" s="36"/>
      <c r="L199" s="36"/>
      <c r="M199" s="36"/>
      <c r="N199" s="36"/>
      <c r="O199" s="36"/>
      <c r="P199" s="36"/>
      <c r="Q199" s="36"/>
      <c r="R199" s="110" t="str">
        <f>"ベース"&amp;SUBSTITUTE(C199,"バックアップ","")</f>
        <v>ベース_DPC調査データ_入院EF統合ファイル</v>
      </c>
      <c r="S199" s="111"/>
      <c r="T199" s="114" t="str">
        <f>エンティティ一覧!$O$2</f>
        <v>milscm_2023_009</v>
      </c>
    </row>
    <row r="200" spans="2:23" ht="18.75" customHeight="1">
      <c r="C200" s="112"/>
      <c r="D200" s="113"/>
      <c r="E200" s="115"/>
      <c r="F200" s="37"/>
      <c r="G200" s="38"/>
      <c r="H200" s="37"/>
      <c r="I200" s="37"/>
      <c r="J200" s="37"/>
      <c r="K200" s="37"/>
      <c r="L200" s="37"/>
      <c r="M200" s="37"/>
      <c r="N200" s="37"/>
      <c r="O200" s="37"/>
      <c r="P200" s="37"/>
      <c r="Q200" s="37"/>
      <c r="R200" s="112"/>
      <c r="S200" s="113"/>
      <c r="T200" s="115"/>
    </row>
    <row r="201" spans="2:23" ht="18.75" customHeight="1">
      <c r="F201" s="39"/>
      <c r="G201" s="40"/>
    </row>
    <row r="202" spans="2:23" ht="18.75" customHeight="1">
      <c r="C202" s="110" t="s">
        <v>3743</v>
      </c>
      <c r="D202" s="111"/>
      <c r="E202" s="114" t="str">
        <f>エンティティ一覧!$O$2</f>
        <v>milscm_2023_009</v>
      </c>
      <c r="G202" s="41"/>
    </row>
    <row r="203" spans="2:23" ht="18.75" customHeight="1">
      <c r="C203" s="112"/>
      <c r="D203" s="113"/>
      <c r="E203" s="115"/>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3739</v>
      </c>
      <c r="D207" s="52"/>
      <c r="W207" s="35" t="str">
        <f>"-- "&amp;B207&amp;" : "&amp;C207</f>
        <v>-- SQL_ID : 31_C1-03</v>
      </c>
    </row>
    <row r="208" spans="2:23" ht="18.75" customHeight="1">
      <c r="B208" s="43" t="s">
        <v>158</v>
      </c>
      <c r="C208" s="118" t="str">
        <f>R211&amp;"登録"</f>
        <v>ベース_DPC調査データ_外来EF統合ファイル登録</v>
      </c>
      <c r="D208" s="119"/>
      <c r="E208" s="119"/>
      <c r="F208" s="119"/>
      <c r="G208" s="119"/>
      <c r="H208" s="119"/>
      <c r="I208" s="119"/>
      <c r="J208" s="119"/>
      <c r="K208" s="119"/>
      <c r="L208" s="119"/>
      <c r="M208" s="119"/>
      <c r="N208" s="119"/>
      <c r="O208" s="119"/>
      <c r="P208" s="119"/>
      <c r="Q208" s="119"/>
      <c r="R208" s="119"/>
      <c r="S208" s="119"/>
      <c r="T208" s="119"/>
      <c r="U208" s="120"/>
      <c r="W208" s="35" t="str">
        <f>"-- "&amp;C208</f>
        <v>-- ベース_DPC調査データ_外来EF統合ファイル登録</v>
      </c>
    </row>
    <row r="209" spans="2:23" ht="18.75" customHeight="1">
      <c r="B209" s="43" t="s">
        <v>159</v>
      </c>
      <c r="C209" s="121" t="str">
        <f>C211&amp;"テーブルから対象患者で絞り込んだ結果を"&amp;R211&amp;"テーブルに格納する。"</f>
        <v>バックアップ_DPC調査データ_外来EF統合ファイルテーブルから対象患者で絞り込んだ結果をベース_DPC調査データ_外来EF統合ファイルテーブルに格納する。</v>
      </c>
      <c r="D209" s="122"/>
      <c r="E209" s="122"/>
      <c r="F209" s="122"/>
      <c r="G209" s="122"/>
      <c r="H209" s="122"/>
      <c r="I209" s="122"/>
      <c r="J209" s="122"/>
      <c r="K209" s="122"/>
      <c r="L209" s="122"/>
      <c r="M209" s="122"/>
      <c r="N209" s="122"/>
      <c r="O209" s="122"/>
      <c r="P209" s="122"/>
      <c r="Q209" s="122"/>
      <c r="R209" s="122"/>
      <c r="S209" s="122"/>
      <c r="T209" s="122"/>
      <c r="U209" s="123"/>
      <c r="W209" s="35" t="str">
        <f>"-- "&amp;C209</f>
        <v>-- バックアップ_DPC調査データ_外来EF統合ファイルテーブルから対象患者で絞り込んだ結果をベース_DPC調査データ_外来EF統合ファイルテーブルに格納する。</v>
      </c>
    </row>
    <row r="211" spans="2:23" ht="18.75" customHeight="1">
      <c r="C211" s="110" t="s">
        <v>183</v>
      </c>
      <c r="D211" s="111"/>
      <c r="E211" s="114" t="str">
        <f>エンティティ一覧!$O$2</f>
        <v>milscm_2023_009</v>
      </c>
      <c r="H211" s="36"/>
      <c r="I211" s="36"/>
      <c r="J211" s="36"/>
      <c r="K211" s="36"/>
      <c r="L211" s="36"/>
      <c r="M211" s="36"/>
      <c r="N211" s="36"/>
      <c r="O211" s="36"/>
      <c r="P211" s="36"/>
      <c r="Q211" s="36"/>
      <c r="R211" s="110" t="str">
        <f>"ベース"&amp;SUBSTITUTE(C211,"バックアップ","")</f>
        <v>ベース_DPC調査データ_外来EF統合ファイル</v>
      </c>
      <c r="S211" s="111"/>
      <c r="T211" s="114" t="str">
        <f>エンティティ一覧!$O$2</f>
        <v>milscm_2023_009</v>
      </c>
    </row>
    <row r="212" spans="2:23" ht="18.75" customHeight="1">
      <c r="C212" s="112"/>
      <c r="D212" s="113"/>
      <c r="E212" s="115"/>
      <c r="F212" s="37"/>
      <c r="G212" s="38"/>
      <c r="H212" s="37"/>
      <c r="I212" s="37"/>
      <c r="J212" s="37"/>
      <c r="K212" s="37"/>
      <c r="L212" s="37"/>
      <c r="M212" s="37"/>
      <c r="N212" s="37"/>
      <c r="O212" s="37"/>
      <c r="P212" s="37"/>
      <c r="Q212" s="37"/>
      <c r="R212" s="112"/>
      <c r="S212" s="113"/>
      <c r="T212" s="115"/>
    </row>
    <row r="213" spans="2:23" ht="18.75" customHeight="1">
      <c r="F213" s="39"/>
      <c r="G213" s="40"/>
    </row>
    <row r="214" spans="2:23" ht="18.75" customHeight="1">
      <c r="C214" s="110" t="s">
        <v>3743</v>
      </c>
      <c r="D214" s="111"/>
      <c r="E214" s="114" t="str">
        <f>エンティティ一覧!$O$2</f>
        <v>milscm_2023_009</v>
      </c>
      <c r="G214" s="41"/>
    </row>
    <row r="215" spans="2:23" ht="18.75" customHeight="1">
      <c r="C215" s="112"/>
      <c r="D215" s="113"/>
      <c r="E215" s="115"/>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3740</v>
      </c>
      <c r="D219" s="52"/>
      <c r="W219" s="35" t="str">
        <f>"-- "&amp;B219&amp;" : "&amp;C219</f>
        <v>-- SQL_ID : 31_C1-05</v>
      </c>
    </row>
    <row r="220" spans="2:23" ht="18.75" customHeight="1">
      <c r="B220" s="43" t="s">
        <v>158</v>
      </c>
      <c r="C220" s="118" t="str">
        <f>R223&amp;"登録"</f>
        <v>ベース_DPC調査データ_様式1登録</v>
      </c>
      <c r="D220" s="119"/>
      <c r="E220" s="119"/>
      <c r="F220" s="119"/>
      <c r="G220" s="119"/>
      <c r="H220" s="119"/>
      <c r="I220" s="119"/>
      <c r="J220" s="119"/>
      <c r="K220" s="119"/>
      <c r="L220" s="119"/>
      <c r="M220" s="119"/>
      <c r="N220" s="119"/>
      <c r="O220" s="119"/>
      <c r="P220" s="119"/>
      <c r="Q220" s="119"/>
      <c r="R220" s="119"/>
      <c r="S220" s="119"/>
      <c r="T220" s="119"/>
      <c r="U220" s="120"/>
      <c r="W220" s="35" t="str">
        <f>"-- "&amp;C220</f>
        <v>-- ベース_DPC調査データ_様式1登録</v>
      </c>
    </row>
    <row r="221" spans="2:23" ht="18.75" customHeight="1">
      <c r="B221" s="43" t="s">
        <v>159</v>
      </c>
      <c r="C221" s="121" t="str">
        <f>C223&amp;"テーブルから対象患者で絞り込んだ結果を"&amp;R223&amp;"テーブルに格納する。"</f>
        <v>バックアップ_DPC調査データ_様式1テーブルから対象患者で絞り込んだ結果をベース_DPC調査データ_様式1テーブルに格納する。</v>
      </c>
      <c r="D221" s="122"/>
      <c r="E221" s="122"/>
      <c r="F221" s="122"/>
      <c r="G221" s="122"/>
      <c r="H221" s="122"/>
      <c r="I221" s="122"/>
      <c r="J221" s="122"/>
      <c r="K221" s="122"/>
      <c r="L221" s="122"/>
      <c r="M221" s="122"/>
      <c r="N221" s="122"/>
      <c r="O221" s="122"/>
      <c r="P221" s="122"/>
      <c r="Q221" s="122"/>
      <c r="R221" s="122"/>
      <c r="S221" s="122"/>
      <c r="T221" s="122"/>
      <c r="U221" s="123"/>
      <c r="W221" s="35" t="str">
        <f>"-- "&amp;C221</f>
        <v>-- バックアップ_DPC調査データ_様式1テーブルから対象患者で絞り込んだ結果をベース_DPC調査データ_様式1テーブルに格納する。</v>
      </c>
    </row>
    <row r="223" spans="2:23" ht="18.75" customHeight="1">
      <c r="C223" s="110" t="s">
        <v>184</v>
      </c>
      <c r="D223" s="111"/>
      <c r="E223" s="114" t="str">
        <f>エンティティ一覧!$O$2</f>
        <v>milscm_2023_009</v>
      </c>
      <c r="H223" s="36"/>
      <c r="I223" s="36"/>
      <c r="J223" s="36"/>
      <c r="K223" s="36"/>
      <c r="L223" s="36"/>
      <c r="M223" s="36"/>
      <c r="N223" s="36"/>
      <c r="O223" s="36"/>
      <c r="P223" s="36"/>
      <c r="Q223" s="36"/>
      <c r="R223" s="110" t="str">
        <f>"ベース"&amp;SUBSTITUTE(C223,"バックアップ","")</f>
        <v>ベース_DPC調査データ_様式1</v>
      </c>
      <c r="S223" s="111"/>
      <c r="T223" s="114" t="str">
        <f>エンティティ一覧!$O$2</f>
        <v>milscm_2023_009</v>
      </c>
    </row>
    <row r="224" spans="2:23" ht="18.75" customHeight="1">
      <c r="C224" s="112"/>
      <c r="D224" s="113"/>
      <c r="E224" s="115"/>
      <c r="F224" s="37"/>
      <c r="G224" s="38"/>
      <c r="H224" s="37"/>
      <c r="I224" s="37"/>
      <c r="J224" s="37"/>
      <c r="K224" s="37"/>
      <c r="L224" s="37"/>
      <c r="M224" s="37"/>
      <c r="N224" s="37"/>
      <c r="O224" s="37"/>
      <c r="P224" s="37"/>
      <c r="Q224" s="37"/>
      <c r="R224" s="112"/>
      <c r="S224" s="113"/>
      <c r="T224" s="115"/>
    </row>
    <row r="225" spans="2:23" ht="18.75" customHeight="1">
      <c r="F225" s="39"/>
      <c r="G225" s="40"/>
    </row>
    <row r="226" spans="2:23" ht="18.75" customHeight="1">
      <c r="C226" s="110" t="s">
        <v>3743</v>
      </c>
      <c r="D226" s="111"/>
      <c r="E226" s="114" t="str">
        <f>エンティティ一覧!$O$2</f>
        <v>milscm_2023_009</v>
      </c>
      <c r="G226" s="41"/>
    </row>
    <row r="227" spans="2:23" ht="18.75" customHeight="1">
      <c r="C227" s="112"/>
      <c r="D227" s="113"/>
      <c r="E227" s="115"/>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3741</v>
      </c>
      <c r="D231" s="52"/>
      <c r="W231" s="35" t="str">
        <f>"-- "&amp;B231&amp;" : "&amp;C231</f>
        <v>-- SQL_ID : 31_C1-07</v>
      </c>
    </row>
    <row r="232" spans="2:23" ht="18.75" customHeight="1">
      <c r="B232" s="43" t="s">
        <v>158</v>
      </c>
      <c r="C232" s="118" t="str">
        <f>R235&amp;"登録"</f>
        <v>ベース_DPC調査データ_様式1_診断情報_併存症登録</v>
      </c>
      <c r="D232" s="119"/>
      <c r="E232" s="119"/>
      <c r="F232" s="119"/>
      <c r="G232" s="119"/>
      <c r="H232" s="119"/>
      <c r="I232" s="119"/>
      <c r="J232" s="119"/>
      <c r="K232" s="119"/>
      <c r="L232" s="119"/>
      <c r="M232" s="119"/>
      <c r="N232" s="119"/>
      <c r="O232" s="119"/>
      <c r="P232" s="119"/>
      <c r="Q232" s="119"/>
      <c r="R232" s="119"/>
      <c r="S232" s="119"/>
      <c r="T232" s="119"/>
      <c r="U232" s="120"/>
      <c r="W232" s="35" t="str">
        <f>"-- "&amp;C232</f>
        <v>-- ベース_DPC調査データ_様式1_診断情報_併存症登録</v>
      </c>
    </row>
    <row r="233" spans="2:23" ht="18.75" customHeight="1">
      <c r="B233" s="43" t="s">
        <v>159</v>
      </c>
      <c r="C233" s="121" t="str">
        <f>C235&amp;"テーブルから対象患者で絞り込んだ結果を"&amp;R235&amp;"テーブルに格納する。"</f>
        <v>バックアップ_DPC調査データ_様式1_診断情報_併存症テーブルから対象患者で絞り込んだ結果をベース_DPC調査データ_様式1_診断情報_併存症テーブルに格納する。</v>
      </c>
      <c r="D233" s="122"/>
      <c r="E233" s="122"/>
      <c r="F233" s="122"/>
      <c r="G233" s="122"/>
      <c r="H233" s="122"/>
      <c r="I233" s="122"/>
      <c r="J233" s="122"/>
      <c r="K233" s="122"/>
      <c r="L233" s="122"/>
      <c r="M233" s="122"/>
      <c r="N233" s="122"/>
      <c r="O233" s="122"/>
      <c r="P233" s="122"/>
      <c r="Q233" s="122"/>
      <c r="R233" s="122"/>
      <c r="S233" s="122"/>
      <c r="T233" s="122"/>
      <c r="U233" s="123"/>
      <c r="W233" s="35" t="str">
        <f>"-- "&amp;C233</f>
        <v>-- バックアップ_DPC調査データ_様式1_診断情報_併存症テーブルから対象患者で絞り込んだ結果をベース_DPC調査データ_様式1_診断情報_併存症テーブルに格納する。</v>
      </c>
    </row>
    <row r="235" spans="2:23" ht="18.75" customHeight="1">
      <c r="C235" s="110" t="s">
        <v>185</v>
      </c>
      <c r="D235" s="111"/>
      <c r="E235" s="114" t="str">
        <f>エンティティ一覧!$O$2</f>
        <v>milscm_2023_009</v>
      </c>
      <c r="H235" s="36"/>
      <c r="I235" s="36"/>
      <c r="J235" s="36"/>
      <c r="K235" s="36"/>
      <c r="L235" s="36"/>
      <c r="M235" s="36"/>
      <c r="N235" s="36"/>
      <c r="O235" s="36"/>
      <c r="P235" s="36"/>
      <c r="Q235" s="36"/>
      <c r="R235" s="110" t="str">
        <f>"ベース"&amp;SUBSTITUTE(C235,"バックアップ","")</f>
        <v>ベース_DPC調査データ_様式1_診断情報_併存症</v>
      </c>
      <c r="S235" s="111"/>
      <c r="T235" s="114" t="str">
        <f>エンティティ一覧!$O$2</f>
        <v>milscm_2023_009</v>
      </c>
    </row>
    <row r="236" spans="2:23" ht="18.75" customHeight="1">
      <c r="C236" s="112"/>
      <c r="D236" s="113"/>
      <c r="E236" s="115"/>
      <c r="F236" s="37"/>
      <c r="G236" s="38"/>
      <c r="H236" s="37"/>
      <c r="I236" s="37"/>
      <c r="J236" s="37"/>
      <c r="K236" s="37"/>
      <c r="L236" s="37"/>
      <c r="M236" s="37"/>
      <c r="N236" s="37"/>
      <c r="O236" s="37"/>
      <c r="P236" s="37"/>
      <c r="Q236" s="37"/>
      <c r="R236" s="112"/>
      <c r="S236" s="113"/>
      <c r="T236" s="115"/>
    </row>
    <row r="237" spans="2:23" ht="18.75" customHeight="1">
      <c r="F237" s="39"/>
      <c r="G237" s="40"/>
    </row>
    <row r="238" spans="2:23" ht="18.75" customHeight="1">
      <c r="C238" s="110" t="s">
        <v>3743</v>
      </c>
      <c r="D238" s="111"/>
      <c r="E238" s="114" t="str">
        <f>エンティティ一覧!$O$2</f>
        <v>milscm_2023_009</v>
      </c>
      <c r="G238" s="41"/>
    </row>
    <row r="239" spans="2:23" ht="18.75" customHeight="1">
      <c r="C239" s="112"/>
      <c r="D239" s="113"/>
      <c r="E239" s="115"/>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3742</v>
      </c>
      <c r="D243" s="52"/>
      <c r="W243" s="35" t="str">
        <f>"-- "&amp;B243&amp;" : "&amp;C243</f>
        <v>-- SQL_ID : 31_C1-08</v>
      </c>
    </row>
    <row r="244" spans="2:23" ht="18.75" customHeight="1">
      <c r="B244" s="43" t="s">
        <v>158</v>
      </c>
      <c r="C244" s="118" t="str">
        <f>R247&amp;"登録"</f>
        <v>ベース_DPC調査データ_様式1_診断情報_続発症登録</v>
      </c>
      <c r="D244" s="119"/>
      <c r="E244" s="119"/>
      <c r="F244" s="119"/>
      <c r="G244" s="119"/>
      <c r="H244" s="119"/>
      <c r="I244" s="119"/>
      <c r="J244" s="119"/>
      <c r="K244" s="119"/>
      <c r="L244" s="119"/>
      <c r="M244" s="119"/>
      <c r="N244" s="119"/>
      <c r="O244" s="119"/>
      <c r="P244" s="119"/>
      <c r="Q244" s="119"/>
      <c r="R244" s="119"/>
      <c r="S244" s="119"/>
      <c r="T244" s="119"/>
      <c r="U244" s="120"/>
      <c r="W244" s="35" t="str">
        <f>"-- "&amp;C244</f>
        <v>-- ベース_DPC調査データ_様式1_診断情報_続発症登録</v>
      </c>
    </row>
    <row r="245" spans="2:23" ht="18.75" customHeight="1">
      <c r="B245" s="43" t="s">
        <v>159</v>
      </c>
      <c r="C245" s="121" t="str">
        <f>C247&amp;"テーブルから対象患者で絞り込んだ結果を"&amp;R247&amp;"テーブルに格納する。"</f>
        <v>バックアップ_DPC調査データ_様式1_診断情報_続発症テーブルから対象患者で絞り込んだ結果をベース_DPC調査データ_様式1_診断情報_続発症テーブルに格納する。</v>
      </c>
      <c r="D245" s="122"/>
      <c r="E245" s="122"/>
      <c r="F245" s="122"/>
      <c r="G245" s="122"/>
      <c r="H245" s="122"/>
      <c r="I245" s="122"/>
      <c r="J245" s="122"/>
      <c r="K245" s="122"/>
      <c r="L245" s="122"/>
      <c r="M245" s="122"/>
      <c r="N245" s="122"/>
      <c r="O245" s="122"/>
      <c r="P245" s="122"/>
      <c r="Q245" s="122"/>
      <c r="R245" s="122"/>
      <c r="S245" s="122"/>
      <c r="T245" s="122"/>
      <c r="U245" s="123"/>
      <c r="W245" s="35" t="str">
        <f>"-- "&amp;C245</f>
        <v>-- バックアップ_DPC調査データ_様式1_診断情報_続発症テーブルから対象患者で絞り込んだ結果をベース_DPC調査データ_様式1_診断情報_続発症テーブルに格納する。</v>
      </c>
    </row>
    <row r="247" spans="2:23" ht="18.75" customHeight="1">
      <c r="C247" s="110" t="s">
        <v>186</v>
      </c>
      <c r="D247" s="111"/>
      <c r="E247" s="114" t="str">
        <f>エンティティ一覧!$O$2</f>
        <v>milscm_2023_009</v>
      </c>
      <c r="H247" s="36"/>
      <c r="I247" s="36"/>
      <c r="J247" s="36"/>
      <c r="K247" s="36"/>
      <c r="L247" s="36"/>
      <c r="M247" s="36"/>
      <c r="N247" s="36"/>
      <c r="O247" s="36"/>
      <c r="P247" s="36"/>
      <c r="Q247" s="36"/>
      <c r="R247" s="110" t="str">
        <f>"ベース"&amp;SUBSTITUTE(C247,"バックアップ","")</f>
        <v>ベース_DPC調査データ_様式1_診断情報_続発症</v>
      </c>
      <c r="S247" s="111"/>
      <c r="T247" s="114" t="str">
        <f>エンティティ一覧!$O$2</f>
        <v>milscm_2023_009</v>
      </c>
    </row>
    <row r="248" spans="2:23" ht="18.75" customHeight="1">
      <c r="C248" s="112"/>
      <c r="D248" s="113"/>
      <c r="E248" s="115"/>
      <c r="F248" s="37"/>
      <c r="G248" s="38"/>
      <c r="H248" s="37"/>
      <c r="I248" s="37"/>
      <c r="J248" s="37"/>
      <c r="K248" s="37"/>
      <c r="L248" s="37"/>
      <c r="M248" s="37"/>
      <c r="N248" s="37"/>
      <c r="O248" s="37"/>
      <c r="P248" s="37"/>
      <c r="Q248" s="37"/>
      <c r="R248" s="112"/>
      <c r="S248" s="113"/>
      <c r="T248" s="115"/>
    </row>
    <row r="249" spans="2:23" ht="18.75" customHeight="1">
      <c r="F249" s="39"/>
      <c r="G249" s="40"/>
    </row>
    <row r="250" spans="2:23" ht="18.75" customHeight="1">
      <c r="C250" s="110" t="s">
        <v>3743</v>
      </c>
      <c r="D250" s="111"/>
      <c r="E250" s="114" t="str">
        <f>エンティティ一覧!$O$2</f>
        <v>milscm_2023_009</v>
      </c>
      <c r="G250" s="41"/>
    </row>
    <row r="251" spans="2:23" ht="18.75" customHeight="1">
      <c r="C251" s="112"/>
      <c r="D251" s="113"/>
      <c r="E251" s="115"/>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3765</v>
      </c>
      <c r="D255" s="92"/>
      <c r="W255" s="35" t="str">
        <f>"-- "&amp;B255&amp;" : "&amp;C255</f>
        <v>-- SQL_ID : 31_C4-03</v>
      </c>
    </row>
    <row r="256" spans="2:23" ht="18.75" customHeight="1">
      <c r="B256" s="43" t="s">
        <v>158</v>
      </c>
      <c r="C256" s="118" t="str">
        <f>R259&amp;"登録"</f>
        <v>ベース_診断履歴情報モジュール_診断履歴情報レコード登録</v>
      </c>
      <c r="D256" s="119"/>
      <c r="E256" s="119"/>
      <c r="F256" s="119"/>
      <c r="G256" s="119"/>
      <c r="H256" s="119"/>
      <c r="I256" s="119"/>
      <c r="J256" s="119"/>
      <c r="K256" s="119"/>
      <c r="L256" s="119"/>
      <c r="M256" s="119"/>
      <c r="N256" s="119"/>
      <c r="O256" s="119"/>
      <c r="P256" s="119"/>
      <c r="Q256" s="119"/>
      <c r="R256" s="119"/>
      <c r="S256" s="119"/>
      <c r="T256" s="119"/>
      <c r="U256" s="120"/>
      <c r="W256" s="35" t="str">
        <f>"-- "&amp;C256</f>
        <v>-- ベース_診断履歴情報モジュール_診断履歴情報レコード登録</v>
      </c>
    </row>
    <row r="257" spans="2:23" ht="18.75" customHeight="1">
      <c r="B257" s="43" t="s">
        <v>159</v>
      </c>
      <c r="C257" s="121" t="str">
        <f>C259&amp;"テーブルから対象患者で絞り込んだ結果を"&amp;R259&amp;"テーブルに格納する。"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57" s="122"/>
      <c r="E257" s="122"/>
      <c r="F257" s="122"/>
      <c r="G257" s="122"/>
      <c r="H257" s="122"/>
      <c r="I257" s="122"/>
      <c r="J257" s="122"/>
      <c r="K257" s="122"/>
      <c r="L257" s="122"/>
      <c r="M257" s="122"/>
      <c r="N257" s="122"/>
      <c r="O257" s="122"/>
      <c r="P257" s="122"/>
      <c r="Q257" s="122"/>
      <c r="R257" s="122"/>
      <c r="S257" s="122"/>
      <c r="T257" s="122"/>
      <c r="U257" s="123"/>
      <c r="W257" s="35" t="str">
        <f>"-- "&amp;C257</f>
        <v>-- バックアップ_診断履歴情報モジュール_診断履歴情報レコードテーブルから対象患者で絞り込んだ結果をベース_診断履歴情報モジュール_診断履歴情報レコードテーブルに格納する。</v>
      </c>
    </row>
    <row r="259" spans="2:23" ht="18.75" customHeight="1">
      <c r="C259" s="128" t="s">
        <v>3766</v>
      </c>
      <c r="D259" s="129"/>
      <c r="E259" s="114" t="str">
        <f>エンティティ一覧!$O$2</f>
        <v>milscm_2023_009</v>
      </c>
      <c r="H259" s="36"/>
      <c r="I259" s="36"/>
      <c r="J259" s="36"/>
      <c r="K259" s="36"/>
      <c r="L259" s="36"/>
      <c r="M259" s="36"/>
      <c r="N259" s="36"/>
      <c r="O259" s="36"/>
      <c r="P259" s="36"/>
      <c r="Q259" s="36"/>
      <c r="R259" s="128" t="str">
        <f>"ベース"&amp;SUBSTITUTE(C259,"バックアップ","")</f>
        <v>ベース_診断履歴情報モジュール_診断履歴情報レコード</v>
      </c>
      <c r="S259" s="129"/>
      <c r="T259" s="114" t="str">
        <f>エンティティ一覧!$O$2</f>
        <v>milscm_2023_009</v>
      </c>
    </row>
    <row r="260" spans="2:23" ht="18.75" customHeight="1">
      <c r="C260" s="130"/>
      <c r="D260" s="131"/>
      <c r="E260" s="115"/>
      <c r="F260" s="37"/>
      <c r="G260" s="38"/>
      <c r="H260" s="37"/>
      <c r="I260" s="37"/>
      <c r="J260" s="37"/>
      <c r="K260" s="37"/>
      <c r="L260" s="37"/>
      <c r="M260" s="37"/>
      <c r="N260" s="37"/>
      <c r="O260" s="37"/>
      <c r="P260" s="37"/>
      <c r="Q260" s="37"/>
      <c r="R260" s="130"/>
      <c r="S260" s="131"/>
      <c r="T260" s="115"/>
    </row>
    <row r="261" spans="2:23" ht="18.75" customHeight="1">
      <c r="F261" s="39"/>
      <c r="G261" s="40"/>
    </row>
    <row r="262" spans="2:23" ht="18.75" customHeight="1">
      <c r="C262" s="110" t="s">
        <v>3743</v>
      </c>
      <c r="D262" s="111"/>
      <c r="E262" s="114" t="str">
        <f>エンティティ一覧!$O$2</f>
        <v>milscm_2023_009</v>
      </c>
      <c r="G262" s="41"/>
    </row>
    <row r="263" spans="2:23" ht="18.75" customHeight="1">
      <c r="C263" s="112"/>
      <c r="D263" s="113"/>
      <c r="E263" s="115"/>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3764</v>
      </c>
      <c r="D267" s="92"/>
      <c r="W267" s="35" t="str">
        <f>"-- "&amp;B267&amp;" : "&amp;C267</f>
        <v>-- SQL_ID : 31_C4-04</v>
      </c>
    </row>
    <row r="268" spans="2:23" ht="18.75" customHeight="1">
      <c r="B268" s="43" t="s">
        <v>158</v>
      </c>
      <c r="C268" s="118" t="str">
        <f>R271&amp;"登録"</f>
        <v>ベース_診断履歴情報モジュール_診断病名レコード登録</v>
      </c>
      <c r="D268" s="119"/>
      <c r="E268" s="119"/>
      <c r="F268" s="119"/>
      <c r="G268" s="119"/>
      <c r="H268" s="119"/>
      <c r="I268" s="119"/>
      <c r="J268" s="119"/>
      <c r="K268" s="119"/>
      <c r="L268" s="119"/>
      <c r="M268" s="119"/>
      <c r="N268" s="119"/>
      <c r="O268" s="119"/>
      <c r="P268" s="119"/>
      <c r="Q268" s="119"/>
      <c r="R268" s="119"/>
      <c r="S268" s="119"/>
      <c r="T268" s="119"/>
      <c r="U268" s="120"/>
      <c r="W268" s="35" t="str">
        <f>"-- "&amp;C268</f>
        <v>-- ベース_診断履歴情報モジュール_診断病名レコード登録</v>
      </c>
    </row>
    <row r="269" spans="2:23" ht="18.75" customHeight="1">
      <c r="B269" s="43" t="s">
        <v>159</v>
      </c>
      <c r="C269" s="121" t="str">
        <f>C271&amp;"テーブルから対象患者で絞り込んだ結果を"&amp;R271&amp;"テーブルに格納する。"</f>
        <v>バックアップ_診断履歴情報モジュール_診断病名レコードテーブルから対象患者で絞り込んだ結果をベース_診断履歴情報モジュール_診断病名レコードテーブルに格納する。</v>
      </c>
      <c r="D269" s="122"/>
      <c r="E269" s="122"/>
      <c r="F269" s="122"/>
      <c r="G269" s="122"/>
      <c r="H269" s="122"/>
      <c r="I269" s="122"/>
      <c r="J269" s="122"/>
      <c r="K269" s="122"/>
      <c r="L269" s="122"/>
      <c r="M269" s="122"/>
      <c r="N269" s="122"/>
      <c r="O269" s="122"/>
      <c r="P269" s="122"/>
      <c r="Q269" s="122"/>
      <c r="R269" s="122"/>
      <c r="S269" s="122"/>
      <c r="T269" s="122"/>
      <c r="U269" s="123"/>
      <c r="W269" s="35" t="str">
        <f>"-- "&amp;C269</f>
        <v>-- バックアップ_診断履歴情報モジュール_診断病名レコードテーブルから対象患者で絞り込んだ結果をベース_診断履歴情報モジュール_診断病名レコードテーブルに格納する。</v>
      </c>
    </row>
    <row r="271" spans="2:23" ht="18.75" customHeight="1">
      <c r="C271" s="128" t="s">
        <v>3767</v>
      </c>
      <c r="D271" s="129"/>
      <c r="E271" s="114" t="str">
        <f>エンティティ一覧!$O$2</f>
        <v>milscm_2023_009</v>
      </c>
      <c r="H271" s="36"/>
      <c r="I271" s="36"/>
      <c r="J271" s="36"/>
      <c r="K271" s="36"/>
      <c r="L271" s="36"/>
      <c r="M271" s="36"/>
      <c r="N271" s="36"/>
      <c r="O271" s="36"/>
      <c r="P271" s="36"/>
      <c r="Q271" s="36"/>
      <c r="R271" s="128" t="str">
        <f>"ベース"&amp;SUBSTITUTE(C271,"バックアップ","")</f>
        <v>ベース_診断履歴情報モジュール_診断病名レコード</v>
      </c>
      <c r="S271" s="129"/>
      <c r="T271" s="114" t="str">
        <f>エンティティ一覧!$O$2</f>
        <v>milscm_2023_009</v>
      </c>
    </row>
    <row r="272" spans="2:23" ht="18.75" customHeight="1">
      <c r="C272" s="130"/>
      <c r="D272" s="131"/>
      <c r="E272" s="115"/>
      <c r="F272" s="37"/>
      <c r="G272" s="38"/>
      <c r="H272" s="37"/>
      <c r="I272" s="37"/>
      <c r="J272" s="37"/>
      <c r="K272" s="37"/>
      <c r="L272" s="37"/>
      <c r="M272" s="37"/>
      <c r="N272" s="37"/>
      <c r="O272" s="37"/>
      <c r="P272" s="37"/>
      <c r="Q272" s="37"/>
      <c r="R272" s="130"/>
      <c r="S272" s="131"/>
      <c r="T272" s="115"/>
    </row>
    <row r="273" spans="2:23" ht="18.75" customHeight="1">
      <c r="F273" s="39"/>
      <c r="G273" s="40"/>
    </row>
    <row r="274" spans="2:23" ht="18.75" customHeight="1">
      <c r="C274" s="110" t="s">
        <v>3743</v>
      </c>
      <c r="D274" s="111"/>
      <c r="E274" s="114" t="str">
        <f>エンティティ一覧!$O$2</f>
        <v>milscm_2023_009</v>
      </c>
      <c r="G274" s="41"/>
    </row>
    <row r="275" spans="2:23" ht="18.75" customHeight="1">
      <c r="C275" s="112"/>
      <c r="D275" s="113"/>
      <c r="E275" s="115"/>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3769</v>
      </c>
      <c r="D279" s="92"/>
      <c r="W279" s="35" t="str">
        <f>"-- "&amp;B279&amp;" : "&amp;C279</f>
        <v>-- SQL_ID : 31_C4-06</v>
      </c>
    </row>
    <row r="280" spans="2:23" ht="18.75" customHeight="1">
      <c r="B280" s="43" t="s">
        <v>158</v>
      </c>
      <c r="C280" s="118" t="str">
        <f>R283&amp;"登録"</f>
        <v>ベース_経過記録情報モジュール_経過記録情報レコード登録</v>
      </c>
      <c r="D280" s="119"/>
      <c r="E280" s="119"/>
      <c r="F280" s="119"/>
      <c r="G280" s="119"/>
      <c r="H280" s="119"/>
      <c r="I280" s="119"/>
      <c r="J280" s="119"/>
      <c r="K280" s="119"/>
      <c r="L280" s="119"/>
      <c r="M280" s="119"/>
      <c r="N280" s="119"/>
      <c r="O280" s="119"/>
      <c r="P280" s="119"/>
      <c r="Q280" s="119"/>
      <c r="R280" s="119"/>
      <c r="S280" s="119"/>
      <c r="T280" s="119"/>
      <c r="U280" s="120"/>
      <c r="W280" s="35" t="str">
        <f>"-- "&amp;C280</f>
        <v>-- ベース_経過記録情報モジュール_経過記録情報レコード登録</v>
      </c>
    </row>
    <row r="281" spans="2:23" ht="18.75" customHeight="1">
      <c r="B281" s="43" t="s">
        <v>159</v>
      </c>
      <c r="C281" s="121" t="str">
        <f>C283&amp;"テーブルから対象患者で絞り込んだ結果を"&amp;R283&amp;"テーブルに格納する。"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81" s="122"/>
      <c r="E281" s="122"/>
      <c r="F281" s="122"/>
      <c r="G281" s="122"/>
      <c r="H281" s="122"/>
      <c r="I281" s="122"/>
      <c r="J281" s="122"/>
      <c r="K281" s="122"/>
      <c r="L281" s="122"/>
      <c r="M281" s="122"/>
      <c r="N281" s="122"/>
      <c r="O281" s="122"/>
      <c r="P281" s="122"/>
      <c r="Q281" s="122"/>
      <c r="R281" s="122"/>
      <c r="S281" s="122"/>
      <c r="T281" s="122"/>
      <c r="U281" s="123"/>
      <c r="W281" s="35" t="str">
        <f>"-- "&amp;C281</f>
        <v>-- バックアップ_経過記録情報モジュール_経過記録情報レコードテーブルから対象患者で絞り込んだ結果をベース_経過記録情報モジュール_経過記録情報レコードテーブルに格納する。</v>
      </c>
    </row>
    <row r="283" spans="2:23" ht="18.75" customHeight="1">
      <c r="C283" s="128" t="s">
        <v>3768</v>
      </c>
      <c r="D283" s="129"/>
      <c r="E283" s="114" t="str">
        <f>エンティティ一覧!$O$2</f>
        <v>milscm_2023_009</v>
      </c>
      <c r="H283" s="36"/>
      <c r="I283" s="36"/>
      <c r="J283" s="36"/>
      <c r="K283" s="36"/>
      <c r="L283" s="36"/>
      <c r="M283" s="36"/>
      <c r="N283" s="36"/>
      <c r="O283" s="36"/>
      <c r="P283" s="36"/>
      <c r="Q283" s="36"/>
      <c r="R283" s="128" t="str">
        <f>"ベース"&amp;SUBSTITUTE(C283,"バックアップ","")</f>
        <v>ベース_経過記録情報モジュール_経過記録情報レコード</v>
      </c>
      <c r="S283" s="129"/>
      <c r="T283" s="114" t="str">
        <f>エンティティ一覧!$O$2</f>
        <v>milscm_2023_009</v>
      </c>
    </row>
    <row r="284" spans="2:23" ht="18.75" customHeight="1">
      <c r="C284" s="130"/>
      <c r="D284" s="131"/>
      <c r="E284" s="115"/>
      <c r="F284" s="37"/>
      <c r="G284" s="38"/>
      <c r="H284" s="37"/>
      <c r="I284" s="37"/>
      <c r="J284" s="37"/>
      <c r="K284" s="37"/>
      <c r="L284" s="37"/>
      <c r="M284" s="37"/>
      <c r="N284" s="37"/>
      <c r="O284" s="37"/>
      <c r="P284" s="37"/>
      <c r="Q284" s="37"/>
      <c r="R284" s="130"/>
      <c r="S284" s="131"/>
      <c r="T284" s="115"/>
    </row>
    <row r="285" spans="2:23" ht="18.75" customHeight="1">
      <c r="F285" s="39"/>
      <c r="G285" s="40"/>
    </row>
    <row r="286" spans="2:23" ht="18.75" customHeight="1">
      <c r="C286" s="110" t="s">
        <v>3743</v>
      </c>
      <c r="D286" s="111"/>
      <c r="E286" s="114" t="str">
        <f>エンティティ一覧!$O$2</f>
        <v>milscm_2023_009</v>
      </c>
      <c r="G286" s="41"/>
    </row>
    <row r="287" spans="2:23" ht="18.75" customHeight="1">
      <c r="C287" s="112"/>
      <c r="D287" s="113"/>
      <c r="E287" s="115"/>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3770</v>
      </c>
      <c r="D291" s="92"/>
      <c r="W291" s="35" t="str">
        <f>"-- "&amp;B291&amp;" : "&amp;C291</f>
        <v>-- SQL_ID : 31_C4-07</v>
      </c>
    </row>
    <row r="292" spans="2:23" ht="18.75" customHeight="1">
      <c r="B292" s="43" t="s">
        <v>158</v>
      </c>
      <c r="C292" s="118" t="str">
        <f>R295&amp;"登録"</f>
        <v>ベース_経過記録情報モジュール_プロブレムレコード登録</v>
      </c>
      <c r="D292" s="119"/>
      <c r="E292" s="119"/>
      <c r="F292" s="119"/>
      <c r="G292" s="119"/>
      <c r="H292" s="119"/>
      <c r="I292" s="119"/>
      <c r="J292" s="119"/>
      <c r="K292" s="119"/>
      <c r="L292" s="119"/>
      <c r="M292" s="119"/>
      <c r="N292" s="119"/>
      <c r="O292" s="119"/>
      <c r="P292" s="119"/>
      <c r="Q292" s="119"/>
      <c r="R292" s="119"/>
      <c r="S292" s="119"/>
      <c r="T292" s="119"/>
      <c r="U292" s="120"/>
      <c r="W292" s="35" t="str">
        <f>"-- "&amp;C292</f>
        <v>-- ベース_経過記録情報モジュール_プロブレムレコード登録</v>
      </c>
    </row>
    <row r="293" spans="2:23" ht="18.75" customHeight="1">
      <c r="B293" s="43" t="s">
        <v>159</v>
      </c>
      <c r="C293" s="121" t="str">
        <f>C295&amp;"テーブルから対象患者で絞り込んだ結果を"&amp;R295&amp;"テーブルに格納する。"</f>
        <v>バックアップ_経過記録情報モジュール_プロブレムレコードテーブルから対象患者で絞り込んだ結果をベース_経過記録情報モジュール_プロブレムレコードテーブルに格納する。</v>
      </c>
      <c r="D293" s="122"/>
      <c r="E293" s="122"/>
      <c r="F293" s="122"/>
      <c r="G293" s="122"/>
      <c r="H293" s="122"/>
      <c r="I293" s="122"/>
      <c r="J293" s="122"/>
      <c r="K293" s="122"/>
      <c r="L293" s="122"/>
      <c r="M293" s="122"/>
      <c r="N293" s="122"/>
      <c r="O293" s="122"/>
      <c r="P293" s="122"/>
      <c r="Q293" s="122"/>
      <c r="R293" s="122"/>
      <c r="S293" s="122"/>
      <c r="T293" s="122"/>
      <c r="U293" s="123"/>
      <c r="W293" s="35" t="str">
        <f>"-- "&amp;C293</f>
        <v>-- バックアップ_経過記録情報モジュール_プロブレムレコードテーブルから対象患者で絞り込んだ結果をベース_経過記録情報モジュール_プロブレムレコードテーブルに格納する。</v>
      </c>
    </row>
    <row r="295" spans="2:23" ht="18.75" customHeight="1">
      <c r="C295" s="128" t="s">
        <v>3771</v>
      </c>
      <c r="D295" s="129"/>
      <c r="E295" s="114" t="str">
        <f>エンティティ一覧!$O$2</f>
        <v>milscm_2023_009</v>
      </c>
      <c r="H295" s="36"/>
      <c r="I295" s="36"/>
      <c r="J295" s="36"/>
      <c r="K295" s="36"/>
      <c r="L295" s="36"/>
      <c r="M295" s="36"/>
      <c r="N295" s="36"/>
      <c r="O295" s="36"/>
      <c r="P295" s="36"/>
      <c r="Q295" s="36"/>
      <c r="R295" s="128" t="str">
        <f>"ベース"&amp;SUBSTITUTE(C295,"バックアップ","")</f>
        <v>ベース_経過記録情報モジュール_プロブレムレコード</v>
      </c>
      <c r="S295" s="129"/>
      <c r="T295" s="114" t="str">
        <f>エンティティ一覧!$O$2</f>
        <v>milscm_2023_009</v>
      </c>
    </row>
    <row r="296" spans="2:23" ht="18.75" customHeight="1">
      <c r="C296" s="130"/>
      <c r="D296" s="131"/>
      <c r="E296" s="115"/>
      <c r="F296" s="37"/>
      <c r="G296" s="38"/>
      <c r="H296" s="37"/>
      <c r="I296" s="37"/>
      <c r="J296" s="37"/>
      <c r="K296" s="37"/>
      <c r="L296" s="37"/>
      <c r="M296" s="37"/>
      <c r="N296" s="37"/>
      <c r="O296" s="37"/>
      <c r="P296" s="37"/>
      <c r="Q296" s="37"/>
      <c r="R296" s="130"/>
      <c r="S296" s="131"/>
      <c r="T296" s="115"/>
    </row>
    <row r="297" spans="2:23" ht="18.75" customHeight="1">
      <c r="F297" s="39"/>
      <c r="G297" s="40"/>
    </row>
    <row r="298" spans="2:23" ht="18.75" customHeight="1">
      <c r="C298" s="110" t="s">
        <v>3743</v>
      </c>
      <c r="D298" s="111"/>
      <c r="E298" s="114" t="str">
        <f>エンティティ一覧!$O$2</f>
        <v>milscm_2023_009</v>
      </c>
      <c r="G298" s="41"/>
    </row>
    <row r="299" spans="2:23" ht="18.75" customHeight="1">
      <c r="C299" s="112"/>
      <c r="D299" s="113"/>
      <c r="E299" s="115"/>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3772</v>
      </c>
      <c r="D303" s="92"/>
      <c r="W303" s="35" t="str">
        <f>"-- "&amp;B303&amp;" : "&amp;C303</f>
        <v>-- SQL_ID : 31_C4-08</v>
      </c>
    </row>
    <row r="304" spans="2:23" ht="18.75" customHeight="1">
      <c r="B304" s="43" t="s">
        <v>158</v>
      </c>
      <c r="C304" s="118" t="str">
        <f>R307&amp;"登録"</f>
        <v>ベース_経過記録情報モジュール_身体所見レコード登録</v>
      </c>
      <c r="D304" s="119"/>
      <c r="E304" s="119"/>
      <c r="F304" s="119"/>
      <c r="G304" s="119"/>
      <c r="H304" s="119"/>
      <c r="I304" s="119"/>
      <c r="J304" s="119"/>
      <c r="K304" s="119"/>
      <c r="L304" s="119"/>
      <c r="M304" s="119"/>
      <c r="N304" s="119"/>
      <c r="O304" s="119"/>
      <c r="P304" s="119"/>
      <c r="Q304" s="119"/>
      <c r="R304" s="119"/>
      <c r="S304" s="119"/>
      <c r="T304" s="119"/>
      <c r="U304" s="120"/>
      <c r="W304" s="35" t="str">
        <f>"-- "&amp;C304</f>
        <v>-- ベース_経過記録情報モジュール_身体所見レコード登録</v>
      </c>
    </row>
    <row r="305" spans="2:23" ht="18.75" customHeight="1">
      <c r="B305" s="43" t="s">
        <v>159</v>
      </c>
      <c r="C305" s="121" t="str">
        <f>C307&amp;"テーブルから対象患者で絞り込んだ結果を"&amp;R307&amp;"テーブルに格納する。"</f>
        <v>バックアップ_経過記録情報モジュール_身体所見レコードテーブルから対象患者で絞り込んだ結果をベース_経過記録情報モジュール_身体所見レコードテーブルに格納する。</v>
      </c>
      <c r="D305" s="122"/>
      <c r="E305" s="122"/>
      <c r="F305" s="122"/>
      <c r="G305" s="122"/>
      <c r="H305" s="122"/>
      <c r="I305" s="122"/>
      <c r="J305" s="122"/>
      <c r="K305" s="122"/>
      <c r="L305" s="122"/>
      <c r="M305" s="122"/>
      <c r="N305" s="122"/>
      <c r="O305" s="122"/>
      <c r="P305" s="122"/>
      <c r="Q305" s="122"/>
      <c r="R305" s="122"/>
      <c r="S305" s="122"/>
      <c r="T305" s="122"/>
      <c r="U305" s="123"/>
      <c r="W305" s="35" t="str">
        <f>"-- "&amp;C305</f>
        <v>-- バックアップ_経過記録情報モジュール_身体所見レコードテーブルから対象患者で絞り込んだ結果をベース_経過記録情報モジュール_身体所見レコードテーブルに格納する。</v>
      </c>
    </row>
    <row r="307" spans="2:23" ht="18.75" customHeight="1">
      <c r="C307" s="128" t="s">
        <v>3773</v>
      </c>
      <c r="D307" s="129"/>
      <c r="E307" s="114" t="str">
        <f>エンティティ一覧!$O$2</f>
        <v>milscm_2023_009</v>
      </c>
      <c r="H307" s="36"/>
      <c r="I307" s="36"/>
      <c r="J307" s="36"/>
      <c r="K307" s="36"/>
      <c r="L307" s="36"/>
      <c r="M307" s="36"/>
      <c r="N307" s="36"/>
      <c r="O307" s="36"/>
      <c r="P307" s="36"/>
      <c r="Q307" s="36"/>
      <c r="R307" s="128" t="str">
        <f>"ベース"&amp;SUBSTITUTE(C307,"バックアップ","")</f>
        <v>ベース_経過記録情報モジュール_身体所見レコード</v>
      </c>
      <c r="S307" s="129"/>
      <c r="T307" s="114" t="str">
        <f>エンティティ一覧!$O$2</f>
        <v>milscm_2023_009</v>
      </c>
    </row>
    <row r="308" spans="2:23" ht="18.75" customHeight="1">
      <c r="C308" s="130"/>
      <c r="D308" s="131"/>
      <c r="E308" s="115"/>
      <c r="F308" s="37"/>
      <c r="G308" s="38"/>
      <c r="H308" s="37"/>
      <c r="I308" s="37"/>
      <c r="J308" s="37"/>
      <c r="K308" s="37"/>
      <c r="L308" s="37"/>
      <c r="M308" s="37"/>
      <c r="N308" s="37"/>
      <c r="O308" s="37"/>
      <c r="P308" s="37"/>
      <c r="Q308" s="37"/>
      <c r="R308" s="130"/>
      <c r="S308" s="131"/>
      <c r="T308" s="115"/>
    </row>
    <row r="309" spans="2:23" ht="18.75" customHeight="1">
      <c r="F309" s="39"/>
      <c r="G309" s="40"/>
    </row>
    <row r="310" spans="2:23" ht="18.75" customHeight="1">
      <c r="C310" s="110" t="s">
        <v>3743</v>
      </c>
      <c r="D310" s="111"/>
      <c r="E310" s="114" t="str">
        <f>エンティティ一覧!$O$2</f>
        <v>milscm_2023_009</v>
      </c>
      <c r="G310" s="41"/>
    </row>
    <row r="311" spans="2:23" ht="18.75" customHeight="1">
      <c r="C311" s="112"/>
      <c r="D311" s="113"/>
      <c r="E311" s="115"/>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3774</v>
      </c>
      <c r="D315" s="92"/>
      <c r="W315" s="35" t="str">
        <f>"-- "&amp;B315&amp;" : "&amp;C315</f>
        <v>-- SQL_ID : 31_C4-15</v>
      </c>
    </row>
    <row r="316" spans="2:23" ht="18.75" customHeight="1">
      <c r="B316" s="43" t="s">
        <v>158</v>
      </c>
      <c r="C316" s="118" t="str">
        <f>R319&amp;"登録"</f>
        <v>ベース_経過記録情報モジュール_アセスメントレコード登録</v>
      </c>
      <c r="D316" s="119"/>
      <c r="E316" s="119"/>
      <c r="F316" s="119"/>
      <c r="G316" s="119"/>
      <c r="H316" s="119"/>
      <c r="I316" s="119"/>
      <c r="J316" s="119"/>
      <c r="K316" s="119"/>
      <c r="L316" s="119"/>
      <c r="M316" s="119"/>
      <c r="N316" s="119"/>
      <c r="O316" s="119"/>
      <c r="P316" s="119"/>
      <c r="Q316" s="119"/>
      <c r="R316" s="119"/>
      <c r="S316" s="119"/>
      <c r="T316" s="119"/>
      <c r="U316" s="120"/>
      <c r="W316" s="35" t="str">
        <f>"-- "&amp;C316</f>
        <v>-- ベース_経過記録情報モジュール_アセスメントレコード登録</v>
      </c>
    </row>
    <row r="317" spans="2:23" ht="18.75" customHeight="1">
      <c r="B317" s="43" t="s">
        <v>159</v>
      </c>
      <c r="C317" s="121" t="str">
        <f>C319&amp;"テーブルから対象患者で絞り込んだ結果を"&amp;R319&amp;"テーブルに格納する。"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17" s="122"/>
      <c r="E317" s="122"/>
      <c r="F317" s="122"/>
      <c r="G317" s="122"/>
      <c r="H317" s="122"/>
      <c r="I317" s="122"/>
      <c r="J317" s="122"/>
      <c r="K317" s="122"/>
      <c r="L317" s="122"/>
      <c r="M317" s="122"/>
      <c r="N317" s="122"/>
      <c r="O317" s="122"/>
      <c r="P317" s="122"/>
      <c r="Q317" s="122"/>
      <c r="R317" s="122"/>
      <c r="S317" s="122"/>
      <c r="T317" s="122"/>
      <c r="U317" s="123"/>
      <c r="W317" s="35" t="str">
        <f>"-- "&amp;C317</f>
        <v>-- バックアップ_経過記録情報モジュール_アセスメントレコードテーブルから対象患者で絞り込んだ結果をベース_経過記録情報モジュール_アセスメントレコードテーブルに格納する。</v>
      </c>
    </row>
    <row r="319" spans="2:23" ht="18.75" customHeight="1">
      <c r="C319" s="128" t="s">
        <v>3775</v>
      </c>
      <c r="D319" s="129"/>
      <c r="E319" s="114" t="str">
        <f>エンティティ一覧!$O$2</f>
        <v>milscm_2023_009</v>
      </c>
      <c r="H319" s="36"/>
      <c r="I319" s="36"/>
      <c r="J319" s="36"/>
      <c r="K319" s="36"/>
      <c r="L319" s="36"/>
      <c r="M319" s="36"/>
      <c r="N319" s="36"/>
      <c r="O319" s="36"/>
      <c r="P319" s="36"/>
      <c r="Q319" s="36"/>
      <c r="R319" s="128" t="str">
        <f>"ベース"&amp;SUBSTITUTE(C319,"バックアップ","")</f>
        <v>ベース_経過記録情報モジュール_アセスメントレコード</v>
      </c>
      <c r="S319" s="129"/>
      <c r="T319" s="114" t="str">
        <f>エンティティ一覧!$O$2</f>
        <v>milscm_2023_009</v>
      </c>
    </row>
    <row r="320" spans="2:23" ht="18.75" customHeight="1">
      <c r="C320" s="130"/>
      <c r="D320" s="131"/>
      <c r="E320" s="115"/>
      <c r="F320" s="37"/>
      <c r="G320" s="38"/>
      <c r="H320" s="37"/>
      <c r="I320" s="37"/>
      <c r="J320" s="37"/>
      <c r="K320" s="37"/>
      <c r="L320" s="37"/>
      <c r="M320" s="37"/>
      <c r="N320" s="37"/>
      <c r="O320" s="37"/>
      <c r="P320" s="37"/>
      <c r="Q320" s="37"/>
      <c r="R320" s="130"/>
      <c r="S320" s="131"/>
      <c r="T320" s="115"/>
    </row>
    <row r="321" spans="2:23" ht="18.75" customHeight="1">
      <c r="F321" s="39"/>
      <c r="G321" s="40"/>
    </row>
    <row r="322" spans="2:23" ht="18.75" customHeight="1">
      <c r="C322" s="110" t="s">
        <v>3743</v>
      </c>
      <c r="D322" s="111"/>
      <c r="E322" s="114" t="str">
        <f>エンティティ一覧!$O$2</f>
        <v>milscm_2023_009</v>
      </c>
      <c r="G322" s="41"/>
    </row>
    <row r="323" spans="2:23" ht="18.75" customHeight="1">
      <c r="C323" s="112"/>
      <c r="D323" s="113"/>
      <c r="E323" s="115"/>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3776</v>
      </c>
      <c r="D327" s="92"/>
      <c r="W327" s="35" t="str">
        <f>"-- "&amp;B327&amp;" : "&amp;C327</f>
        <v>-- SQL_ID : 31_C4-22</v>
      </c>
    </row>
    <row r="328" spans="2:23" ht="18.75" customHeight="1">
      <c r="B328" s="43" t="s">
        <v>158</v>
      </c>
      <c r="C328" s="118" t="str">
        <f>R331&amp;"登録"</f>
        <v>ベース_経過記録情報モジュール_外部参照レコード登録</v>
      </c>
      <c r="D328" s="119"/>
      <c r="E328" s="119"/>
      <c r="F328" s="119"/>
      <c r="G328" s="119"/>
      <c r="H328" s="119"/>
      <c r="I328" s="119"/>
      <c r="J328" s="119"/>
      <c r="K328" s="119"/>
      <c r="L328" s="119"/>
      <c r="M328" s="119"/>
      <c r="N328" s="119"/>
      <c r="O328" s="119"/>
      <c r="P328" s="119"/>
      <c r="Q328" s="119"/>
      <c r="R328" s="119"/>
      <c r="S328" s="119"/>
      <c r="T328" s="119"/>
      <c r="U328" s="120"/>
      <c r="W328" s="35" t="str">
        <f>"-- "&amp;C328</f>
        <v>-- ベース_経過記録情報モジュール_外部参照レコード登録</v>
      </c>
    </row>
    <row r="329" spans="2:23" ht="18.75" customHeight="1">
      <c r="B329" s="43" t="s">
        <v>159</v>
      </c>
      <c r="C329" s="121" t="str">
        <f>C331&amp;"テーブルから対象患者で絞り込んだ結果を"&amp;R331&amp;"テーブルに格納する。"</f>
        <v>バックアップ_経過記録情報モジュール_外部参照レコードテーブルから対象患者で絞り込んだ結果をベース_経過記録情報モジュール_外部参照レコードテーブルに格納する。</v>
      </c>
      <c r="D329" s="122"/>
      <c r="E329" s="122"/>
      <c r="F329" s="122"/>
      <c r="G329" s="122"/>
      <c r="H329" s="122"/>
      <c r="I329" s="122"/>
      <c r="J329" s="122"/>
      <c r="K329" s="122"/>
      <c r="L329" s="122"/>
      <c r="M329" s="122"/>
      <c r="N329" s="122"/>
      <c r="O329" s="122"/>
      <c r="P329" s="122"/>
      <c r="Q329" s="122"/>
      <c r="R329" s="122"/>
      <c r="S329" s="122"/>
      <c r="T329" s="122"/>
      <c r="U329" s="123"/>
      <c r="W329" s="35" t="str">
        <f>"-- "&amp;C329</f>
        <v>-- バックアップ_経過記録情報モジュール_外部参照レコードテーブルから対象患者で絞り込んだ結果をベース_経過記録情報モジュール_外部参照レコードテーブルに格納する。</v>
      </c>
    </row>
    <row r="331" spans="2:23" ht="18.75" customHeight="1">
      <c r="C331" s="128" t="s">
        <v>3777</v>
      </c>
      <c r="D331" s="129"/>
      <c r="E331" s="114" t="str">
        <f>エンティティ一覧!$O$2</f>
        <v>milscm_2023_009</v>
      </c>
      <c r="H331" s="36"/>
      <c r="I331" s="36"/>
      <c r="J331" s="36"/>
      <c r="K331" s="36"/>
      <c r="L331" s="36"/>
      <c r="M331" s="36"/>
      <c r="N331" s="36"/>
      <c r="O331" s="36"/>
      <c r="P331" s="36"/>
      <c r="Q331" s="36"/>
      <c r="R331" s="128" t="str">
        <f>"ベース"&amp;SUBSTITUTE(C331,"バックアップ","")</f>
        <v>ベース_経過記録情報モジュール_外部参照レコード</v>
      </c>
      <c r="S331" s="129"/>
      <c r="T331" s="114" t="str">
        <f>エンティティ一覧!$O$2</f>
        <v>milscm_2023_009</v>
      </c>
    </row>
    <row r="332" spans="2:23" ht="18.75" customHeight="1">
      <c r="C332" s="130"/>
      <c r="D332" s="131"/>
      <c r="E332" s="115"/>
      <c r="F332" s="37"/>
      <c r="G332" s="38"/>
      <c r="H332" s="37"/>
      <c r="I332" s="37"/>
      <c r="J332" s="37"/>
      <c r="K332" s="37"/>
      <c r="L332" s="37"/>
      <c r="M332" s="37"/>
      <c r="N332" s="37"/>
      <c r="O332" s="37"/>
      <c r="P332" s="37"/>
      <c r="Q332" s="37"/>
      <c r="R332" s="130"/>
      <c r="S332" s="131"/>
      <c r="T332" s="115"/>
    </row>
    <row r="333" spans="2:23" ht="18.75" customHeight="1">
      <c r="F333" s="39"/>
      <c r="G333" s="40"/>
    </row>
    <row r="334" spans="2:23" ht="18.75" customHeight="1">
      <c r="C334" s="110" t="s">
        <v>3743</v>
      </c>
      <c r="D334" s="111"/>
      <c r="E334" s="114" t="str">
        <f>エンティティ一覧!$O$2</f>
        <v>milscm_2023_009</v>
      </c>
      <c r="G334" s="41"/>
    </row>
    <row r="335" spans="2:23" ht="18.75" customHeight="1">
      <c r="C335" s="112"/>
      <c r="D335" s="113"/>
      <c r="E335" s="115"/>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3778</v>
      </c>
      <c r="D339" s="92"/>
      <c r="W339" s="35" t="str">
        <f>"-- "&amp;B339&amp;" : "&amp;C339</f>
        <v>-- SQL_ID : 31_C4-23</v>
      </c>
    </row>
    <row r="340" spans="2:23" ht="18.75" customHeight="1">
      <c r="B340" s="43" t="s">
        <v>158</v>
      </c>
      <c r="C340" s="118" t="str">
        <f>R343&amp;"登録"</f>
        <v>ベース_臨床サマリーモジュール_臨床サマリー情報レコード登録</v>
      </c>
      <c r="D340" s="119"/>
      <c r="E340" s="119"/>
      <c r="F340" s="119"/>
      <c r="G340" s="119"/>
      <c r="H340" s="119"/>
      <c r="I340" s="119"/>
      <c r="J340" s="119"/>
      <c r="K340" s="119"/>
      <c r="L340" s="119"/>
      <c r="M340" s="119"/>
      <c r="N340" s="119"/>
      <c r="O340" s="119"/>
      <c r="P340" s="119"/>
      <c r="Q340" s="119"/>
      <c r="R340" s="119"/>
      <c r="S340" s="119"/>
      <c r="T340" s="119"/>
      <c r="U340" s="120"/>
      <c r="W340" s="35" t="str">
        <f>"-- "&amp;C340</f>
        <v>-- ベース_臨床サマリーモジュール_臨床サマリー情報レコード登録</v>
      </c>
    </row>
    <row r="341" spans="2:23" ht="18.75" customHeight="1">
      <c r="B341" s="43" t="s">
        <v>159</v>
      </c>
      <c r="C341" s="121" t="str">
        <f>C343&amp;"テーブルから対象患者で絞り込んだ結果を"&amp;R343&amp;"テーブルに格納する。"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41" s="122"/>
      <c r="E341" s="122"/>
      <c r="F341" s="122"/>
      <c r="G341" s="122"/>
      <c r="H341" s="122"/>
      <c r="I341" s="122"/>
      <c r="J341" s="122"/>
      <c r="K341" s="122"/>
      <c r="L341" s="122"/>
      <c r="M341" s="122"/>
      <c r="N341" s="122"/>
      <c r="O341" s="122"/>
      <c r="P341" s="122"/>
      <c r="Q341" s="122"/>
      <c r="R341" s="122"/>
      <c r="S341" s="122"/>
      <c r="T341" s="122"/>
      <c r="U341" s="123"/>
      <c r="W341" s="35" t="str">
        <f>"-- "&amp;C341</f>
        <v>-- バックアップ_臨床サマリーモジュール_臨床サマリー情報レコードテーブルから対象患者で絞り込んだ結果をベース_臨床サマリーモジュール_臨床サマリー情報レコードテーブルに格納する。</v>
      </c>
    </row>
    <row r="343" spans="2:23" ht="18.75" customHeight="1">
      <c r="C343" s="132" t="s">
        <v>3779</v>
      </c>
      <c r="D343" s="133"/>
      <c r="E343" s="114" t="str">
        <f>エンティティ一覧!$O$2</f>
        <v>milscm_2023_009</v>
      </c>
      <c r="H343" s="36"/>
      <c r="I343" s="36"/>
      <c r="J343" s="36"/>
      <c r="K343" s="36"/>
      <c r="L343" s="36"/>
      <c r="M343" s="36"/>
      <c r="N343" s="36"/>
      <c r="O343" s="36"/>
      <c r="P343" s="36"/>
      <c r="Q343" s="36"/>
      <c r="R343" s="128" t="str">
        <f>"ベース"&amp;SUBSTITUTE(C343,"バックアップ","")</f>
        <v>ベース_臨床サマリーモジュール_臨床サマリー情報レコード</v>
      </c>
      <c r="S343" s="129"/>
      <c r="T343" s="114" t="str">
        <f>エンティティ一覧!$O$2</f>
        <v>milscm_2023_009</v>
      </c>
    </row>
    <row r="344" spans="2:23" ht="18.75" customHeight="1">
      <c r="C344" s="134"/>
      <c r="D344" s="135"/>
      <c r="E344" s="115"/>
      <c r="F344" s="37"/>
      <c r="G344" s="38"/>
      <c r="H344" s="37"/>
      <c r="I344" s="37"/>
      <c r="J344" s="37"/>
      <c r="K344" s="37"/>
      <c r="L344" s="37"/>
      <c r="M344" s="37"/>
      <c r="N344" s="37"/>
      <c r="O344" s="37"/>
      <c r="P344" s="37"/>
      <c r="Q344" s="37"/>
      <c r="R344" s="130"/>
      <c r="S344" s="131"/>
      <c r="T344" s="115"/>
    </row>
    <row r="345" spans="2:23" ht="18.75" customHeight="1">
      <c r="F345" s="39"/>
      <c r="G345" s="40"/>
    </row>
    <row r="346" spans="2:23" ht="18.75" customHeight="1">
      <c r="C346" s="110" t="s">
        <v>3743</v>
      </c>
      <c r="D346" s="111"/>
      <c r="E346" s="114" t="str">
        <f>エンティティ一覧!$O$2</f>
        <v>milscm_2023_009</v>
      </c>
      <c r="G346" s="41"/>
    </row>
    <row r="347" spans="2:23" ht="18.75" customHeight="1">
      <c r="C347" s="112"/>
      <c r="D347" s="113"/>
      <c r="E347" s="115"/>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3780</v>
      </c>
      <c r="D351" s="93"/>
      <c r="W351" s="35" t="str">
        <f>"-- "&amp;B351&amp;" : "&amp;C351</f>
        <v>-- SQL_ID : 31_C4-24</v>
      </c>
    </row>
    <row r="352" spans="2:23" ht="18.75" customHeight="1">
      <c r="B352" s="43" t="s">
        <v>158</v>
      </c>
      <c r="C352" s="118" t="str">
        <f>R355&amp;"登録"</f>
        <v>ベース_臨床サマリーモジュール_外来受診レコード登録</v>
      </c>
      <c r="D352" s="119"/>
      <c r="E352" s="119"/>
      <c r="F352" s="119"/>
      <c r="G352" s="119"/>
      <c r="H352" s="119"/>
      <c r="I352" s="119"/>
      <c r="J352" s="119"/>
      <c r="K352" s="119"/>
      <c r="L352" s="119"/>
      <c r="M352" s="119"/>
      <c r="N352" s="119"/>
      <c r="O352" s="119"/>
      <c r="P352" s="119"/>
      <c r="Q352" s="119"/>
      <c r="R352" s="119"/>
      <c r="S352" s="119"/>
      <c r="T352" s="119"/>
      <c r="U352" s="120"/>
      <c r="W352" s="35" t="str">
        <f>"-- "&amp;C352</f>
        <v>-- ベース_臨床サマリーモジュール_外来受診レコード登録</v>
      </c>
    </row>
    <row r="353" spans="2:23" ht="18.75" customHeight="1">
      <c r="B353" s="43" t="s">
        <v>159</v>
      </c>
      <c r="C353" s="121" t="str">
        <f>C355&amp;"テーブルから対象患者で絞り込んだ結果を"&amp;R355&amp;"テーブルに格納する。"</f>
        <v>バックアップ_臨床サマリーモジュール_外来受診レコードテーブルから対象患者で絞り込んだ結果をベース_臨床サマリーモジュール_外来受診レコードテーブルに格納する。</v>
      </c>
      <c r="D353" s="122"/>
      <c r="E353" s="122"/>
      <c r="F353" s="122"/>
      <c r="G353" s="122"/>
      <c r="H353" s="122"/>
      <c r="I353" s="122"/>
      <c r="J353" s="122"/>
      <c r="K353" s="122"/>
      <c r="L353" s="122"/>
      <c r="M353" s="122"/>
      <c r="N353" s="122"/>
      <c r="O353" s="122"/>
      <c r="P353" s="122"/>
      <c r="Q353" s="122"/>
      <c r="R353" s="122"/>
      <c r="S353" s="122"/>
      <c r="T353" s="122"/>
      <c r="U353" s="123"/>
      <c r="W353" s="35" t="str">
        <f>"-- "&amp;C353</f>
        <v>-- バックアップ_臨床サマリーモジュール_外来受診レコードテーブルから対象患者で絞り込んだ結果をベース_臨床サマリーモジュール_外来受診レコードテーブルに格納する。</v>
      </c>
    </row>
    <row r="355" spans="2:23" ht="18.75" customHeight="1">
      <c r="C355" s="132" t="s">
        <v>1479</v>
      </c>
      <c r="D355" s="133"/>
      <c r="E355" s="114" t="str">
        <f>エンティティ一覧!$O$2</f>
        <v>milscm_2023_009</v>
      </c>
      <c r="H355" s="36"/>
      <c r="I355" s="36"/>
      <c r="J355" s="36"/>
      <c r="K355" s="36"/>
      <c r="L355" s="36"/>
      <c r="M355" s="36"/>
      <c r="N355" s="36"/>
      <c r="O355" s="36"/>
      <c r="P355" s="36"/>
      <c r="Q355" s="36"/>
      <c r="R355" s="128" t="str">
        <f>"ベース"&amp;SUBSTITUTE(C355,"バックアップ","")</f>
        <v>ベース_臨床サマリーモジュール_外来受診レコード</v>
      </c>
      <c r="S355" s="129"/>
      <c r="T355" s="114" t="str">
        <f>エンティティ一覧!$O$2</f>
        <v>milscm_2023_009</v>
      </c>
    </row>
    <row r="356" spans="2:23" ht="18.75" customHeight="1">
      <c r="C356" s="134"/>
      <c r="D356" s="135"/>
      <c r="E356" s="115"/>
      <c r="F356" s="37"/>
      <c r="G356" s="38"/>
      <c r="H356" s="37"/>
      <c r="I356" s="37"/>
      <c r="J356" s="37"/>
      <c r="K356" s="37"/>
      <c r="L356" s="37"/>
      <c r="M356" s="37"/>
      <c r="N356" s="37"/>
      <c r="O356" s="37"/>
      <c r="P356" s="37"/>
      <c r="Q356" s="37"/>
      <c r="R356" s="130"/>
      <c r="S356" s="131"/>
      <c r="T356" s="115"/>
    </row>
    <row r="357" spans="2:23" ht="18.75" customHeight="1">
      <c r="F357" s="39"/>
      <c r="G357" s="40"/>
    </row>
    <row r="358" spans="2:23" ht="18.75" customHeight="1">
      <c r="C358" s="110" t="s">
        <v>3743</v>
      </c>
      <c r="D358" s="111"/>
      <c r="E358" s="114" t="str">
        <f>エンティティ一覧!$O$2</f>
        <v>milscm_2023_009</v>
      </c>
      <c r="G358" s="41"/>
    </row>
    <row r="359" spans="2:23" ht="18.75" customHeight="1">
      <c r="C359" s="112"/>
      <c r="D359" s="113"/>
      <c r="E359" s="115"/>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3781</v>
      </c>
      <c r="D363" s="93"/>
      <c r="W363" s="35" t="str">
        <f>"-- "&amp;B363&amp;" : "&amp;C363</f>
        <v>-- SQL_ID : 31_C4-25</v>
      </c>
    </row>
    <row r="364" spans="2:23" ht="18.75" customHeight="1">
      <c r="B364" s="43" t="s">
        <v>158</v>
      </c>
      <c r="C364" s="118" t="str">
        <f>R367&amp;"登録"</f>
        <v>ベース_臨床サマリーモジュール_入院レコード登録</v>
      </c>
      <c r="D364" s="119"/>
      <c r="E364" s="119"/>
      <c r="F364" s="119"/>
      <c r="G364" s="119"/>
      <c r="H364" s="119"/>
      <c r="I364" s="119"/>
      <c r="J364" s="119"/>
      <c r="K364" s="119"/>
      <c r="L364" s="119"/>
      <c r="M364" s="119"/>
      <c r="N364" s="119"/>
      <c r="O364" s="119"/>
      <c r="P364" s="119"/>
      <c r="Q364" s="119"/>
      <c r="R364" s="119"/>
      <c r="S364" s="119"/>
      <c r="T364" s="119"/>
      <c r="U364" s="120"/>
      <c r="W364" s="35" t="str">
        <f>"-- "&amp;C364</f>
        <v>-- ベース_臨床サマリーモジュール_入院レコード登録</v>
      </c>
    </row>
    <row r="365" spans="2:23" ht="18.75" customHeight="1">
      <c r="B365" s="43" t="s">
        <v>159</v>
      </c>
      <c r="C365" s="121" t="str">
        <f>C367&amp;"テーブルから対象患者で絞り込んだ結果を"&amp;R367&amp;"テーブルに格納する。"</f>
        <v>バックアップ_臨床サマリーモジュール_入院レコードテーブルから対象患者で絞り込んだ結果をベース_臨床サマリーモジュール_入院レコードテーブルに格納する。</v>
      </c>
      <c r="D365" s="122"/>
      <c r="E365" s="122"/>
      <c r="F365" s="122"/>
      <c r="G365" s="122"/>
      <c r="H365" s="122"/>
      <c r="I365" s="122"/>
      <c r="J365" s="122"/>
      <c r="K365" s="122"/>
      <c r="L365" s="122"/>
      <c r="M365" s="122"/>
      <c r="N365" s="122"/>
      <c r="O365" s="122"/>
      <c r="P365" s="122"/>
      <c r="Q365" s="122"/>
      <c r="R365" s="122"/>
      <c r="S365" s="122"/>
      <c r="T365" s="122"/>
      <c r="U365" s="123"/>
      <c r="W365" s="35" t="str">
        <f>"-- "&amp;C365</f>
        <v>-- バックアップ_臨床サマリーモジュール_入院レコードテーブルから対象患者で絞り込んだ結果をベース_臨床サマリーモジュール_入院レコードテーブルに格納する。</v>
      </c>
    </row>
    <row r="367" spans="2:23" ht="18.75" customHeight="1">
      <c r="C367" s="132" t="s">
        <v>1496</v>
      </c>
      <c r="D367" s="133"/>
      <c r="E367" s="114" t="str">
        <f>エンティティ一覧!$O$2</f>
        <v>milscm_2023_009</v>
      </c>
      <c r="H367" s="36"/>
      <c r="I367" s="36"/>
      <c r="J367" s="36"/>
      <c r="K367" s="36"/>
      <c r="L367" s="36"/>
      <c r="M367" s="36"/>
      <c r="N367" s="36"/>
      <c r="O367" s="36"/>
      <c r="P367" s="36"/>
      <c r="Q367" s="36"/>
      <c r="R367" s="128" t="str">
        <f>"ベース"&amp;SUBSTITUTE(C367,"バックアップ","")</f>
        <v>ベース_臨床サマリーモジュール_入院レコード</v>
      </c>
      <c r="S367" s="129"/>
      <c r="T367" s="114" t="str">
        <f>エンティティ一覧!$O$2</f>
        <v>milscm_2023_009</v>
      </c>
    </row>
    <row r="368" spans="2:23" ht="18.75" customHeight="1">
      <c r="C368" s="134"/>
      <c r="D368" s="135"/>
      <c r="E368" s="115"/>
      <c r="F368" s="37"/>
      <c r="G368" s="38"/>
      <c r="H368" s="37"/>
      <c r="I368" s="37"/>
      <c r="J368" s="37"/>
      <c r="K368" s="37"/>
      <c r="L368" s="37"/>
      <c r="M368" s="37"/>
      <c r="N368" s="37"/>
      <c r="O368" s="37"/>
      <c r="P368" s="37"/>
      <c r="Q368" s="37"/>
      <c r="R368" s="130"/>
      <c r="S368" s="131"/>
      <c r="T368" s="115"/>
    </row>
    <row r="369" spans="2:23" ht="18.75" customHeight="1">
      <c r="F369" s="39"/>
      <c r="G369" s="40"/>
    </row>
    <row r="370" spans="2:23" ht="18.75" customHeight="1">
      <c r="C370" s="110" t="s">
        <v>3743</v>
      </c>
      <c r="D370" s="111"/>
      <c r="E370" s="114" t="str">
        <f>エンティティ一覧!$O$2</f>
        <v>milscm_2023_009</v>
      </c>
      <c r="G370" s="41"/>
    </row>
    <row r="371" spans="2:23" ht="18.75" customHeight="1">
      <c r="C371" s="112"/>
      <c r="D371" s="113"/>
      <c r="E371" s="115"/>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3782</v>
      </c>
      <c r="D375" s="93"/>
      <c r="W375" s="35" t="str">
        <f>"-- "&amp;B375&amp;" : "&amp;C375</f>
        <v>-- SQL_ID : 31_C4-29</v>
      </c>
    </row>
    <row r="376" spans="2:23" ht="18.75" customHeight="1">
      <c r="B376" s="43" t="s">
        <v>158</v>
      </c>
      <c r="C376" s="118" t="str">
        <f>R379&amp;"登録"</f>
        <v>ベース_臨床サマリーモジュール_経過記録レコード登録</v>
      </c>
      <c r="D376" s="119"/>
      <c r="E376" s="119"/>
      <c r="F376" s="119"/>
      <c r="G376" s="119"/>
      <c r="H376" s="119"/>
      <c r="I376" s="119"/>
      <c r="J376" s="119"/>
      <c r="K376" s="119"/>
      <c r="L376" s="119"/>
      <c r="M376" s="119"/>
      <c r="N376" s="119"/>
      <c r="O376" s="119"/>
      <c r="P376" s="119"/>
      <c r="Q376" s="119"/>
      <c r="R376" s="119"/>
      <c r="S376" s="119"/>
      <c r="T376" s="119"/>
      <c r="U376" s="120"/>
      <c r="W376" s="35" t="str">
        <f>"-- "&amp;C376</f>
        <v>-- ベース_臨床サマリーモジュール_経過記録レコード登録</v>
      </c>
    </row>
    <row r="377" spans="2:23" ht="18.75" customHeight="1">
      <c r="B377" s="43" t="s">
        <v>159</v>
      </c>
      <c r="C377" s="121" t="str">
        <f>C379&amp;"テーブルから対象患者で絞り込んだ結果を"&amp;R379&amp;"テーブルに格納する。"</f>
        <v>バックアップ_臨床サマリーモジュール_経過記録レコードテーブルから対象患者で絞り込んだ結果をベース_臨床サマリーモジュール_経過記録レコードテーブルに格納する。</v>
      </c>
      <c r="D377" s="122"/>
      <c r="E377" s="122"/>
      <c r="F377" s="122"/>
      <c r="G377" s="122"/>
      <c r="H377" s="122"/>
      <c r="I377" s="122"/>
      <c r="J377" s="122"/>
      <c r="K377" s="122"/>
      <c r="L377" s="122"/>
      <c r="M377" s="122"/>
      <c r="N377" s="122"/>
      <c r="O377" s="122"/>
      <c r="P377" s="122"/>
      <c r="Q377" s="122"/>
      <c r="R377" s="122"/>
      <c r="S377" s="122"/>
      <c r="T377" s="122"/>
      <c r="U377" s="123"/>
      <c r="W377" s="35" t="str">
        <f>"-- "&amp;C377</f>
        <v>-- バックアップ_臨床サマリーモジュール_経過記録レコードテーブルから対象患者で絞り込んだ結果をベース_臨床サマリーモジュール_経過記録レコードテーブルに格納する。</v>
      </c>
    </row>
    <row r="379" spans="2:23" ht="18.75" customHeight="1">
      <c r="C379" s="132" t="s">
        <v>1522</v>
      </c>
      <c r="D379" s="133"/>
      <c r="E379" s="114" t="str">
        <f>エンティティ一覧!$O$2</f>
        <v>milscm_2023_009</v>
      </c>
      <c r="H379" s="36"/>
      <c r="I379" s="36"/>
      <c r="J379" s="36"/>
      <c r="K379" s="36"/>
      <c r="L379" s="36"/>
      <c r="M379" s="36"/>
      <c r="N379" s="36"/>
      <c r="O379" s="36"/>
      <c r="P379" s="36"/>
      <c r="Q379" s="36"/>
      <c r="R379" s="128" t="str">
        <f>"ベース"&amp;SUBSTITUTE(C379,"バックアップ","")</f>
        <v>ベース_臨床サマリーモジュール_経過記録レコード</v>
      </c>
      <c r="S379" s="129"/>
      <c r="T379" s="114" t="str">
        <f>エンティティ一覧!$O$2</f>
        <v>milscm_2023_009</v>
      </c>
    </row>
    <row r="380" spans="2:23" ht="18.75" customHeight="1">
      <c r="C380" s="134"/>
      <c r="D380" s="135"/>
      <c r="E380" s="115"/>
      <c r="F380" s="37"/>
      <c r="G380" s="38"/>
      <c r="H380" s="37"/>
      <c r="I380" s="37"/>
      <c r="J380" s="37"/>
      <c r="K380" s="37"/>
      <c r="L380" s="37"/>
      <c r="M380" s="37"/>
      <c r="N380" s="37"/>
      <c r="O380" s="37"/>
      <c r="P380" s="37"/>
      <c r="Q380" s="37"/>
      <c r="R380" s="130"/>
      <c r="S380" s="131"/>
      <c r="T380" s="115"/>
    </row>
    <row r="381" spans="2:23" ht="18.75" customHeight="1">
      <c r="F381" s="39"/>
      <c r="G381" s="40"/>
    </row>
    <row r="382" spans="2:23" ht="18.75" customHeight="1">
      <c r="C382" s="110" t="s">
        <v>3743</v>
      </c>
      <c r="D382" s="111"/>
      <c r="E382" s="114" t="str">
        <f>エンティティ一覧!$O$2</f>
        <v>milscm_2023_009</v>
      </c>
      <c r="G382" s="41"/>
    </row>
    <row r="383" spans="2:23" ht="18.75" customHeight="1">
      <c r="C383" s="112"/>
      <c r="D383" s="113"/>
      <c r="E383" s="115"/>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3783</v>
      </c>
      <c r="D387" s="93"/>
      <c r="W387" s="35" t="str">
        <f>"-- "&amp;B387&amp;" : "&amp;C387</f>
        <v>-- SQL_ID : 31_C4-30</v>
      </c>
    </row>
    <row r="388" spans="2:23" ht="18.75" customHeight="1">
      <c r="B388" s="43" t="s">
        <v>158</v>
      </c>
      <c r="C388" s="118" t="str">
        <f>R391&amp;"登録"</f>
        <v>ベース_臨床サマリーモジュール_検査結果レコード登録</v>
      </c>
      <c r="D388" s="119"/>
      <c r="E388" s="119"/>
      <c r="F388" s="119"/>
      <c r="G388" s="119"/>
      <c r="H388" s="119"/>
      <c r="I388" s="119"/>
      <c r="J388" s="119"/>
      <c r="K388" s="119"/>
      <c r="L388" s="119"/>
      <c r="M388" s="119"/>
      <c r="N388" s="119"/>
      <c r="O388" s="119"/>
      <c r="P388" s="119"/>
      <c r="Q388" s="119"/>
      <c r="R388" s="119"/>
      <c r="S388" s="119"/>
      <c r="T388" s="119"/>
      <c r="U388" s="120"/>
      <c r="W388" s="35" t="str">
        <f>"-- "&amp;C388</f>
        <v>-- ベース_臨床サマリーモジュール_検査結果レコード登録</v>
      </c>
    </row>
    <row r="389" spans="2:23" ht="18.75" customHeight="1">
      <c r="B389" s="43" t="s">
        <v>159</v>
      </c>
      <c r="C389" s="121" t="str">
        <f>C391&amp;"テーブルから対象患者で絞り込んだ結果を"&amp;R391&amp;"テーブルに格納する。"</f>
        <v>バックアップ_臨床サマリーモジュール_検査結果レコードテーブルから対象患者で絞り込んだ結果をベース_臨床サマリーモジュール_検査結果レコードテーブルに格納する。</v>
      </c>
      <c r="D389" s="122"/>
      <c r="E389" s="122"/>
      <c r="F389" s="122"/>
      <c r="G389" s="122"/>
      <c r="H389" s="122"/>
      <c r="I389" s="122"/>
      <c r="J389" s="122"/>
      <c r="K389" s="122"/>
      <c r="L389" s="122"/>
      <c r="M389" s="122"/>
      <c r="N389" s="122"/>
      <c r="O389" s="122"/>
      <c r="P389" s="122"/>
      <c r="Q389" s="122"/>
      <c r="R389" s="122"/>
      <c r="S389" s="122"/>
      <c r="T389" s="122"/>
      <c r="U389" s="123"/>
      <c r="W389" s="35" t="str">
        <f>"-- "&amp;C389</f>
        <v>-- バックアップ_臨床サマリーモジュール_検査結果レコードテーブルから対象患者で絞り込んだ結果をベース_臨床サマリーモジュール_検査結果レコードテーブルに格納する。</v>
      </c>
    </row>
    <row r="391" spans="2:23" ht="18.75" customHeight="1">
      <c r="C391" s="132" t="s">
        <v>1537</v>
      </c>
      <c r="D391" s="133"/>
      <c r="E391" s="114" t="str">
        <f>エンティティ一覧!$O$2</f>
        <v>milscm_2023_009</v>
      </c>
      <c r="H391" s="36"/>
      <c r="I391" s="36"/>
      <c r="J391" s="36"/>
      <c r="K391" s="36"/>
      <c r="L391" s="36"/>
      <c r="M391" s="36"/>
      <c r="N391" s="36"/>
      <c r="O391" s="36"/>
      <c r="P391" s="36"/>
      <c r="Q391" s="36"/>
      <c r="R391" s="128" t="str">
        <f>"ベース"&amp;SUBSTITUTE(C391,"バックアップ","")</f>
        <v>ベース_臨床サマリーモジュール_検査結果レコード</v>
      </c>
      <c r="S391" s="129"/>
      <c r="T391" s="114" t="str">
        <f>エンティティ一覧!$O$2</f>
        <v>milscm_2023_009</v>
      </c>
    </row>
    <row r="392" spans="2:23" ht="18.75" customHeight="1">
      <c r="C392" s="134"/>
      <c r="D392" s="135"/>
      <c r="E392" s="115"/>
      <c r="F392" s="37"/>
      <c r="G392" s="38"/>
      <c r="H392" s="37"/>
      <c r="I392" s="37"/>
      <c r="J392" s="37"/>
      <c r="K392" s="37"/>
      <c r="L392" s="37"/>
      <c r="M392" s="37"/>
      <c r="N392" s="37"/>
      <c r="O392" s="37"/>
      <c r="P392" s="37"/>
      <c r="Q392" s="37"/>
      <c r="R392" s="130"/>
      <c r="S392" s="131"/>
      <c r="T392" s="115"/>
    </row>
    <row r="393" spans="2:23" ht="18.75" customHeight="1">
      <c r="F393" s="39"/>
      <c r="G393" s="40"/>
    </row>
    <row r="394" spans="2:23" ht="18.75" customHeight="1">
      <c r="C394" s="110" t="s">
        <v>3743</v>
      </c>
      <c r="D394" s="111"/>
      <c r="E394" s="114" t="str">
        <f>エンティティ一覧!$O$2</f>
        <v>milscm_2023_009</v>
      </c>
      <c r="G394" s="41"/>
    </row>
    <row r="395" spans="2:23" ht="18.75" customHeight="1">
      <c r="C395" s="112"/>
      <c r="D395" s="113"/>
      <c r="E395" s="115"/>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3784</v>
      </c>
      <c r="D399" s="93"/>
      <c r="W399" s="35" t="str">
        <f>"-- "&amp;B399&amp;" : "&amp;C399</f>
        <v>-- SQL_ID : 31_C4-31</v>
      </c>
    </row>
    <row r="400" spans="2:23" ht="18.75" customHeight="1">
      <c r="B400" s="43" t="s">
        <v>158</v>
      </c>
      <c r="C400" s="118" t="str">
        <f>R403&amp;"登録"</f>
        <v>ベース_検歴情報モジュール_検歴情報登録</v>
      </c>
      <c r="D400" s="119"/>
      <c r="E400" s="119"/>
      <c r="F400" s="119"/>
      <c r="G400" s="119"/>
      <c r="H400" s="119"/>
      <c r="I400" s="119"/>
      <c r="J400" s="119"/>
      <c r="K400" s="119"/>
      <c r="L400" s="119"/>
      <c r="M400" s="119"/>
      <c r="N400" s="119"/>
      <c r="O400" s="119"/>
      <c r="P400" s="119"/>
      <c r="Q400" s="119"/>
      <c r="R400" s="119"/>
      <c r="S400" s="119"/>
      <c r="T400" s="119"/>
      <c r="U400" s="120"/>
      <c r="W400" s="35" t="str">
        <f>"-- "&amp;C400</f>
        <v>-- ベース_検歴情報モジュール_検歴情報登録</v>
      </c>
    </row>
    <row r="401" spans="2:23" ht="18.75" customHeight="1">
      <c r="B401" s="43" t="s">
        <v>159</v>
      </c>
      <c r="C401" s="121" t="str">
        <f>C403&amp;"テーブルから対象患者で絞り込んだ結果を"&amp;R403&amp;"テーブルに格納する。"</f>
        <v>バックアップ_検歴情報モジュール_検歴情報テーブルから対象患者で絞り込んだ結果をベース_検歴情報モジュール_検歴情報テーブルに格納する。</v>
      </c>
      <c r="D401" s="122"/>
      <c r="E401" s="122"/>
      <c r="F401" s="122"/>
      <c r="G401" s="122"/>
      <c r="H401" s="122"/>
      <c r="I401" s="122"/>
      <c r="J401" s="122"/>
      <c r="K401" s="122"/>
      <c r="L401" s="122"/>
      <c r="M401" s="122"/>
      <c r="N401" s="122"/>
      <c r="O401" s="122"/>
      <c r="P401" s="122"/>
      <c r="Q401" s="122"/>
      <c r="R401" s="122"/>
      <c r="S401" s="122"/>
      <c r="T401" s="122"/>
      <c r="U401" s="123"/>
      <c r="W401" s="35" t="str">
        <f>"-- "&amp;C401</f>
        <v>-- バックアップ_検歴情報モジュール_検歴情報テーブルから対象患者で絞り込んだ結果をベース_検歴情報モジュール_検歴情報テーブルに格納する。</v>
      </c>
    </row>
    <row r="403" spans="2:23" ht="18.75" customHeight="1">
      <c r="C403" s="132" t="s">
        <v>1547</v>
      </c>
      <c r="D403" s="133"/>
      <c r="E403" s="114" t="str">
        <f>エンティティ一覧!$O$2</f>
        <v>milscm_2023_009</v>
      </c>
      <c r="H403" s="36"/>
      <c r="I403" s="36"/>
      <c r="J403" s="36"/>
      <c r="K403" s="36"/>
      <c r="L403" s="36"/>
      <c r="M403" s="36"/>
      <c r="N403" s="36"/>
      <c r="O403" s="36"/>
      <c r="P403" s="36"/>
      <c r="Q403" s="36"/>
      <c r="R403" s="128" t="str">
        <f>"ベース"&amp;SUBSTITUTE(C403,"バックアップ","")</f>
        <v>ベース_検歴情報モジュール_検歴情報</v>
      </c>
      <c r="S403" s="129"/>
      <c r="T403" s="114" t="str">
        <f>エンティティ一覧!$O$2</f>
        <v>milscm_2023_009</v>
      </c>
    </row>
    <row r="404" spans="2:23" ht="18.75" customHeight="1">
      <c r="C404" s="134"/>
      <c r="D404" s="135"/>
      <c r="E404" s="115"/>
      <c r="F404" s="37"/>
      <c r="G404" s="38"/>
      <c r="H404" s="37"/>
      <c r="I404" s="37"/>
      <c r="J404" s="37"/>
      <c r="K404" s="37"/>
      <c r="L404" s="37"/>
      <c r="M404" s="37"/>
      <c r="N404" s="37"/>
      <c r="O404" s="37"/>
      <c r="P404" s="37"/>
      <c r="Q404" s="37"/>
      <c r="R404" s="130"/>
      <c r="S404" s="131"/>
      <c r="T404" s="115"/>
    </row>
    <row r="405" spans="2:23" ht="18.75" customHeight="1">
      <c r="F405" s="39"/>
      <c r="G405" s="40"/>
    </row>
    <row r="406" spans="2:23" ht="18.75" customHeight="1">
      <c r="C406" s="110" t="s">
        <v>3743</v>
      </c>
      <c r="D406" s="111"/>
      <c r="E406" s="114" t="str">
        <f>エンティティ一覧!$O$2</f>
        <v>milscm_2023_009</v>
      </c>
      <c r="G406" s="41"/>
    </row>
    <row r="407" spans="2:23" ht="18.75" customHeight="1">
      <c r="C407" s="112"/>
      <c r="D407" s="113"/>
      <c r="E407" s="115"/>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3785</v>
      </c>
      <c r="D411" s="93"/>
      <c r="W411" s="35" t="str">
        <f>"-- "&amp;B411&amp;" : "&amp;C411</f>
        <v>-- SQL_ID : 31_C4-33</v>
      </c>
    </row>
    <row r="412" spans="2:23" ht="18.75" customHeight="1">
      <c r="B412" s="43" t="s">
        <v>158</v>
      </c>
      <c r="C412" s="118" t="str">
        <f>R415&amp;"登録"</f>
        <v>ベース_検歴情報モジュール_検歴検体材料登録</v>
      </c>
      <c r="D412" s="119"/>
      <c r="E412" s="119"/>
      <c r="F412" s="119"/>
      <c r="G412" s="119"/>
      <c r="H412" s="119"/>
      <c r="I412" s="119"/>
      <c r="J412" s="119"/>
      <c r="K412" s="119"/>
      <c r="L412" s="119"/>
      <c r="M412" s="119"/>
      <c r="N412" s="119"/>
      <c r="O412" s="119"/>
      <c r="P412" s="119"/>
      <c r="Q412" s="119"/>
      <c r="R412" s="119"/>
      <c r="S412" s="119"/>
      <c r="T412" s="119"/>
      <c r="U412" s="120"/>
      <c r="W412" s="35" t="str">
        <f>"-- "&amp;C412</f>
        <v>-- ベース_検歴情報モジュール_検歴検体材料登録</v>
      </c>
    </row>
    <row r="413" spans="2:23" ht="18.75" customHeight="1">
      <c r="B413" s="43" t="s">
        <v>159</v>
      </c>
      <c r="C413" s="121" t="str">
        <f>C415&amp;"テーブルから対象患者で絞り込んだ結果を"&amp;R415&amp;"テーブルに格納する。"</f>
        <v>バックアップ_検歴情報モジュール_検歴検体材料テーブルから対象患者で絞り込んだ結果をベース_検歴情報モジュール_検歴検体材料テーブルに格納する。</v>
      </c>
      <c r="D413" s="122"/>
      <c r="E413" s="122"/>
      <c r="F413" s="122"/>
      <c r="G413" s="122"/>
      <c r="H413" s="122"/>
      <c r="I413" s="122"/>
      <c r="J413" s="122"/>
      <c r="K413" s="122"/>
      <c r="L413" s="122"/>
      <c r="M413" s="122"/>
      <c r="N413" s="122"/>
      <c r="O413" s="122"/>
      <c r="P413" s="122"/>
      <c r="Q413" s="122"/>
      <c r="R413" s="122"/>
      <c r="S413" s="122"/>
      <c r="T413" s="122"/>
      <c r="U413" s="123"/>
      <c r="W413" s="35" t="str">
        <f>"-- "&amp;C413</f>
        <v>-- バックアップ_検歴情報モジュール_検歴検体材料テーブルから対象患者で絞り込んだ結果をベース_検歴情報モジュール_検歴検体材料テーブルに格納する。</v>
      </c>
    </row>
    <row r="415" spans="2:23" ht="18.75" customHeight="1">
      <c r="C415" s="132" t="s">
        <v>1605</v>
      </c>
      <c r="D415" s="133"/>
      <c r="E415" s="114" t="str">
        <f>エンティティ一覧!$O$2</f>
        <v>milscm_2023_009</v>
      </c>
      <c r="H415" s="36"/>
      <c r="I415" s="36"/>
      <c r="J415" s="36"/>
      <c r="K415" s="36"/>
      <c r="L415" s="36"/>
      <c r="M415" s="36"/>
      <c r="N415" s="36"/>
      <c r="O415" s="36"/>
      <c r="P415" s="36"/>
      <c r="Q415" s="36"/>
      <c r="R415" s="128" t="str">
        <f>"ベース"&amp;SUBSTITUTE(C415,"バックアップ","")</f>
        <v>ベース_検歴情報モジュール_検歴検体材料</v>
      </c>
      <c r="S415" s="129"/>
      <c r="T415" s="114" t="str">
        <f>エンティティ一覧!$O$2</f>
        <v>milscm_2023_009</v>
      </c>
    </row>
    <row r="416" spans="2:23" ht="18.75" customHeight="1">
      <c r="C416" s="134"/>
      <c r="D416" s="135"/>
      <c r="E416" s="115"/>
      <c r="F416" s="37"/>
      <c r="G416" s="38"/>
      <c r="H416" s="37"/>
      <c r="I416" s="37"/>
      <c r="J416" s="37"/>
      <c r="K416" s="37"/>
      <c r="L416" s="37"/>
      <c r="M416" s="37"/>
      <c r="N416" s="37"/>
      <c r="O416" s="37"/>
      <c r="P416" s="37"/>
      <c r="Q416" s="37"/>
      <c r="R416" s="130"/>
      <c r="S416" s="131"/>
      <c r="T416" s="115"/>
    </row>
    <row r="417" spans="2:23" ht="18.75" customHeight="1">
      <c r="F417" s="39"/>
      <c r="G417" s="40"/>
    </row>
    <row r="418" spans="2:23" ht="18.75" customHeight="1">
      <c r="C418" s="110" t="s">
        <v>3743</v>
      </c>
      <c r="D418" s="111"/>
      <c r="E418" s="114" t="str">
        <f>エンティティ一覧!$O$2</f>
        <v>milscm_2023_009</v>
      </c>
      <c r="G418" s="41"/>
    </row>
    <row r="419" spans="2:23" ht="18.75" customHeight="1">
      <c r="C419" s="112"/>
      <c r="D419" s="113"/>
      <c r="E419" s="115"/>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3786</v>
      </c>
      <c r="D423" s="93"/>
      <c r="W423" s="35" t="str">
        <f>"-- "&amp;B423&amp;" : "&amp;C423</f>
        <v>-- SQL_ID : 31_C4-35</v>
      </c>
    </row>
    <row r="424" spans="2:23" ht="18.75" customHeight="1">
      <c r="B424" s="43" t="s">
        <v>158</v>
      </c>
      <c r="C424" s="118" t="str">
        <f>R427&amp;"登録"</f>
        <v>ベース_検歴情報モジュール_検歴項目情報登録</v>
      </c>
      <c r="D424" s="119"/>
      <c r="E424" s="119"/>
      <c r="F424" s="119"/>
      <c r="G424" s="119"/>
      <c r="H424" s="119"/>
      <c r="I424" s="119"/>
      <c r="J424" s="119"/>
      <c r="K424" s="119"/>
      <c r="L424" s="119"/>
      <c r="M424" s="119"/>
      <c r="N424" s="119"/>
      <c r="O424" s="119"/>
      <c r="P424" s="119"/>
      <c r="Q424" s="119"/>
      <c r="R424" s="119"/>
      <c r="S424" s="119"/>
      <c r="T424" s="119"/>
      <c r="U424" s="120"/>
      <c r="W424" s="35" t="str">
        <f>"-- "&amp;C424</f>
        <v>-- ベース_検歴情報モジュール_検歴項目情報登録</v>
      </c>
    </row>
    <row r="425" spans="2:23" ht="18.75" customHeight="1">
      <c r="B425" s="43" t="s">
        <v>159</v>
      </c>
      <c r="C425" s="121" t="str">
        <f>C427&amp;"テーブルから対象患者で絞り込んだ結果を"&amp;R427&amp;"テーブルに格納する。"</f>
        <v>バックアップ_検歴情報モジュール_検歴項目情報テーブルから対象患者で絞り込んだ結果をベース_検歴情報モジュール_検歴項目情報テーブルに格納する。</v>
      </c>
      <c r="D425" s="122"/>
      <c r="E425" s="122"/>
      <c r="F425" s="122"/>
      <c r="G425" s="122"/>
      <c r="H425" s="122"/>
      <c r="I425" s="122"/>
      <c r="J425" s="122"/>
      <c r="K425" s="122"/>
      <c r="L425" s="122"/>
      <c r="M425" s="122"/>
      <c r="N425" s="122"/>
      <c r="O425" s="122"/>
      <c r="P425" s="122"/>
      <c r="Q425" s="122"/>
      <c r="R425" s="122"/>
      <c r="S425" s="122"/>
      <c r="T425" s="122"/>
      <c r="U425" s="123"/>
      <c r="W425" s="35" t="str">
        <f>"-- "&amp;C425</f>
        <v>-- バックアップ_検歴情報モジュール_検歴項目情報テーブルから対象患者で絞り込んだ結果をベース_検歴情報モジュール_検歴項目情報テーブルに格納する。</v>
      </c>
    </row>
    <row r="427" spans="2:23" ht="18.75" customHeight="1">
      <c r="C427" s="132" t="s">
        <v>1624</v>
      </c>
      <c r="D427" s="133"/>
      <c r="E427" s="114" t="str">
        <f>エンティティ一覧!$O$2</f>
        <v>milscm_2023_009</v>
      </c>
      <c r="H427" s="36"/>
      <c r="I427" s="36"/>
      <c r="J427" s="36"/>
      <c r="K427" s="36"/>
      <c r="L427" s="36"/>
      <c r="M427" s="36"/>
      <c r="N427" s="36"/>
      <c r="O427" s="36"/>
      <c r="P427" s="36"/>
      <c r="Q427" s="36"/>
      <c r="R427" s="128" t="str">
        <f>"ベース"&amp;SUBSTITUTE(C427,"バックアップ","")</f>
        <v>ベース_検歴情報モジュール_検歴項目情報</v>
      </c>
      <c r="S427" s="129"/>
      <c r="T427" s="114" t="str">
        <f>エンティティ一覧!$O$2</f>
        <v>milscm_2023_009</v>
      </c>
    </row>
    <row r="428" spans="2:23" ht="18.75" customHeight="1">
      <c r="C428" s="134"/>
      <c r="D428" s="135"/>
      <c r="E428" s="115"/>
      <c r="F428" s="37"/>
      <c r="G428" s="38"/>
      <c r="H428" s="37"/>
      <c r="I428" s="37"/>
      <c r="J428" s="37"/>
      <c r="K428" s="37"/>
      <c r="L428" s="37"/>
      <c r="M428" s="37"/>
      <c r="N428" s="37"/>
      <c r="O428" s="37"/>
      <c r="P428" s="37"/>
      <c r="Q428" s="37"/>
      <c r="R428" s="130"/>
      <c r="S428" s="131"/>
      <c r="T428" s="115"/>
    </row>
    <row r="429" spans="2:23" ht="18.75" customHeight="1">
      <c r="F429" s="39"/>
      <c r="G429" s="40"/>
    </row>
    <row r="430" spans="2:23" ht="18.75" customHeight="1">
      <c r="C430" s="110" t="s">
        <v>3743</v>
      </c>
      <c r="D430" s="111"/>
      <c r="E430" s="114" t="str">
        <f>エンティティ一覧!$O$2</f>
        <v>milscm_2023_009</v>
      </c>
      <c r="G430" s="41"/>
    </row>
    <row r="431" spans="2:23" ht="18.75" customHeight="1">
      <c r="C431" s="112"/>
      <c r="D431" s="113"/>
      <c r="E431" s="115"/>
      <c r="F431" s="37"/>
    </row>
    <row r="433" spans="2:21" ht="18.75" customHeight="1" thickBot="1">
      <c r="B433" s="42"/>
      <c r="C433" s="42"/>
      <c r="D433" s="42"/>
      <c r="E433" s="42"/>
      <c r="F433" s="42"/>
      <c r="G433" s="42"/>
      <c r="H433" s="42"/>
      <c r="I433" s="42"/>
      <c r="J433" s="42"/>
      <c r="K433" s="42"/>
      <c r="L433" s="42"/>
      <c r="M433" s="42"/>
      <c r="N433" s="42"/>
      <c r="O433" s="42"/>
      <c r="P433" s="42"/>
      <c r="Q433" s="42"/>
      <c r="R433" s="42"/>
      <c r="S433" s="42"/>
      <c r="T433" s="42"/>
      <c r="U433" s="42"/>
    </row>
  </sheetData>
  <mergeCells count="288">
    <mergeCell ref="C154:D155"/>
    <mergeCell ref="E154:E155"/>
    <mergeCell ref="C130:D131"/>
    <mergeCell ref="E130:E131"/>
    <mergeCell ref="C136:U136"/>
    <mergeCell ref="C137:U137"/>
    <mergeCell ref="C139:D140"/>
    <mergeCell ref="E139:E140"/>
    <mergeCell ref="R139:S140"/>
    <mergeCell ref="T139:T140"/>
    <mergeCell ref="C142:D143"/>
    <mergeCell ref="E142:E143"/>
    <mergeCell ref="C127:D128"/>
    <mergeCell ref="E127:E128"/>
    <mergeCell ref="R127:S128"/>
    <mergeCell ref="T127:T128"/>
    <mergeCell ref="C148:U148"/>
    <mergeCell ref="C149:U149"/>
    <mergeCell ref="C151:D152"/>
    <mergeCell ref="E151:E152"/>
    <mergeCell ref="R151:S152"/>
    <mergeCell ref="T151:T152"/>
    <mergeCell ref="C113:U113"/>
    <mergeCell ref="C115:D116"/>
    <mergeCell ref="E115:E116"/>
    <mergeCell ref="R115:S116"/>
    <mergeCell ref="T115:T116"/>
    <mergeCell ref="C118:D119"/>
    <mergeCell ref="E118:E119"/>
    <mergeCell ref="C124:U124"/>
    <mergeCell ref="C125:U125"/>
    <mergeCell ref="C100:U100"/>
    <mergeCell ref="C101:U101"/>
    <mergeCell ref="C103:D104"/>
    <mergeCell ref="E103:E104"/>
    <mergeCell ref="R103:S104"/>
    <mergeCell ref="T103:T104"/>
    <mergeCell ref="C106:D107"/>
    <mergeCell ref="E106:E107"/>
    <mergeCell ref="C112:U112"/>
    <mergeCell ref="C425:U425"/>
    <mergeCell ref="C427:D428"/>
    <mergeCell ref="E427:E428"/>
    <mergeCell ref="R427:S428"/>
    <mergeCell ref="T427:T428"/>
    <mergeCell ref="C430:D431"/>
    <mergeCell ref="E430:E431"/>
    <mergeCell ref="C412:U412"/>
    <mergeCell ref="C413:U413"/>
    <mergeCell ref="C415:D416"/>
    <mergeCell ref="E415:E416"/>
    <mergeCell ref="R415:S416"/>
    <mergeCell ref="T415:T416"/>
    <mergeCell ref="C418:D419"/>
    <mergeCell ref="E418:E419"/>
    <mergeCell ref="C424:U424"/>
    <mergeCell ref="C394:D395"/>
    <mergeCell ref="E394:E395"/>
    <mergeCell ref="C400:U400"/>
    <mergeCell ref="C401:U401"/>
    <mergeCell ref="C403:D404"/>
    <mergeCell ref="E403:E404"/>
    <mergeCell ref="R403:S404"/>
    <mergeCell ref="T403:T404"/>
    <mergeCell ref="C406:D407"/>
    <mergeCell ref="E406:E40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65:U365"/>
    <mergeCell ref="C367:D368"/>
    <mergeCell ref="E367:E368"/>
    <mergeCell ref="R367:S368"/>
    <mergeCell ref="T367:T368"/>
    <mergeCell ref="C370:D371"/>
    <mergeCell ref="E370:E371"/>
    <mergeCell ref="C376:U376"/>
    <mergeCell ref="C377:U377"/>
    <mergeCell ref="C352:U352"/>
    <mergeCell ref="C353:U353"/>
    <mergeCell ref="C355:D356"/>
    <mergeCell ref="E355:E356"/>
    <mergeCell ref="R355:S356"/>
    <mergeCell ref="T355:T356"/>
    <mergeCell ref="C358:D359"/>
    <mergeCell ref="E358:E359"/>
    <mergeCell ref="C364:U364"/>
    <mergeCell ref="R223:S224"/>
    <mergeCell ref="T223:T224"/>
    <mergeCell ref="C208:U208"/>
    <mergeCell ref="C209:U209"/>
    <mergeCell ref="C211:D212"/>
    <mergeCell ref="E211:E212"/>
    <mergeCell ref="R211:S212"/>
    <mergeCell ref="T211:T212"/>
    <mergeCell ref="C196:U196"/>
    <mergeCell ref="C197:U197"/>
    <mergeCell ref="C199:D200"/>
    <mergeCell ref="E199:E200"/>
    <mergeCell ref="R199:S200"/>
    <mergeCell ref="T199:T200"/>
    <mergeCell ref="C4:U4"/>
    <mergeCell ref="C5:U5"/>
    <mergeCell ref="C7:D8"/>
    <mergeCell ref="E7:E8"/>
    <mergeCell ref="R7:S8"/>
    <mergeCell ref="T7:T8"/>
    <mergeCell ref="C238:D239"/>
    <mergeCell ref="E238:E239"/>
    <mergeCell ref="C250:D251"/>
    <mergeCell ref="E250:E251"/>
    <mergeCell ref="C202:D203"/>
    <mergeCell ref="E202:E203"/>
    <mergeCell ref="C214:D215"/>
    <mergeCell ref="E214:E215"/>
    <mergeCell ref="C226:D227"/>
    <mergeCell ref="E226:E227"/>
    <mergeCell ref="C244:U244"/>
    <mergeCell ref="C245:U245"/>
    <mergeCell ref="C247:D248"/>
    <mergeCell ref="E247:E248"/>
    <mergeCell ref="R247:S248"/>
    <mergeCell ref="T247:T248"/>
    <mergeCell ref="C232:U232"/>
    <mergeCell ref="C233:U233"/>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166:D167"/>
    <mergeCell ref="E166:E167"/>
    <mergeCell ref="C172:U172"/>
    <mergeCell ref="C173:U173"/>
    <mergeCell ref="C175:D176"/>
    <mergeCell ref="E175:E176"/>
    <mergeCell ref="R175:S176"/>
    <mergeCell ref="T175:T176"/>
    <mergeCell ref="C82:D83"/>
    <mergeCell ref="E82:E83"/>
    <mergeCell ref="C160:U160"/>
    <mergeCell ref="C161:U161"/>
    <mergeCell ref="C163:D164"/>
    <mergeCell ref="E163:E164"/>
    <mergeCell ref="R163:S164"/>
    <mergeCell ref="T163:T164"/>
    <mergeCell ref="C88:U88"/>
    <mergeCell ref="C89:U89"/>
    <mergeCell ref="C91:D92"/>
    <mergeCell ref="E91:E92"/>
    <mergeCell ref="R91:S92"/>
    <mergeCell ref="T91:T92"/>
    <mergeCell ref="C94:D95"/>
    <mergeCell ref="E94:E95"/>
    <mergeCell ref="C190:D191"/>
    <mergeCell ref="E190:E191"/>
    <mergeCell ref="C256:U256"/>
    <mergeCell ref="C257:U257"/>
    <mergeCell ref="C259:D260"/>
    <mergeCell ref="E259:E260"/>
    <mergeCell ref="R259:S260"/>
    <mergeCell ref="T259:T260"/>
    <mergeCell ref="C178:D179"/>
    <mergeCell ref="E178:E179"/>
    <mergeCell ref="C184:U184"/>
    <mergeCell ref="C185:U185"/>
    <mergeCell ref="C187:D188"/>
    <mergeCell ref="E187:E188"/>
    <mergeCell ref="R187:S188"/>
    <mergeCell ref="T187:T188"/>
    <mergeCell ref="C235:D236"/>
    <mergeCell ref="E235:E236"/>
    <mergeCell ref="R235:S236"/>
    <mergeCell ref="T235:T236"/>
    <mergeCell ref="C220:U220"/>
    <mergeCell ref="C221:U221"/>
    <mergeCell ref="C223:D224"/>
    <mergeCell ref="E223:E224"/>
    <mergeCell ref="C274:D275"/>
    <mergeCell ref="E274:E275"/>
    <mergeCell ref="C280:U280"/>
    <mergeCell ref="C281:U281"/>
    <mergeCell ref="C283:D284"/>
    <mergeCell ref="E283:E284"/>
    <mergeCell ref="R283:S284"/>
    <mergeCell ref="T283:T284"/>
    <mergeCell ref="C262:D263"/>
    <mergeCell ref="E262:E263"/>
    <mergeCell ref="C268:U268"/>
    <mergeCell ref="C269:U269"/>
    <mergeCell ref="C271:D272"/>
    <mergeCell ref="E271:E272"/>
    <mergeCell ref="R271:S272"/>
    <mergeCell ref="T271:T272"/>
    <mergeCell ref="C298:D299"/>
    <mergeCell ref="E298:E299"/>
    <mergeCell ref="C304:U304"/>
    <mergeCell ref="C305:U305"/>
    <mergeCell ref="C307:D308"/>
    <mergeCell ref="E307:E308"/>
    <mergeCell ref="R307:S308"/>
    <mergeCell ref="T307:T308"/>
    <mergeCell ref="C286:D287"/>
    <mergeCell ref="E286:E287"/>
    <mergeCell ref="C292:U292"/>
    <mergeCell ref="C293:U293"/>
    <mergeCell ref="C295:D296"/>
    <mergeCell ref="E295:E296"/>
    <mergeCell ref="R295:S296"/>
    <mergeCell ref="T295:T296"/>
    <mergeCell ref="C322:D323"/>
    <mergeCell ref="E322:E323"/>
    <mergeCell ref="C328:U328"/>
    <mergeCell ref="C329:U329"/>
    <mergeCell ref="C331:D332"/>
    <mergeCell ref="E331:E332"/>
    <mergeCell ref="R331:S332"/>
    <mergeCell ref="T331:T332"/>
    <mergeCell ref="C310:D311"/>
    <mergeCell ref="E310:E311"/>
    <mergeCell ref="C316:U316"/>
    <mergeCell ref="C317:U317"/>
    <mergeCell ref="C319:D320"/>
    <mergeCell ref="E319:E320"/>
    <mergeCell ref="R319:S320"/>
    <mergeCell ref="T319:T320"/>
    <mergeCell ref="C346:D347"/>
    <mergeCell ref="E346:E347"/>
    <mergeCell ref="C334:D335"/>
    <mergeCell ref="E334:E335"/>
    <mergeCell ref="C340:U340"/>
    <mergeCell ref="C341:U341"/>
    <mergeCell ref="C343:D344"/>
    <mergeCell ref="E343:E344"/>
    <mergeCell ref="R343:S344"/>
    <mergeCell ref="T343:T344"/>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7"/>
  <sheetViews>
    <sheetView showGridLines="0" zoomScaleNormal="100" workbookViewId="0">
      <pane xSplit="27" ySplit="5" topLeftCell="AB158" activePane="bottomRight" state="frozenSplit"/>
      <selection pane="topRight" activeCell="AC1" sqref="AC1"/>
      <selection pane="bottomLeft" activeCell="A6" sqref="A6"/>
      <selection pane="bottomRight"/>
    </sheetView>
  </sheetViews>
  <sheetFormatPr defaultColWidth="2.6640625" defaultRowHeight="17.399999999999999" outlineLevelRow="1"/>
  <cols>
    <col min="1" max="1" width="2.6640625" style="34" customWidth="1"/>
    <col min="2" max="6" width="2.6640625" style="65"/>
    <col min="7" max="14" width="2.6640625" style="32"/>
    <col min="15" max="15" width="20.4414062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99" t="s">
        <v>138</v>
      </c>
      <c r="C1" s="200"/>
      <c r="D1" s="200"/>
      <c r="E1" s="200"/>
      <c r="F1" s="200"/>
      <c r="G1" s="200"/>
      <c r="H1" s="200"/>
      <c r="I1" s="200"/>
      <c r="J1" s="200"/>
      <c r="K1" s="200"/>
      <c r="L1" s="200"/>
      <c r="M1" s="200"/>
      <c r="N1" s="201"/>
      <c r="O1" s="190" t="s">
        <v>157</v>
      </c>
      <c r="P1" s="191"/>
      <c r="Q1" s="191"/>
      <c r="R1" s="191"/>
      <c r="S1" s="191"/>
      <c r="T1" s="191"/>
      <c r="U1" s="191"/>
      <c r="V1" s="191"/>
      <c r="W1" s="191"/>
      <c r="X1" s="191"/>
      <c r="Y1" s="191"/>
      <c r="Z1" s="191"/>
      <c r="AA1" s="191"/>
      <c r="AB1" s="191"/>
      <c r="AC1" s="191"/>
      <c r="AD1" s="192"/>
      <c r="AE1" s="190" t="s">
        <v>3287</v>
      </c>
      <c r="AF1" s="191"/>
      <c r="AG1" s="191"/>
      <c r="AH1" s="191"/>
      <c r="AI1" s="191"/>
      <c r="AJ1" s="191"/>
      <c r="AK1" s="191"/>
      <c r="AL1" s="191"/>
      <c r="AM1" s="191"/>
      <c r="AN1" s="191"/>
      <c r="AO1" s="191"/>
      <c r="AP1" s="191"/>
      <c r="AQ1" s="191"/>
      <c r="AR1" s="192"/>
      <c r="AS1" s="190"/>
      <c r="AT1" s="191"/>
      <c r="AU1" s="191"/>
      <c r="AV1" s="191"/>
      <c r="AW1" s="191"/>
      <c r="AX1" s="192"/>
      <c r="AY1" s="190"/>
      <c r="AZ1" s="191"/>
      <c r="BA1" s="191"/>
      <c r="BB1" s="191"/>
      <c r="BC1" s="191"/>
      <c r="BD1" s="192"/>
      <c r="BE1" s="190"/>
      <c r="BF1" s="191"/>
      <c r="BG1" s="191"/>
      <c r="BH1" s="191"/>
      <c r="BI1" s="191"/>
      <c r="BJ1" s="192"/>
    </row>
    <row r="2" spans="1:64">
      <c r="B2" s="202"/>
      <c r="C2" s="203"/>
      <c r="D2" s="203"/>
      <c r="E2" s="203"/>
      <c r="F2" s="203"/>
      <c r="G2" s="203"/>
      <c r="H2" s="203"/>
      <c r="I2" s="203"/>
      <c r="J2" s="203"/>
      <c r="K2" s="203"/>
      <c r="L2" s="203"/>
      <c r="M2" s="203"/>
      <c r="N2" s="204"/>
      <c r="O2" s="205" t="s">
        <v>3787</v>
      </c>
      <c r="P2" s="206"/>
      <c r="Q2" s="206"/>
      <c r="R2" s="206"/>
      <c r="S2" s="206"/>
      <c r="T2" s="206"/>
      <c r="U2" s="206"/>
      <c r="V2" s="206"/>
      <c r="W2" s="206"/>
      <c r="X2" s="206"/>
      <c r="Y2" s="206"/>
      <c r="Z2" s="206"/>
      <c r="AA2" s="206"/>
      <c r="AB2" s="206"/>
      <c r="AC2" s="206"/>
      <c r="AD2" s="207"/>
      <c r="AE2" s="205" t="s">
        <v>3788</v>
      </c>
      <c r="AF2" s="206"/>
      <c r="AG2" s="206"/>
      <c r="AH2" s="206"/>
      <c r="AI2" s="206"/>
      <c r="AJ2" s="206"/>
      <c r="AK2" s="206"/>
      <c r="AL2" s="206"/>
      <c r="AM2" s="206"/>
      <c r="AN2" s="206"/>
      <c r="AO2" s="206"/>
      <c r="AP2" s="206"/>
      <c r="AQ2" s="206"/>
      <c r="AR2" s="207"/>
      <c r="AS2" s="187"/>
      <c r="AT2" s="188"/>
      <c r="AU2" s="188"/>
      <c r="AV2" s="188"/>
      <c r="AW2" s="188"/>
      <c r="AX2" s="189"/>
      <c r="AY2" s="187"/>
      <c r="AZ2" s="188"/>
      <c r="BA2" s="188"/>
      <c r="BB2" s="188"/>
      <c r="BC2" s="188"/>
      <c r="BD2" s="189"/>
      <c r="BE2" s="187"/>
      <c r="BF2" s="188"/>
      <c r="BG2" s="188"/>
      <c r="BH2" s="188"/>
      <c r="BI2" s="188"/>
      <c r="BJ2" s="189"/>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21" t="s">
        <v>165</v>
      </c>
      <c r="C4" s="194"/>
      <c r="D4" s="194"/>
      <c r="E4" s="194"/>
      <c r="F4" s="214"/>
      <c r="G4" s="193" t="s">
        <v>164</v>
      </c>
      <c r="H4" s="194"/>
      <c r="I4" s="194"/>
      <c r="J4" s="194"/>
      <c r="K4" s="194"/>
      <c r="L4" s="194"/>
      <c r="M4" s="194"/>
      <c r="N4" s="214"/>
      <c r="O4" s="193" t="s">
        <v>160</v>
      </c>
      <c r="P4" s="208" t="s">
        <v>139</v>
      </c>
      <c r="Q4" s="209"/>
      <c r="R4" s="209"/>
      <c r="S4" s="209"/>
      <c r="T4" s="209"/>
      <c r="U4" s="209"/>
      <c r="V4" s="209"/>
      <c r="W4" s="209"/>
      <c r="X4" s="209"/>
      <c r="Y4" s="209"/>
      <c r="Z4" s="209"/>
      <c r="AA4" s="209"/>
      <c r="AB4" s="209"/>
      <c r="AC4" s="209"/>
      <c r="AD4" s="210"/>
      <c r="AE4" s="208" t="s">
        <v>136</v>
      </c>
      <c r="AF4" s="209"/>
      <c r="AG4" s="209"/>
      <c r="AH4" s="209"/>
      <c r="AI4" s="209"/>
      <c r="AJ4" s="209"/>
      <c r="AK4" s="209"/>
      <c r="AL4" s="210"/>
      <c r="AM4" s="193" t="s">
        <v>117</v>
      </c>
      <c r="AN4" s="194"/>
      <c r="AO4" s="194"/>
      <c r="AP4" s="194"/>
      <c r="AQ4" s="194"/>
      <c r="AR4" s="194"/>
      <c r="AS4" s="194"/>
      <c r="AT4" s="194"/>
      <c r="AU4" s="194"/>
      <c r="AV4" s="194"/>
      <c r="AW4" s="194"/>
      <c r="AX4" s="194"/>
      <c r="AY4" s="194"/>
      <c r="AZ4" s="194"/>
      <c r="BA4" s="194"/>
      <c r="BB4" s="194"/>
      <c r="BC4" s="194"/>
      <c r="BD4" s="194"/>
      <c r="BE4" s="194"/>
      <c r="BF4" s="194"/>
      <c r="BG4" s="194"/>
      <c r="BH4" s="194"/>
      <c r="BI4" s="194"/>
      <c r="BJ4" s="195"/>
    </row>
    <row r="5" spans="1:64" ht="42" customHeight="1" thickBot="1">
      <c r="B5" s="222"/>
      <c r="C5" s="216"/>
      <c r="D5" s="216"/>
      <c r="E5" s="216"/>
      <c r="F5" s="217"/>
      <c r="G5" s="215"/>
      <c r="H5" s="216"/>
      <c r="I5" s="216"/>
      <c r="J5" s="216"/>
      <c r="K5" s="216"/>
      <c r="L5" s="216"/>
      <c r="M5" s="216"/>
      <c r="N5" s="217"/>
      <c r="O5" s="218"/>
      <c r="P5" s="218"/>
      <c r="Q5" s="219"/>
      <c r="R5" s="219"/>
      <c r="S5" s="219"/>
      <c r="T5" s="219"/>
      <c r="U5" s="219"/>
      <c r="V5" s="219"/>
      <c r="W5" s="219"/>
      <c r="X5" s="219"/>
      <c r="Y5" s="219"/>
      <c r="Z5" s="219"/>
      <c r="AA5" s="219"/>
      <c r="AB5" s="219"/>
      <c r="AC5" s="219"/>
      <c r="AD5" s="220"/>
      <c r="AE5" s="211"/>
      <c r="AF5" s="212"/>
      <c r="AG5" s="212"/>
      <c r="AH5" s="212"/>
      <c r="AI5" s="212"/>
      <c r="AJ5" s="212"/>
      <c r="AK5" s="212"/>
      <c r="AL5" s="213"/>
      <c r="AM5" s="196"/>
      <c r="AN5" s="197"/>
      <c r="AO5" s="197"/>
      <c r="AP5" s="197"/>
      <c r="AQ5" s="197"/>
      <c r="AR5" s="197"/>
      <c r="AS5" s="197"/>
      <c r="AT5" s="197"/>
      <c r="AU5" s="197"/>
      <c r="AV5" s="197"/>
      <c r="AW5" s="197"/>
      <c r="AX5" s="197"/>
      <c r="AY5" s="197"/>
      <c r="AZ5" s="197"/>
      <c r="BA5" s="197"/>
      <c r="BB5" s="197"/>
      <c r="BC5" s="197"/>
      <c r="BD5" s="197"/>
      <c r="BE5" s="197"/>
      <c r="BF5" s="197"/>
      <c r="BG5" s="197"/>
      <c r="BH5" s="197"/>
      <c r="BI5" s="197"/>
      <c r="BJ5" s="198"/>
    </row>
    <row r="6" spans="1:64" ht="37.5" customHeight="1" outlineLevel="1" thickTop="1">
      <c r="A6" s="34" t="str">
        <f>P6</f>
        <v>バックアップ_疾患データ_組み入れ第一条件</v>
      </c>
      <c r="B6" s="139" t="str">
        <f>TEXT(1,"00")</f>
        <v>01</v>
      </c>
      <c r="C6" s="140"/>
      <c r="D6" s="140"/>
      <c r="E6" s="140"/>
      <c r="F6" s="141"/>
      <c r="G6" s="142" t="s">
        <v>196</v>
      </c>
      <c r="H6" s="143"/>
      <c r="I6" s="143"/>
      <c r="J6" s="143"/>
      <c r="K6" s="143"/>
      <c r="L6" s="143"/>
      <c r="M6" s="143"/>
      <c r="N6" s="144"/>
      <c r="O6" s="79" t="s">
        <v>3676</v>
      </c>
      <c r="P6" s="145" t="s">
        <v>3792</v>
      </c>
      <c r="Q6" s="146"/>
      <c r="R6" s="146"/>
      <c r="S6" s="146"/>
      <c r="T6" s="146"/>
      <c r="U6" s="146"/>
      <c r="V6" s="146"/>
      <c r="W6" s="146"/>
      <c r="X6" s="146"/>
      <c r="Y6" s="146"/>
      <c r="Z6" s="146"/>
      <c r="AA6" s="146"/>
      <c r="AB6" s="146"/>
      <c r="AC6" s="146"/>
      <c r="AD6" s="147"/>
      <c r="AE6" s="148" t="str">
        <f t="shared" ref="AE6" ca="1" si="0">IFERROR(INDIRECT(P6&amp;"!D8"),"")</f>
        <v>sny_202310_backup_shikkan_first_criteria</v>
      </c>
      <c r="AF6" s="149"/>
      <c r="AG6" s="149"/>
      <c r="AH6" s="149"/>
      <c r="AI6" s="149"/>
      <c r="AJ6" s="149"/>
      <c r="AK6" s="149"/>
      <c r="AL6" s="150"/>
      <c r="AM6" s="148" t="str">
        <f t="shared" ref="AM6" ca="1" si="1">IFERROR(INDIRECT(P6&amp;"!D9"),"")</f>
        <v>MML診断履歴情報からICD10コードがC900のもので絞り込んだ結果を格納するテーブル</v>
      </c>
      <c r="AN6" s="149"/>
      <c r="AO6" s="149"/>
      <c r="AP6" s="149"/>
      <c r="AQ6" s="149"/>
      <c r="AR6" s="149"/>
      <c r="AS6" s="149"/>
      <c r="AT6" s="149"/>
      <c r="AU6" s="149"/>
      <c r="AV6" s="149"/>
      <c r="AW6" s="149"/>
      <c r="AX6" s="149"/>
      <c r="AY6" s="149"/>
      <c r="AZ6" s="149"/>
      <c r="BA6" s="149"/>
      <c r="BB6" s="149"/>
      <c r="BC6" s="149"/>
      <c r="BD6" s="149"/>
      <c r="BE6" s="149"/>
      <c r="BF6" s="149"/>
      <c r="BG6" s="149"/>
      <c r="BH6" s="149"/>
      <c r="BI6" s="149"/>
      <c r="BJ6" s="151"/>
      <c r="BK6" s="32" t="str">
        <f t="shared" ref="BK6:BK7" si="2">IF(P6&lt;&gt;"",O6&amp;"_"&amp;P6&amp;".sql","")</f>
        <v>ENT_01_01_バックアップ_疾患データ_組み入れ第一条件.sql</v>
      </c>
    </row>
    <row r="7" spans="1:64" ht="37.5" customHeight="1" outlineLevel="1">
      <c r="A7" s="34" t="str">
        <f t="shared" ref="A7" si="3">P7</f>
        <v>バックアップ_患者マスタ_組入れ第一条件</v>
      </c>
      <c r="B7" s="139" t="str">
        <f t="shared" ref="B7" si="4">TEXT(1,"00")</f>
        <v>01</v>
      </c>
      <c r="C7" s="140"/>
      <c r="D7" s="140"/>
      <c r="E7" s="140"/>
      <c r="F7" s="141"/>
      <c r="G7" s="142" t="s">
        <v>196</v>
      </c>
      <c r="H7" s="143"/>
      <c r="I7" s="143"/>
      <c r="J7" s="143"/>
      <c r="K7" s="143"/>
      <c r="L7" s="143"/>
      <c r="M7" s="143"/>
      <c r="N7" s="144"/>
      <c r="O7" s="79" t="s">
        <v>3677</v>
      </c>
      <c r="P7" s="145" t="s">
        <v>3679</v>
      </c>
      <c r="Q7" s="146"/>
      <c r="R7" s="146"/>
      <c r="S7" s="146"/>
      <c r="T7" s="146"/>
      <c r="U7" s="146"/>
      <c r="V7" s="146"/>
      <c r="W7" s="146"/>
      <c r="X7" s="146"/>
      <c r="Y7" s="146"/>
      <c r="Z7" s="146"/>
      <c r="AA7" s="146"/>
      <c r="AB7" s="146"/>
      <c r="AC7" s="146"/>
      <c r="AD7" s="147"/>
      <c r="AE7" s="148" t="str">
        <f t="shared" ref="AE7" ca="1" si="5">IFERROR(INDIRECT(P7&amp;"!D8"),"")</f>
        <v>sny_202310_backup_kanja_first_criteria</v>
      </c>
      <c r="AF7" s="149"/>
      <c r="AG7" s="149"/>
      <c r="AH7" s="149"/>
      <c r="AI7" s="149"/>
      <c r="AJ7" s="149"/>
      <c r="AK7" s="149"/>
      <c r="AL7" s="150"/>
      <c r="AM7" s="148" t="str">
        <f t="shared" ref="AM7" ca="1" si="6">IFERROR(INDIRECT(P7&amp;"!D9"),"")</f>
        <v>患者マスタ_組入れ第一条件テーブルから組入れ条件の第一条件で絞り込んだ結果を格納するテーブル</v>
      </c>
      <c r="AN7" s="149"/>
      <c r="AO7" s="149"/>
      <c r="AP7" s="149"/>
      <c r="AQ7" s="149"/>
      <c r="AR7" s="149"/>
      <c r="AS7" s="149"/>
      <c r="AT7" s="149"/>
      <c r="AU7" s="149"/>
      <c r="AV7" s="149"/>
      <c r="AW7" s="149"/>
      <c r="AX7" s="149"/>
      <c r="AY7" s="149"/>
      <c r="AZ7" s="149"/>
      <c r="BA7" s="149"/>
      <c r="BB7" s="149"/>
      <c r="BC7" s="149"/>
      <c r="BD7" s="149"/>
      <c r="BE7" s="149"/>
      <c r="BF7" s="149"/>
      <c r="BG7" s="149"/>
      <c r="BH7" s="149"/>
      <c r="BI7" s="149"/>
      <c r="BJ7" s="151"/>
      <c r="BK7" s="32" t="str">
        <f t="shared" si="2"/>
        <v>ENT_01_02_バックアップ_患者マスタ_組入れ第一条件.sql</v>
      </c>
    </row>
    <row r="8" spans="1:64" ht="37.5" customHeight="1" outlineLevel="1">
      <c r="A8" s="34" t="str">
        <f t="shared" ref="A8:A19" si="7">P8</f>
        <v>バックアップ_処方データ</v>
      </c>
      <c r="B8" s="139" t="str">
        <f t="shared" ref="B8:B152" si="8">TEXT(1,"00")</f>
        <v>01</v>
      </c>
      <c r="C8" s="140"/>
      <c r="D8" s="140"/>
      <c r="E8" s="140"/>
      <c r="F8" s="141"/>
      <c r="G8" s="142" t="s">
        <v>196</v>
      </c>
      <c r="H8" s="143"/>
      <c r="I8" s="143"/>
      <c r="J8" s="143"/>
      <c r="K8" s="143"/>
      <c r="L8" s="143"/>
      <c r="M8" s="143"/>
      <c r="N8" s="144"/>
      <c r="O8" s="79" t="s">
        <v>3136</v>
      </c>
      <c r="P8" s="145" t="s">
        <v>1739</v>
      </c>
      <c r="Q8" s="146"/>
      <c r="R8" s="146"/>
      <c r="S8" s="146"/>
      <c r="T8" s="146"/>
      <c r="U8" s="146"/>
      <c r="V8" s="146"/>
      <c r="W8" s="146"/>
      <c r="X8" s="146"/>
      <c r="Y8" s="146"/>
      <c r="Z8" s="146"/>
      <c r="AA8" s="146"/>
      <c r="AB8" s="146"/>
      <c r="AC8" s="146"/>
      <c r="AD8" s="147"/>
      <c r="AE8" s="148" t="str">
        <f t="shared" ref="AE8:AE19" ca="1" si="9">IFERROR(INDIRECT(P8&amp;"!D8"),"")</f>
        <v>sny_202310_backup_mart_shohou</v>
      </c>
      <c r="AF8" s="149"/>
      <c r="AG8" s="149"/>
      <c r="AH8" s="149"/>
      <c r="AI8" s="149"/>
      <c r="AJ8" s="149"/>
      <c r="AK8" s="149"/>
      <c r="AL8" s="150"/>
      <c r="AM8" s="148" t="str">
        <f t="shared" ref="AM8:AM19" ca="1" si="10">IFERROR(INDIRECT(P8&amp;"!D9"),"")</f>
        <v>処方データテーブルから組入れ条件の第一条件で絞り込んだ結果を格納するテーブル</v>
      </c>
      <c r="AN8" s="149"/>
      <c r="AO8" s="149"/>
      <c r="AP8" s="149"/>
      <c r="AQ8" s="149"/>
      <c r="AR8" s="149"/>
      <c r="AS8" s="149"/>
      <c r="AT8" s="149"/>
      <c r="AU8" s="149"/>
      <c r="AV8" s="149"/>
      <c r="AW8" s="149"/>
      <c r="AX8" s="149"/>
      <c r="AY8" s="149"/>
      <c r="AZ8" s="149"/>
      <c r="BA8" s="149"/>
      <c r="BB8" s="149"/>
      <c r="BC8" s="149"/>
      <c r="BD8" s="149"/>
      <c r="BE8" s="149"/>
      <c r="BF8" s="149"/>
      <c r="BG8" s="149"/>
      <c r="BH8" s="149"/>
      <c r="BI8" s="149"/>
      <c r="BJ8" s="151"/>
      <c r="BK8" s="32" t="str">
        <f t="shared" ref="BK8:BK19" si="11">IF(P8&lt;&gt;"",O8&amp;"_"&amp;P8&amp;".sql","")</f>
        <v>ENT_01_A1-02_バックアップ_処方データ.sql</v>
      </c>
      <c r="BL8" s="32">
        <v>1</v>
      </c>
    </row>
    <row r="9" spans="1:64" ht="37.5" customHeight="1" outlineLevel="1">
      <c r="A9" s="34" t="str">
        <f t="shared" si="7"/>
        <v>バックアップ_診療行為データ</v>
      </c>
      <c r="B9" s="139" t="str">
        <f t="shared" si="8"/>
        <v>01</v>
      </c>
      <c r="C9" s="140"/>
      <c r="D9" s="140"/>
      <c r="E9" s="140"/>
      <c r="F9" s="141"/>
      <c r="G9" s="142" t="s">
        <v>196</v>
      </c>
      <c r="H9" s="143"/>
      <c r="I9" s="143"/>
      <c r="J9" s="143"/>
      <c r="K9" s="143"/>
      <c r="L9" s="143"/>
      <c r="M9" s="143"/>
      <c r="N9" s="144"/>
      <c r="O9" s="79" t="s">
        <v>3137</v>
      </c>
      <c r="P9" s="145" t="s">
        <v>1766</v>
      </c>
      <c r="Q9" s="146"/>
      <c r="R9" s="146"/>
      <c r="S9" s="146"/>
      <c r="T9" s="146"/>
      <c r="U9" s="146"/>
      <c r="V9" s="146"/>
      <c r="W9" s="146"/>
      <c r="X9" s="146"/>
      <c r="Y9" s="146"/>
      <c r="Z9" s="146"/>
      <c r="AA9" s="146"/>
      <c r="AB9" s="146"/>
      <c r="AC9" s="146"/>
      <c r="AD9" s="147"/>
      <c r="AE9" s="148" t="str">
        <f t="shared" ca="1" si="9"/>
        <v>sny_202310_backup_mart_shinryou_koui</v>
      </c>
      <c r="AF9" s="149"/>
      <c r="AG9" s="149"/>
      <c r="AH9" s="149"/>
      <c r="AI9" s="149"/>
      <c r="AJ9" s="149"/>
      <c r="AK9" s="149"/>
      <c r="AL9" s="150"/>
      <c r="AM9" s="148" t="str">
        <f t="shared" ca="1" si="10"/>
        <v>診療行為データテーブルから組入れ条件の第一条件で絞り込んだ結果を格納するテーブル</v>
      </c>
      <c r="AN9" s="149"/>
      <c r="AO9" s="149"/>
      <c r="AP9" s="149"/>
      <c r="AQ9" s="149"/>
      <c r="AR9" s="149"/>
      <c r="AS9" s="149"/>
      <c r="AT9" s="149"/>
      <c r="AU9" s="149"/>
      <c r="AV9" s="149"/>
      <c r="AW9" s="149"/>
      <c r="AX9" s="149"/>
      <c r="AY9" s="149"/>
      <c r="AZ9" s="149"/>
      <c r="BA9" s="149"/>
      <c r="BB9" s="149"/>
      <c r="BC9" s="149"/>
      <c r="BD9" s="149"/>
      <c r="BE9" s="149"/>
      <c r="BF9" s="149"/>
      <c r="BG9" s="149"/>
      <c r="BH9" s="149"/>
      <c r="BI9" s="149"/>
      <c r="BJ9" s="151"/>
      <c r="BK9" s="32" t="str">
        <f t="shared" si="11"/>
        <v>ENT_01_A1-03_バックアップ_診療行為データ.sql</v>
      </c>
      <c r="BL9" s="32">
        <v>1</v>
      </c>
    </row>
    <row r="10" spans="1:64" ht="37.5" customHeight="1" outlineLevel="1">
      <c r="A10" s="34" t="str">
        <f t="shared" si="7"/>
        <v>バックアップ_疾患データ</v>
      </c>
      <c r="B10" s="139" t="str">
        <f t="shared" si="8"/>
        <v>01</v>
      </c>
      <c r="C10" s="140"/>
      <c r="D10" s="140"/>
      <c r="E10" s="140"/>
      <c r="F10" s="141"/>
      <c r="G10" s="142" t="s">
        <v>196</v>
      </c>
      <c r="H10" s="143"/>
      <c r="I10" s="143"/>
      <c r="J10" s="143"/>
      <c r="K10" s="143"/>
      <c r="L10" s="143"/>
      <c r="M10" s="143"/>
      <c r="N10" s="144"/>
      <c r="O10" s="79" t="s">
        <v>3138</v>
      </c>
      <c r="P10" s="145" t="s">
        <v>1775</v>
      </c>
      <c r="Q10" s="146"/>
      <c r="R10" s="146"/>
      <c r="S10" s="146"/>
      <c r="T10" s="146"/>
      <c r="U10" s="146"/>
      <c r="V10" s="146"/>
      <c r="W10" s="146"/>
      <c r="X10" s="146"/>
      <c r="Y10" s="146"/>
      <c r="Z10" s="146"/>
      <c r="AA10" s="146"/>
      <c r="AB10" s="146"/>
      <c r="AC10" s="146"/>
      <c r="AD10" s="147"/>
      <c r="AE10" s="148" t="str">
        <f t="shared" ca="1" si="9"/>
        <v>sny_202310_backup_mart_shikkan</v>
      </c>
      <c r="AF10" s="149"/>
      <c r="AG10" s="149"/>
      <c r="AH10" s="149"/>
      <c r="AI10" s="149"/>
      <c r="AJ10" s="149"/>
      <c r="AK10" s="149"/>
      <c r="AL10" s="150"/>
      <c r="AM10" s="148" t="str">
        <f t="shared" ca="1" si="10"/>
        <v>疾患データテーブルから組入れ条件の第一条件で絞り込んだ結果を格納するテーブル</v>
      </c>
      <c r="AN10" s="149"/>
      <c r="AO10" s="149"/>
      <c r="AP10" s="149"/>
      <c r="AQ10" s="149"/>
      <c r="AR10" s="149"/>
      <c r="AS10" s="149"/>
      <c r="AT10" s="149"/>
      <c r="AU10" s="149"/>
      <c r="AV10" s="149"/>
      <c r="AW10" s="149"/>
      <c r="AX10" s="149"/>
      <c r="AY10" s="149"/>
      <c r="AZ10" s="149"/>
      <c r="BA10" s="149"/>
      <c r="BB10" s="149"/>
      <c r="BC10" s="149"/>
      <c r="BD10" s="149"/>
      <c r="BE10" s="149"/>
      <c r="BF10" s="149"/>
      <c r="BG10" s="149"/>
      <c r="BH10" s="149"/>
      <c r="BI10" s="149"/>
      <c r="BJ10" s="151"/>
      <c r="BK10" s="32" t="str">
        <f t="shared" si="11"/>
        <v>ENT_01_A1-04_バックアップ_疾患データ.sql</v>
      </c>
    </row>
    <row r="11" spans="1:64" ht="37.5" customHeight="1" outlineLevel="1">
      <c r="A11" s="34" t="str">
        <f t="shared" si="7"/>
        <v>バックアップ_疾患診療科データ</v>
      </c>
      <c r="B11" s="139" t="str">
        <f t="shared" si="8"/>
        <v>01</v>
      </c>
      <c r="C11" s="140"/>
      <c r="D11" s="140"/>
      <c r="E11" s="140"/>
      <c r="F11" s="141"/>
      <c r="G11" s="142" t="s">
        <v>196</v>
      </c>
      <c r="H11" s="143"/>
      <c r="I11" s="143"/>
      <c r="J11" s="143"/>
      <c r="K11" s="143"/>
      <c r="L11" s="143"/>
      <c r="M11" s="143"/>
      <c r="N11" s="144"/>
      <c r="O11" s="79" t="s">
        <v>3139</v>
      </c>
      <c r="P11" s="145" t="s">
        <v>1802</v>
      </c>
      <c r="Q11" s="146"/>
      <c r="R11" s="146"/>
      <c r="S11" s="146"/>
      <c r="T11" s="146"/>
      <c r="U11" s="146"/>
      <c r="V11" s="146"/>
      <c r="W11" s="146"/>
      <c r="X11" s="146"/>
      <c r="Y11" s="146"/>
      <c r="Z11" s="146"/>
      <c r="AA11" s="146"/>
      <c r="AB11" s="146"/>
      <c r="AC11" s="146"/>
      <c r="AD11" s="147"/>
      <c r="AE11" s="148" t="str">
        <f t="shared" ca="1" si="9"/>
        <v>sny_202310_backup_mart_shikkan_department</v>
      </c>
      <c r="AF11" s="149"/>
      <c r="AG11" s="149"/>
      <c r="AH11" s="149"/>
      <c r="AI11" s="149"/>
      <c r="AJ11" s="149"/>
      <c r="AK11" s="149"/>
      <c r="AL11" s="150"/>
      <c r="AM11" s="148" t="str">
        <f t="shared" ca="1" si="10"/>
        <v>疾患診療科データテーブルから組入れ条件の第一条件で絞り込んだ結果を格納するテーブル</v>
      </c>
      <c r="AN11" s="149"/>
      <c r="AO11" s="149"/>
      <c r="AP11" s="149"/>
      <c r="AQ11" s="149"/>
      <c r="AR11" s="149"/>
      <c r="AS11" s="149"/>
      <c r="AT11" s="149"/>
      <c r="AU11" s="149"/>
      <c r="AV11" s="149"/>
      <c r="AW11" s="149"/>
      <c r="AX11" s="149"/>
      <c r="AY11" s="149"/>
      <c r="AZ11" s="149"/>
      <c r="BA11" s="149"/>
      <c r="BB11" s="149"/>
      <c r="BC11" s="149"/>
      <c r="BD11" s="149"/>
      <c r="BE11" s="149"/>
      <c r="BF11" s="149"/>
      <c r="BG11" s="149"/>
      <c r="BH11" s="149"/>
      <c r="BI11" s="149"/>
      <c r="BJ11" s="151"/>
      <c r="BK11" s="32" t="str">
        <f t="shared" si="11"/>
        <v>ENT_01_A1-05_バックアップ_疾患診療科データ.sql</v>
      </c>
    </row>
    <row r="12" spans="1:64" ht="37.5" customHeight="1" outlineLevel="1">
      <c r="A12" s="34" t="str">
        <f t="shared" si="7"/>
        <v>バックアップ_入院退院データ</v>
      </c>
      <c r="B12" s="139" t="str">
        <f t="shared" si="8"/>
        <v>01</v>
      </c>
      <c r="C12" s="140"/>
      <c r="D12" s="140"/>
      <c r="E12" s="140"/>
      <c r="F12" s="141"/>
      <c r="G12" s="142" t="s">
        <v>196</v>
      </c>
      <c r="H12" s="143"/>
      <c r="I12" s="143"/>
      <c r="J12" s="143"/>
      <c r="K12" s="143"/>
      <c r="L12" s="143"/>
      <c r="M12" s="143"/>
      <c r="N12" s="144"/>
      <c r="O12" s="79" t="s">
        <v>3140</v>
      </c>
      <c r="P12" s="145" t="s">
        <v>1810</v>
      </c>
      <c r="Q12" s="146"/>
      <c r="R12" s="146"/>
      <c r="S12" s="146"/>
      <c r="T12" s="146"/>
      <c r="U12" s="146"/>
      <c r="V12" s="146"/>
      <c r="W12" s="146"/>
      <c r="X12" s="146"/>
      <c r="Y12" s="146"/>
      <c r="Z12" s="146"/>
      <c r="AA12" s="146"/>
      <c r="AB12" s="146"/>
      <c r="AC12" s="146"/>
      <c r="AD12" s="147"/>
      <c r="AE12" s="148" t="str">
        <f t="shared" ca="1" si="9"/>
        <v>sny_202310_backup_mart_nyu_tai_in</v>
      </c>
      <c r="AF12" s="149"/>
      <c r="AG12" s="149"/>
      <c r="AH12" s="149"/>
      <c r="AI12" s="149"/>
      <c r="AJ12" s="149"/>
      <c r="AK12" s="149"/>
      <c r="AL12" s="150"/>
      <c r="AM12" s="148" t="str">
        <f t="shared" ca="1" si="10"/>
        <v>入院退院データテーブルから組入れ条件の第一条件で絞り込んだ結果を格納するテーブル</v>
      </c>
      <c r="AN12" s="149"/>
      <c r="AO12" s="149"/>
      <c r="AP12" s="149"/>
      <c r="AQ12" s="149"/>
      <c r="AR12" s="149"/>
      <c r="AS12" s="149"/>
      <c r="AT12" s="149"/>
      <c r="AU12" s="149"/>
      <c r="AV12" s="149"/>
      <c r="AW12" s="149"/>
      <c r="AX12" s="149"/>
      <c r="AY12" s="149"/>
      <c r="AZ12" s="149"/>
      <c r="BA12" s="149"/>
      <c r="BB12" s="149"/>
      <c r="BC12" s="149"/>
      <c r="BD12" s="149"/>
      <c r="BE12" s="149"/>
      <c r="BF12" s="149"/>
      <c r="BG12" s="149"/>
      <c r="BH12" s="149"/>
      <c r="BI12" s="149"/>
      <c r="BJ12" s="151"/>
      <c r="BK12" s="32" t="str">
        <f t="shared" si="11"/>
        <v>ENT_01_A1-06_バックアップ_入院退院データ.sql</v>
      </c>
      <c r="BL12" s="32">
        <v>1</v>
      </c>
    </row>
    <row r="13" spans="1:64" ht="37.5" customHeight="1" outlineLevel="1">
      <c r="A13" s="34" t="str">
        <f t="shared" si="7"/>
        <v>バックアップ_二次利用DB登録患者データ</v>
      </c>
      <c r="B13" s="139" t="str">
        <f t="shared" si="8"/>
        <v>01</v>
      </c>
      <c r="C13" s="140"/>
      <c r="D13" s="140"/>
      <c r="E13" s="140"/>
      <c r="F13" s="141"/>
      <c r="G13" s="142" t="s">
        <v>196</v>
      </c>
      <c r="H13" s="143"/>
      <c r="I13" s="143"/>
      <c r="J13" s="143"/>
      <c r="K13" s="143"/>
      <c r="L13" s="143"/>
      <c r="M13" s="143"/>
      <c r="N13" s="144"/>
      <c r="O13" s="79" t="s">
        <v>3141</v>
      </c>
      <c r="P13" s="145" t="s">
        <v>1823</v>
      </c>
      <c r="Q13" s="146"/>
      <c r="R13" s="146"/>
      <c r="S13" s="146"/>
      <c r="T13" s="146"/>
      <c r="U13" s="146"/>
      <c r="V13" s="146"/>
      <c r="W13" s="146"/>
      <c r="X13" s="146"/>
      <c r="Y13" s="146"/>
      <c r="Z13" s="146"/>
      <c r="AA13" s="146"/>
      <c r="AB13" s="146"/>
      <c r="AC13" s="146"/>
      <c r="AD13" s="147"/>
      <c r="AE13" s="148" t="str">
        <f t="shared" ca="1" si="9"/>
        <v>sny_202310_backup_mart_2riyo_patient_id</v>
      </c>
      <c r="AF13" s="149"/>
      <c r="AG13" s="149"/>
      <c r="AH13" s="149"/>
      <c r="AI13" s="149"/>
      <c r="AJ13" s="149"/>
      <c r="AK13" s="149"/>
      <c r="AL13" s="150"/>
      <c r="AM13" s="148" t="str">
        <f t="shared" ca="1" si="10"/>
        <v>二次利用DB登録患者データテーブルから組入れ条件の第一条件で絞り込んだ結果を格納するテーブル</v>
      </c>
      <c r="AN13" s="149"/>
      <c r="AO13" s="149"/>
      <c r="AP13" s="149"/>
      <c r="AQ13" s="149"/>
      <c r="AR13" s="149"/>
      <c r="AS13" s="149"/>
      <c r="AT13" s="149"/>
      <c r="AU13" s="149"/>
      <c r="AV13" s="149"/>
      <c r="AW13" s="149"/>
      <c r="AX13" s="149"/>
      <c r="AY13" s="149"/>
      <c r="AZ13" s="149"/>
      <c r="BA13" s="149"/>
      <c r="BB13" s="149"/>
      <c r="BC13" s="149"/>
      <c r="BD13" s="149"/>
      <c r="BE13" s="149"/>
      <c r="BF13" s="149"/>
      <c r="BG13" s="149"/>
      <c r="BH13" s="149"/>
      <c r="BI13" s="149"/>
      <c r="BJ13" s="151"/>
      <c r="BK13" s="32" t="str">
        <f t="shared" si="11"/>
        <v>ENT_01_A1-07_バックアップ_二次利用DB登録患者データ.sql</v>
      </c>
    </row>
    <row r="14" spans="1:64" ht="37.5" customHeight="1" outlineLevel="1">
      <c r="A14" s="34" t="str">
        <f t="shared" si="7"/>
        <v>バックアップ_二次利用DB登録患者データ_DPC</v>
      </c>
      <c r="B14" s="139" t="str">
        <f t="shared" si="8"/>
        <v>01</v>
      </c>
      <c r="C14" s="140"/>
      <c r="D14" s="140"/>
      <c r="E14" s="140"/>
      <c r="F14" s="141"/>
      <c r="G14" s="142" t="s">
        <v>196</v>
      </c>
      <c r="H14" s="143"/>
      <c r="I14" s="143"/>
      <c r="J14" s="143"/>
      <c r="K14" s="143"/>
      <c r="L14" s="143"/>
      <c r="M14" s="143"/>
      <c r="N14" s="144"/>
      <c r="O14" s="79" t="s">
        <v>3142</v>
      </c>
      <c r="P14" s="145" t="s">
        <v>1829</v>
      </c>
      <c r="Q14" s="146"/>
      <c r="R14" s="146"/>
      <c r="S14" s="146"/>
      <c r="T14" s="146"/>
      <c r="U14" s="146"/>
      <c r="V14" s="146"/>
      <c r="W14" s="146"/>
      <c r="X14" s="146"/>
      <c r="Y14" s="146"/>
      <c r="Z14" s="146"/>
      <c r="AA14" s="146"/>
      <c r="AB14" s="146"/>
      <c r="AC14" s="146"/>
      <c r="AD14" s="147"/>
      <c r="AE14" s="148" t="str">
        <f t="shared" ca="1" si="9"/>
        <v>sny_202310_backup_mart_2riyo_patient_id_dpc</v>
      </c>
      <c r="AF14" s="149"/>
      <c r="AG14" s="149"/>
      <c r="AH14" s="149"/>
      <c r="AI14" s="149"/>
      <c r="AJ14" s="149"/>
      <c r="AK14" s="149"/>
      <c r="AL14" s="150"/>
      <c r="AM14" s="148" t="str">
        <f t="shared" ca="1" si="10"/>
        <v>二次利用DB登録患者データ_DPCテーブルから組入れ条件の第一条件で絞り込んだ結果を格納するテーブル</v>
      </c>
      <c r="AN14" s="149"/>
      <c r="AO14" s="149"/>
      <c r="AP14" s="149"/>
      <c r="AQ14" s="149"/>
      <c r="AR14" s="149"/>
      <c r="AS14" s="149"/>
      <c r="AT14" s="149"/>
      <c r="AU14" s="149"/>
      <c r="AV14" s="149"/>
      <c r="AW14" s="149"/>
      <c r="AX14" s="149"/>
      <c r="AY14" s="149"/>
      <c r="AZ14" s="149"/>
      <c r="BA14" s="149"/>
      <c r="BB14" s="149"/>
      <c r="BC14" s="149"/>
      <c r="BD14" s="149"/>
      <c r="BE14" s="149"/>
      <c r="BF14" s="149"/>
      <c r="BG14" s="149"/>
      <c r="BH14" s="149"/>
      <c r="BI14" s="149"/>
      <c r="BJ14" s="151"/>
      <c r="BK14" s="32" t="str">
        <f t="shared" si="11"/>
        <v>ENT_01_A1-08_バックアップ_二次利用DB登録患者データ_DPC.sql</v>
      </c>
    </row>
    <row r="15" spans="1:64" ht="37.5" customHeight="1" outlineLevel="1">
      <c r="A15" s="34" t="str">
        <f t="shared" si="7"/>
        <v>バックアップ_二次利用DB登録患者データ_レセプト</v>
      </c>
      <c r="B15" s="139" t="str">
        <f t="shared" si="8"/>
        <v>01</v>
      </c>
      <c r="C15" s="140"/>
      <c r="D15" s="140"/>
      <c r="E15" s="140"/>
      <c r="F15" s="141"/>
      <c r="G15" s="142" t="s">
        <v>196</v>
      </c>
      <c r="H15" s="143"/>
      <c r="I15" s="143"/>
      <c r="J15" s="143"/>
      <c r="K15" s="143"/>
      <c r="L15" s="143"/>
      <c r="M15" s="143"/>
      <c r="N15" s="144"/>
      <c r="O15" s="79" t="s">
        <v>3143</v>
      </c>
      <c r="P15" s="145" t="s">
        <v>1839</v>
      </c>
      <c r="Q15" s="146"/>
      <c r="R15" s="146"/>
      <c r="S15" s="146"/>
      <c r="T15" s="146"/>
      <c r="U15" s="146"/>
      <c r="V15" s="146"/>
      <c r="W15" s="146"/>
      <c r="X15" s="146"/>
      <c r="Y15" s="146"/>
      <c r="Z15" s="146"/>
      <c r="AA15" s="146"/>
      <c r="AB15" s="146"/>
      <c r="AC15" s="146"/>
      <c r="AD15" s="147"/>
      <c r="AE15" s="148" t="str">
        <f t="shared" ca="1" si="9"/>
        <v>sny_202310_backup_mart_2riyo_patient_id_rcp</v>
      </c>
      <c r="AF15" s="149"/>
      <c r="AG15" s="149"/>
      <c r="AH15" s="149"/>
      <c r="AI15" s="149"/>
      <c r="AJ15" s="149"/>
      <c r="AK15" s="149"/>
      <c r="AL15" s="150"/>
      <c r="AM15" s="148" t="str">
        <f t="shared" ca="1" si="10"/>
        <v>二次利用DB登録患者データ_レセプトテーブルから組入れ条件の第一条件で絞り込んだ結果を格納するテーブル</v>
      </c>
      <c r="AN15" s="149"/>
      <c r="AO15" s="149"/>
      <c r="AP15" s="149"/>
      <c r="AQ15" s="149"/>
      <c r="AR15" s="149"/>
      <c r="AS15" s="149"/>
      <c r="AT15" s="149"/>
      <c r="AU15" s="149"/>
      <c r="AV15" s="149"/>
      <c r="AW15" s="149"/>
      <c r="AX15" s="149"/>
      <c r="AY15" s="149"/>
      <c r="AZ15" s="149"/>
      <c r="BA15" s="149"/>
      <c r="BB15" s="149"/>
      <c r="BC15" s="149"/>
      <c r="BD15" s="149"/>
      <c r="BE15" s="149"/>
      <c r="BF15" s="149"/>
      <c r="BG15" s="149"/>
      <c r="BH15" s="149"/>
      <c r="BI15" s="149"/>
      <c r="BJ15" s="151"/>
      <c r="BK15" s="32" t="str">
        <f t="shared" si="11"/>
        <v>ENT_01_A1-09_バックアップ_二次利用DB登録患者データ_レセプト.sql</v>
      </c>
    </row>
    <row r="16" spans="1:64" ht="37.5" customHeight="1" outlineLevel="1">
      <c r="A16" s="34" t="str">
        <f t="shared" si="7"/>
        <v>バックアップ_二次利用DB登録患者データ_MML</v>
      </c>
      <c r="B16" s="139" t="str">
        <f t="shared" si="8"/>
        <v>01</v>
      </c>
      <c r="C16" s="140"/>
      <c r="D16" s="140"/>
      <c r="E16" s="140"/>
      <c r="F16" s="141"/>
      <c r="G16" s="142" t="s">
        <v>196</v>
      </c>
      <c r="H16" s="143"/>
      <c r="I16" s="143"/>
      <c r="J16" s="143"/>
      <c r="K16" s="143"/>
      <c r="L16" s="143"/>
      <c r="M16" s="143"/>
      <c r="N16" s="144"/>
      <c r="O16" s="79" t="s">
        <v>3144</v>
      </c>
      <c r="P16" s="145" t="s">
        <v>1842</v>
      </c>
      <c r="Q16" s="146"/>
      <c r="R16" s="146"/>
      <c r="S16" s="146"/>
      <c r="T16" s="146"/>
      <c r="U16" s="146"/>
      <c r="V16" s="146"/>
      <c r="W16" s="146"/>
      <c r="X16" s="146"/>
      <c r="Y16" s="146"/>
      <c r="Z16" s="146"/>
      <c r="AA16" s="146"/>
      <c r="AB16" s="146"/>
      <c r="AC16" s="146"/>
      <c r="AD16" s="147"/>
      <c r="AE16" s="148" t="str">
        <f t="shared" ca="1" si="9"/>
        <v>sny_202310_backup_mart_2riyo_patient_id_mml</v>
      </c>
      <c r="AF16" s="149"/>
      <c r="AG16" s="149"/>
      <c r="AH16" s="149"/>
      <c r="AI16" s="149"/>
      <c r="AJ16" s="149"/>
      <c r="AK16" s="149"/>
      <c r="AL16" s="150"/>
      <c r="AM16" s="148" t="str">
        <f t="shared" ca="1" si="10"/>
        <v>二次利用DB登録患者データ_MMLテーブルから組入れ条件の第一条件で絞り込んだ結果を格納するテーブル</v>
      </c>
      <c r="AN16" s="149"/>
      <c r="AO16" s="149"/>
      <c r="AP16" s="149"/>
      <c r="AQ16" s="149"/>
      <c r="AR16" s="149"/>
      <c r="AS16" s="149"/>
      <c r="AT16" s="149"/>
      <c r="AU16" s="149"/>
      <c r="AV16" s="149"/>
      <c r="AW16" s="149"/>
      <c r="AX16" s="149"/>
      <c r="AY16" s="149"/>
      <c r="AZ16" s="149"/>
      <c r="BA16" s="149"/>
      <c r="BB16" s="149"/>
      <c r="BC16" s="149"/>
      <c r="BD16" s="149"/>
      <c r="BE16" s="149"/>
      <c r="BF16" s="149"/>
      <c r="BG16" s="149"/>
      <c r="BH16" s="149"/>
      <c r="BI16" s="149"/>
      <c r="BJ16" s="151"/>
      <c r="BK16" s="32" t="str">
        <f t="shared" si="11"/>
        <v>ENT_01_A1-10_バックアップ_二次利用DB登録患者データ_MML.sql</v>
      </c>
    </row>
    <row r="17" spans="1:64" ht="37.5" customHeight="1" outlineLevel="1">
      <c r="A17" s="34" t="str">
        <f t="shared" si="7"/>
        <v>バックアップ_二次利用DB登録患者紐付けデータ</v>
      </c>
      <c r="B17" s="139" t="str">
        <f t="shared" si="8"/>
        <v>01</v>
      </c>
      <c r="C17" s="140"/>
      <c r="D17" s="140"/>
      <c r="E17" s="140"/>
      <c r="F17" s="141"/>
      <c r="G17" s="142" t="s">
        <v>196</v>
      </c>
      <c r="H17" s="143"/>
      <c r="I17" s="143"/>
      <c r="J17" s="143"/>
      <c r="K17" s="143"/>
      <c r="L17" s="143"/>
      <c r="M17" s="143"/>
      <c r="N17" s="144"/>
      <c r="O17" s="79" t="s">
        <v>3145</v>
      </c>
      <c r="P17" s="145" t="s">
        <v>1846</v>
      </c>
      <c r="Q17" s="146"/>
      <c r="R17" s="146"/>
      <c r="S17" s="146"/>
      <c r="T17" s="146"/>
      <c r="U17" s="146"/>
      <c r="V17" s="146"/>
      <c r="W17" s="146"/>
      <c r="X17" s="146"/>
      <c r="Y17" s="146"/>
      <c r="Z17" s="146"/>
      <c r="AA17" s="146"/>
      <c r="AB17" s="146"/>
      <c r="AC17" s="146"/>
      <c r="AD17" s="147"/>
      <c r="AE17" s="148" t="str">
        <f t="shared" ca="1" si="9"/>
        <v>sny_202310_backup_mart_2riyo_patient_himoduke</v>
      </c>
      <c r="AF17" s="149"/>
      <c r="AG17" s="149"/>
      <c r="AH17" s="149"/>
      <c r="AI17" s="149"/>
      <c r="AJ17" s="149"/>
      <c r="AK17" s="149"/>
      <c r="AL17" s="150"/>
      <c r="AM17" s="148" t="str">
        <f t="shared" ca="1" si="10"/>
        <v>二次利用DB登録患者紐付けデータテーブルから組入れ条件の第一条件で絞り込んだ結果を格納するテーブル</v>
      </c>
      <c r="AN17" s="149"/>
      <c r="AO17" s="149"/>
      <c r="AP17" s="149"/>
      <c r="AQ17" s="149"/>
      <c r="AR17" s="149"/>
      <c r="AS17" s="149"/>
      <c r="AT17" s="149"/>
      <c r="AU17" s="149"/>
      <c r="AV17" s="149"/>
      <c r="AW17" s="149"/>
      <c r="AX17" s="149"/>
      <c r="AY17" s="149"/>
      <c r="AZ17" s="149"/>
      <c r="BA17" s="149"/>
      <c r="BB17" s="149"/>
      <c r="BC17" s="149"/>
      <c r="BD17" s="149"/>
      <c r="BE17" s="149"/>
      <c r="BF17" s="149"/>
      <c r="BG17" s="149"/>
      <c r="BH17" s="149"/>
      <c r="BI17" s="149"/>
      <c r="BJ17" s="151"/>
      <c r="BK17" s="32" t="str">
        <f t="shared" si="11"/>
        <v>ENT_01_A1-11_バックアップ_二次利用DB登録患者紐付けデータ.sql</v>
      </c>
    </row>
    <row r="18" spans="1:64" ht="37.5" customHeight="1" outlineLevel="1">
      <c r="A18" s="34" t="str">
        <f t="shared" si="7"/>
        <v>バックアップ_エラー患者データ</v>
      </c>
      <c r="B18" s="139" t="str">
        <f t="shared" si="8"/>
        <v>01</v>
      </c>
      <c r="C18" s="140"/>
      <c r="D18" s="140"/>
      <c r="E18" s="140"/>
      <c r="F18" s="141"/>
      <c r="G18" s="142" t="s">
        <v>196</v>
      </c>
      <c r="H18" s="143"/>
      <c r="I18" s="143"/>
      <c r="J18" s="143"/>
      <c r="K18" s="143"/>
      <c r="L18" s="143"/>
      <c r="M18" s="143"/>
      <c r="N18" s="144"/>
      <c r="O18" s="79" t="s">
        <v>3146</v>
      </c>
      <c r="P18" s="145" t="s">
        <v>1852</v>
      </c>
      <c r="Q18" s="146"/>
      <c r="R18" s="146"/>
      <c r="S18" s="146"/>
      <c r="T18" s="146"/>
      <c r="U18" s="146"/>
      <c r="V18" s="146"/>
      <c r="W18" s="146"/>
      <c r="X18" s="146"/>
      <c r="Y18" s="146"/>
      <c r="Z18" s="146"/>
      <c r="AA18" s="146"/>
      <c r="AB18" s="146"/>
      <c r="AC18" s="146"/>
      <c r="AD18" s="147"/>
      <c r="AE18" s="148" t="str">
        <f t="shared" ca="1" si="9"/>
        <v>sny_202310_backup_mart_error_patient</v>
      </c>
      <c r="AF18" s="149"/>
      <c r="AG18" s="149"/>
      <c r="AH18" s="149"/>
      <c r="AI18" s="149"/>
      <c r="AJ18" s="149"/>
      <c r="AK18" s="149"/>
      <c r="AL18" s="150"/>
      <c r="AM18" s="148" t="str">
        <f t="shared" ca="1" si="10"/>
        <v>エラー患者データテーブルから組入れ条件の第一条件で絞り込んだ結果を格納するテーブル</v>
      </c>
      <c r="AN18" s="149"/>
      <c r="AO18" s="149"/>
      <c r="AP18" s="149"/>
      <c r="AQ18" s="149"/>
      <c r="AR18" s="149"/>
      <c r="AS18" s="149"/>
      <c r="AT18" s="149"/>
      <c r="AU18" s="149"/>
      <c r="AV18" s="149"/>
      <c r="AW18" s="149"/>
      <c r="AX18" s="149"/>
      <c r="AY18" s="149"/>
      <c r="AZ18" s="149"/>
      <c r="BA18" s="149"/>
      <c r="BB18" s="149"/>
      <c r="BC18" s="149"/>
      <c r="BD18" s="149"/>
      <c r="BE18" s="149"/>
      <c r="BF18" s="149"/>
      <c r="BG18" s="149"/>
      <c r="BH18" s="149"/>
      <c r="BI18" s="149"/>
      <c r="BJ18" s="151"/>
      <c r="BK18" s="32" t="str">
        <f t="shared" si="11"/>
        <v>ENT_01_A1-13_バックアップ_エラー患者データ.sql</v>
      </c>
    </row>
    <row r="19" spans="1:64" ht="37.5" customHeight="1" outlineLevel="1">
      <c r="A19" s="34" t="str">
        <f t="shared" si="7"/>
        <v>バックアップ_患者基本データ</v>
      </c>
      <c r="B19" s="139" t="str">
        <f t="shared" si="8"/>
        <v>01</v>
      </c>
      <c r="C19" s="140"/>
      <c r="D19" s="140"/>
      <c r="E19" s="140"/>
      <c r="F19" s="141"/>
      <c r="G19" s="142" t="s">
        <v>196</v>
      </c>
      <c r="H19" s="143"/>
      <c r="I19" s="143"/>
      <c r="J19" s="143"/>
      <c r="K19" s="143"/>
      <c r="L19" s="143"/>
      <c r="M19" s="143"/>
      <c r="N19" s="144"/>
      <c r="O19" s="79" t="s">
        <v>3147</v>
      </c>
      <c r="P19" s="145" t="s">
        <v>1853</v>
      </c>
      <c r="Q19" s="146"/>
      <c r="R19" s="146"/>
      <c r="S19" s="146"/>
      <c r="T19" s="146"/>
      <c r="U19" s="146"/>
      <c r="V19" s="146"/>
      <c r="W19" s="146"/>
      <c r="X19" s="146"/>
      <c r="Y19" s="146"/>
      <c r="Z19" s="146"/>
      <c r="AA19" s="146"/>
      <c r="AB19" s="146"/>
      <c r="AC19" s="146"/>
      <c r="AD19" s="147"/>
      <c r="AE19" s="148" t="str">
        <f t="shared" ca="1" si="9"/>
        <v>sny_202310_backup_mart_patient_basic</v>
      </c>
      <c r="AF19" s="149"/>
      <c r="AG19" s="149"/>
      <c r="AH19" s="149"/>
      <c r="AI19" s="149"/>
      <c r="AJ19" s="149"/>
      <c r="AK19" s="149"/>
      <c r="AL19" s="150"/>
      <c r="AM19" s="148" t="str">
        <f t="shared" ca="1" si="10"/>
        <v>患者基本データテーブルから組入れ条件の第一条件で絞り込んだ結果を格納するテーブル</v>
      </c>
      <c r="AN19" s="149"/>
      <c r="AO19" s="149"/>
      <c r="AP19" s="149"/>
      <c r="AQ19" s="149"/>
      <c r="AR19" s="149"/>
      <c r="AS19" s="149"/>
      <c r="AT19" s="149"/>
      <c r="AU19" s="149"/>
      <c r="AV19" s="149"/>
      <c r="AW19" s="149"/>
      <c r="AX19" s="149"/>
      <c r="AY19" s="149"/>
      <c r="AZ19" s="149"/>
      <c r="BA19" s="149"/>
      <c r="BB19" s="149"/>
      <c r="BC19" s="149"/>
      <c r="BD19" s="149"/>
      <c r="BE19" s="149"/>
      <c r="BF19" s="149"/>
      <c r="BG19" s="149"/>
      <c r="BH19" s="149"/>
      <c r="BI19" s="149"/>
      <c r="BJ19" s="151"/>
      <c r="BK19" s="32" t="str">
        <f t="shared" si="11"/>
        <v>ENT_01_A1-14_バックアップ_患者基本データ.sql</v>
      </c>
      <c r="BL19" s="32">
        <v>1</v>
      </c>
    </row>
    <row r="20" spans="1:64" ht="37.5" customHeight="1" outlineLevel="1">
      <c r="A20" s="34" t="str">
        <f t="shared" ref="A20:A71" si="12">P20</f>
        <v>バックアップ_施設属性マスタ取込用</v>
      </c>
      <c r="B20" s="139" t="str">
        <f t="shared" si="8"/>
        <v>01</v>
      </c>
      <c r="C20" s="140"/>
      <c r="D20" s="140"/>
      <c r="E20" s="140"/>
      <c r="F20" s="141"/>
      <c r="G20" s="142" t="s">
        <v>196</v>
      </c>
      <c r="H20" s="143"/>
      <c r="I20" s="143"/>
      <c r="J20" s="143"/>
      <c r="K20" s="143"/>
      <c r="L20" s="143"/>
      <c r="M20" s="143"/>
      <c r="N20" s="144"/>
      <c r="O20" s="79" t="s">
        <v>3148</v>
      </c>
      <c r="P20" s="145" t="s">
        <v>1859</v>
      </c>
      <c r="Q20" s="146"/>
      <c r="R20" s="146"/>
      <c r="S20" s="146"/>
      <c r="T20" s="146"/>
      <c r="U20" s="146"/>
      <c r="V20" s="146"/>
      <c r="W20" s="146"/>
      <c r="X20" s="146"/>
      <c r="Y20" s="146"/>
      <c r="Z20" s="146"/>
      <c r="AA20" s="146"/>
      <c r="AB20" s="146"/>
      <c r="AC20" s="146"/>
      <c r="AD20" s="147"/>
      <c r="AE20" s="148" t="str">
        <f t="shared" ref="AE20:AE71" ca="1" si="13">IFERROR(INDIRECT(P20&amp;"!D8"),"")</f>
        <v>sny_202310_backup_mt_shisetsu_zokusei</v>
      </c>
      <c r="AF20" s="149"/>
      <c r="AG20" s="149"/>
      <c r="AH20" s="149"/>
      <c r="AI20" s="149"/>
      <c r="AJ20" s="149"/>
      <c r="AK20" s="149"/>
      <c r="AL20" s="150"/>
      <c r="AM20" s="148" t="str">
        <f t="shared" ref="AM20:AM71" ca="1" si="14">IFERROR(INDIRECT(P20&amp;"!D9"),"")</f>
        <v>施設属性マスタ取込用テーブルから組入れ条件の第一条件で絞り込んだ結果を格納するテーブル</v>
      </c>
      <c r="AN20" s="149"/>
      <c r="AO20" s="149"/>
      <c r="AP20" s="149"/>
      <c r="AQ20" s="149"/>
      <c r="AR20" s="149"/>
      <c r="AS20" s="149"/>
      <c r="AT20" s="149"/>
      <c r="AU20" s="149"/>
      <c r="AV20" s="149"/>
      <c r="AW20" s="149"/>
      <c r="AX20" s="149"/>
      <c r="AY20" s="149"/>
      <c r="AZ20" s="149"/>
      <c r="BA20" s="149"/>
      <c r="BB20" s="149"/>
      <c r="BC20" s="149"/>
      <c r="BD20" s="149"/>
      <c r="BE20" s="149"/>
      <c r="BF20" s="149"/>
      <c r="BG20" s="149"/>
      <c r="BH20" s="149"/>
      <c r="BI20" s="149"/>
      <c r="BJ20" s="151"/>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9" t="str">
        <f t="shared" si="8"/>
        <v>01</v>
      </c>
      <c r="C21" s="140"/>
      <c r="D21" s="140"/>
      <c r="E21" s="140"/>
      <c r="F21" s="141"/>
      <c r="G21" s="142" t="s">
        <v>196</v>
      </c>
      <c r="H21" s="143"/>
      <c r="I21" s="143"/>
      <c r="J21" s="143"/>
      <c r="K21" s="143"/>
      <c r="L21" s="143"/>
      <c r="M21" s="143"/>
      <c r="N21" s="144"/>
      <c r="O21" s="79" t="s">
        <v>3149</v>
      </c>
      <c r="P21" s="145" t="s">
        <v>1895</v>
      </c>
      <c r="Q21" s="146"/>
      <c r="R21" s="146"/>
      <c r="S21" s="146"/>
      <c r="T21" s="146"/>
      <c r="U21" s="146"/>
      <c r="V21" s="146"/>
      <c r="W21" s="146"/>
      <c r="X21" s="146"/>
      <c r="Y21" s="146"/>
      <c r="Z21" s="146"/>
      <c r="AA21" s="146"/>
      <c r="AB21" s="146"/>
      <c r="AC21" s="146"/>
      <c r="AD21" s="147"/>
      <c r="AE21" s="148" t="str">
        <f t="shared" ca="1" si="13"/>
        <v>sny_202310_backup_mt_iryouken2</v>
      </c>
      <c r="AF21" s="149"/>
      <c r="AG21" s="149"/>
      <c r="AH21" s="149"/>
      <c r="AI21" s="149"/>
      <c r="AJ21" s="149"/>
      <c r="AK21" s="149"/>
      <c r="AL21" s="150"/>
      <c r="AM21" s="148" t="str">
        <f t="shared" ca="1" si="14"/>
        <v>二次医療圏マスタ取込用テーブルから組入れ条件の第一条件で絞り込んだ結果を格納するテーブル</v>
      </c>
      <c r="AN21" s="149"/>
      <c r="AO21" s="149"/>
      <c r="AP21" s="149"/>
      <c r="AQ21" s="149"/>
      <c r="AR21" s="149"/>
      <c r="AS21" s="149"/>
      <c r="AT21" s="149"/>
      <c r="AU21" s="149"/>
      <c r="AV21" s="149"/>
      <c r="AW21" s="149"/>
      <c r="AX21" s="149"/>
      <c r="AY21" s="149"/>
      <c r="AZ21" s="149"/>
      <c r="BA21" s="149"/>
      <c r="BB21" s="149"/>
      <c r="BC21" s="149"/>
      <c r="BD21" s="149"/>
      <c r="BE21" s="149"/>
      <c r="BF21" s="149"/>
      <c r="BG21" s="149"/>
      <c r="BH21" s="149"/>
      <c r="BI21" s="149"/>
      <c r="BJ21" s="151"/>
      <c r="BK21" s="32" t="str">
        <f t="shared" si="15"/>
        <v>ENT_01_A3-03_バックアップ_二次医療圏マスタ取込用.sql</v>
      </c>
    </row>
    <row r="22" spans="1:64" ht="37.5" customHeight="1" outlineLevel="1">
      <c r="A22" s="34" t="str">
        <f t="shared" si="12"/>
        <v>バックアップ_新旧医薬品コードマスタ取込用</v>
      </c>
      <c r="B22" s="139" t="str">
        <f t="shared" si="8"/>
        <v>01</v>
      </c>
      <c r="C22" s="140"/>
      <c r="D22" s="140"/>
      <c r="E22" s="140"/>
      <c r="F22" s="141"/>
      <c r="G22" s="142" t="s">
        <v>196</v>
      </c>
      <c r="H22" s="143"/>
      <c r="I22" s="143"/>
      <c r="J22" s="143"/>
      <c r="K22" s="143"/>
      <c r="L22" s="143"/>
      <c r="M22" s="143"/>
      <c r="N22" s="144"/>
      <c r="O22" s="79" t="s">
        <v>3150</v>
      </c>
      <c r="P22" s="145" t="s">
        <v>1915</v>
      </c>
      <c r="Q22" s="146"/>
      <c r="R22" s="146"/>
      <c r="S22" s="146"/>
      <c r="T22" s="146"/>
      <c r="U22" s="146"/>
      <c r="V22" s="146"/>
      <c r="W22" s="146"/>
      <c r="X22" s="146"/>
      <c r="Y22" s="146"/>
      <c r="Z22" s="146"/>
      <c r="AA22" s="146"/>
      <c r="AB22" s="146"/>
      <c r="AC22" s="146"/>
      <c r="AD22" s="147"/>
      <c r="AE22" s="148" t="str">
        <f t="shared" ca="1" si="13"/>
        <v>sny_202310_backup_mt_old_new_iyakuhin</v>
      </c>
      <c r="AF22" s="149"/>
      <c r="AG22" s="149"/>
      <c r="AH22" s="149"/>
      <c r="AI22" s="149"/>
      <c r="AJ22" s="149"/>
      <c r="AK22" s="149"/>
      <c r="AL22" s="150"/>
      <c r="AM22" s="148" t="str">
        <f t="shared" ca="1" si="14"/>
        <v>新旧医薬品コードマスタ取込用テーブルから組入れ条件の第一条件で絞り込んだ結果を格納するテーブル</v>
      </c>
      <c r="AN22" s="149"/>
      <c r="AO22" s="149"/>
      <c r="AP22" s="149"/>
      <c r="AQ22" s="149"/>
      <c r="AR22" s="149"/>
      <c r="AS22" s="149"/>
      <c r="AT22" s="149"/>
      <c r="AU22" s="149"/>
      <c r="AV22" s="149"/>
      <c r="AW22" s="149"/>
      <c r="AX22" s="149"/>
      <c r="AY22" s="149"/>
      <c r="AZ22" s="149"/>
      <c r="BA22" s="149"/>
      <c r="BB22" s="149"/>
      <c r="BC22" s="149"/>
      <c r="BD22" s="149"/>
      <c r="BE22" s="149"/>
      <c r="BF22" s="149"/>
      <c r="BG22" s="149"/>
      <c r="BH22" s="149"/>
      <c r="BI22" s="149"/>
      <c r="BJ22" s="151"/>
      <c r="BK22" s="32" t="str">
        <f t="shared" si="15"/>
        <v>ENT_01_A3-04_バックアップ_新旧医薬品コードマスタ取込用.sql</v>
      </c>
    </row>
    <row r="23" spans="1:64" ht="37.5" customHeight="1" outlineLevel="1">
      <c r="A23" s="34" t="str">
        <f t="shared" si="12"/>
        <v>バックアップ_DPC6ICD10対応表マスタ取込用</v>
      </c>
      <c r="B23" s="139" t="str">
        <f t="shared" si="8"/>
        <v>01</v>
      </c>
      <c r="C23" s="140"/>
      <c r="D23" s="140"/>
      <c r="E23" s="140"/>
      <c r="F23" s="141"/>
      <c r="G23" s="142" t="s">
        <v>196</v>
      </c>
      <c r="H23" s="143"/>
      <c r="I23" s="143"/>
      <c r="J23" s="143"/>
      <c r="K23" s="143"/>
      <c r="L23" s="143"/>
      <c r="M23" s="143"/>
      <c r="N23" s="144"/>
      <c r="O23" s="79" t="s">
        <v>3151</v>
      </c>
      <c r="P23" s="145" t="s">
        <v>1929</v>
      </c>
      <c r="Q23" s="146"/>
      <c r="R23" s="146"/>
      <c r="S23" s="146"/>
      <c r="T23" s="146"/>
      <c r="U23" s="146"/>
      <c r="V23" s="146"/>
      <c r="W23" s="146"/>
      <c r="X23" s="146"/>
      <c r="Y23" s="146"/>
      <c r="Z23" s="146"/>
      <c r="AA23" s="146"/>
      <c r="AB23" s="146"/>
      <c r="AC23" s="146"/>
      <c r="AD23" s="147"/>
      <c r="AE23" s="148" t="str">
        <f t="shared" ca="1" si="13"/>
        <v>sny_202310_backup_mt_dpc6_icd</v>
      </c>
      <c r="AF23" s="149"/>
      <c r="AG23" s="149"/>
      <c r="AH23" s="149"/>
      <c r="AI23" s="149"/>
      <c r="AJ23" s="149"/>
      <c r="AK23" s="149"/>
      <c r="AL23" s="150"/>
      <c r="AM23" s="148" t="str">
        <f t="shared" ca="1" si="14"/>
        <v>DPC6ICD10対応表マスタ取込用テーブルから組入れ条件の第一条件で絞り込んだ結果を格納するテーブル</v>
      </c>
      <c r="AN23" s="149"/>
      <c r="AO23" s="149"/>
      <c r="AP23" s="149"/>
      <c r="AQ23" s="149"/>
      <c r="AR23" s="149"/>
      <c r="AS23" s="149"/>
      <c r="AT23" s="149"/>
      <c r="AU23" s="149"/>
      <c r="AV23" s="149"/>
      <c r="AW23" s="149"/>
      <c r="AX23" s="149"/>
      <c r="AY23" s="149"/>
      <c r="AZ23" s="149"/>
      <c r="BA23" s="149"/>
      <c r="BB23" s="149"/>
      <c r="BC23" s="149"/>
      <c r="BD23" s="149"/>
      <c r="BE23" s="149"/>
      <c r="BF23" s="149"/>
      <c r="BG23" s="149"/>
      <c r="BH23" s="149"/>
      <c r="BI23" s="149"/>
      <c r="BJ23" s="151"/>
      <c r="BK23" s="32" t="str">
        <f t="shared" si="15"/>
        <v>ENT_01_A3-05_バックアップ_DPC6ICD10対応表マスタ取込用.sql</v>
      </c>
    </row>
    <row r="24" spans="1:64" ht="37.5" customHeight="1" outlineLevel="1">
      <c r="A24" s="34" t="str">
        <f t="shared" si="12"/>
        <v>バックアップ_修飾語マスタ取込用</v>
      </c>
      <c r="B24" s="139" t="str">
        <f t="shared" si="8"/>
        <v>01</v>
      </c>
      <c r="C24" s="140"/>
      <c r="D24" s="140"/>
      <c r="E24" s="140"/>
      <c r="F24" s="141"/>
      <c r="G24" s="142" t="s">
        <v>196</v>
      </c>
      <c r="H24" s="143"/>
      <c r="I24" s="143"/>
      <c r="J24" s="143"/>
      <c r="K24" s="143"/>
      <c r="L24" s="143"/>
      <c r="M24" s="143"/>
      <c r="N24" s="144"/>
      <c r="O24" s="79" t="s">
        <v>3152</v>
      </c>
      <c r="P24" s="145" t="s">
        <v>1947</v>
      </c>
      <c r="Q24" s="146"/>
      <c r="R24" s="146"/>
      <c r="S24" s="146"/>
      <c r="T24" s="146"/>
      <c r="U24" s="146"/>
      <c r="V24" s="146"/>
      <c r="W24" s="146"/>
      <c r="X24" s="146"/>
      <c r="Y24" s="146"/>
      <c r="Z24" s="146"/>
      <c r="AA24" s="146"/>
      <c r="AB24" s="146"/>
      <c r="AC24" s="146"/>
      <c r="AD24" s="147"/>
      <c r="AE24" s="148" t="str">
        <f t="shared" ca="1" si="13"/>
        <v>sny_202310_backup_mt_syusyokugo</v>
      </c>
      <c r="AF24" s="149"/>
      <c r="AG24" s="149"/>
      <c r="AH24" s="149"/>
      <c r="AI24" s="149"/>
      <c r="AJ24" s="149"/>
      <c r="AK24" s="149"/>
      <c r="AL24" s="150"/>
      <c r="AM24" s="148" t="str">
        <f t="shared" ca="1" si="14"/>
        <v>修飾語マスタ取込用テーブルから組入れ条件の第一条件で絞り込んだ結果を格納するテーブル</v>
      </c>
      <c r="AN24" s="149"/>
      <c r="AO24" s="149"/>
      <c r="AP24" s="149"/>
      <c r="AQ24" s="149"/>
      <c r="AR24" s="149"/>
      <c r="AS24" s="149"/>
      <c r="AT24" s="149"/>
      <c r="AU24" s="149"/>
      <c r="AV24" s="149"/>
      <c r="AW24" s="149"/>
      <c r="AX24" s="149"/>
      <c r="AY24" s="149"/>
      <c r="AZ24" s="149"/>
      <c r="BA24" s="149"/>
      <c r="BB24" s="149"/>
      <c r="BC24" s="149"/>
      <c r="BD24" s="149"/>
      <c r="BE24" s="149"/>
      <c r="BF24" s="149"/>
      <c r="BG24" s="149"/>
      <c r="BH24" s="149"/>
      <c r="BI24" s="149"/>
      <c r="BJ24" s="151"/>
      <c r="BK24" s="32" t="str">
        <f t="shared" si="15"/>
        <v>ENT_01_A3-06_バックアップ_修飾語マスタ取込用.sql</v>
      </c>
    </row>
    <row r="25" spans="1:64" ht="37.5" customHeight="1" outlineLevel="1">
      <c r="A25" s="34" t="str">
        <f t="shared" si="12"/>
        <v>バックアップ_コメントマスタ取込用</v>
      </c>
      <c r="B25" s="139" t="str">
        <f t="shared" si="8"/>
        <v>01</v>
      </c>
      <c r="C25" s="140"/>
      <c r="D25" s="140"/>
      <c r="E25" s="140"/>
      <c r="F25" s="141"/>
      <c r="G25" s="142" t="s">
        <v>196</v>
      </c>
      <c r="H25" s="143"/>
      <c r="I25" s="143"/>
      <c r="J25" s="143"/>
      <c r="K25" s="143"/>
      <c r="L25" s="143"/>
      <c r="M25" s="143"/>
      <c r="N25" s="144"/>
      <c r="O25" s="79" t="s">
        <v>3153</v>
      </c>
      <c r="P25" s="145" t="s">
        <v>1984</v>
      </c>
      <c r="Q25" s="146"/>
      <c r="R25" s="146"/>
      <c r="S25" s="146"/>
      <c r="T25" s="146"/>
      <c r="U25" s="146"/>
      <c r="V25" s="146"/>
      <c r="W25" s="146"/>
      <c r="X25" s="146"/>
      <c r="Y25" s="146"/>
      <c r="Z25" s="146"/>
      <c r="AA25" s="146"/>
      <c r="AB25" s="146"/>
      <c r="AC25" s="146"/>
      <c r="AD25" s="147"/>
      <c r="AE25" s="148" t="str">
        <f t="shared" ca="1" si="13"/>
        <v>sny_202310_backup_mt_comment</v>
      </c>
      <c r="AF25" s="149"/>
      <c r="AG25" s="149"/>
      <c r="AH25" s="149"/>
      <c r="AI25" s="149"/>
      <c r="AJ25" s="149"/>
      <c r="AK25" s="149"/>
      <c r="AL25" s="150"/>
      <c r="AM25" s="148" t="str">
        <f t="shared" ca="1" si="14"/>
        <v>コメントマスタ取込用テーブルから組入れ条件の第一条件で絞り込んだ結果を格納するテーブル</v>
      </c>
      <c r="AN25" s="149"/>
      <c r="AO25" s="149"/>
      <c r="AP25" s="149"/>
      <c r="AQ25" s="149"/>
      <c r="AR25" s="149"/>
      <c r="AS25" s="149"/>
      <c r="AT25" s="149"/>
      <c r="AU25" s="149"/>
      <c r="AV25" s="149"/>
      <c r="AW25" s="149"/>
      <c r="AX25" s="149"/>
      <c r="AY25" s="149"/>
      <c r="AZ25" s="149"/>
      <c r="BA25" s="149"/>
      <c r="BB25" s="149"/>
      <c r="BC25" s="149"/>
      <c r="BD25" s="149"/>
      <c r="BE25" s="149"/>
      <c r="BF25" s="149"/>
      <c r="BG25" s="149"/>
      <c r="BH25" s="149"/>
      <c r="BI25" s="149"/>
      <c r="BJ25" s="151"/>
      <c r="BK25" s="32" t="str">
        <f t="shared" si="15"/>
        <v>ENT_01_A3-07_バックアップ_コメントマスタ取込用.sql</v>
      </c>
    </row>
    <row r="26" spans="1:64" ht="37.5" customHeight="1" outlineLevel="1">
      <c r="A26" s="34" t="str">
        <f t="shared" si="12"/>
        <v>バックアップ_成分量マスタ取込用</v>
      </c>
      <c r="B26" s="139" t="str">
        <f t="shared" si="8"/>
        <v>01</v>
      </c>
      <c r="C26" s="140"/>
      <c r="D26" s="140"/>
      <c r="E26" s="140"/>
      <c r="F26" s="141"/>
      <c r="G26" s="142" t="s">
        <v>196</v>
      </c>
      <c r="H26" s="143"/>
      <c r="I26" s="143"/>
      <c r="J26" s="143"/>
      <c r="K26" s="143"/>
      <c r="L26" s="143"/>
      <c r="M26" s="143"/>
      <c r="N26" s="144"/>
      <c r="O26" s="79" t="s">
        <v>3154</v>
      </c>
      <c r="P26" s="145" t="s">
        <v>2031</v>
      </c>
      <c r="Q26" s="146"/>
      <c r="R26" s="146"/>
      <c r="S26" s="146"/>
      <c r="T26" s="146"/>
      <c r="U26" s="146"/>
      <c r="V26" s="146"/>
      <c r="W26" s="146"/>
      <c r="X26" s="146"/>
      <c r="Y26" s="146"/>
      <c r="Z26" s="146"/>
      <c r="AA26" s="146"/>
      <c r="AB26" s="146"/>
      <c r="AC26" s="146"/>
      <c r="AD26" s="147"/>
      <c r="AE26" s="148" t="str">
        <f t="shared" ca="1" si="13"/>
        <v>sny_202310_backup_mt_seibunryo</v>
      </c>
      <c r="AF26" s="149"/>
      <c r="AG26" s="149"/>
      <c r="AH26" s="149"/>
      <c r="AI26" s="149"/>
      <c r="AJ26" s="149"/>
      <c r="AK26" s="149"/>
      <c r="AL26" s="150"/>
      <c r="AM26" s="148" t="str">
        <f t="shared" ca="1" si="14"/>
        <v>成分量マスタ取込用テーブルから組入れ条件の第一条件で絞り込んだ結果を格納するテーブル</v>
      </c>
      <c r="AN26" s="149"/>
      <c r="AO26" s="149"/>
      <c r="AP26" s="149"/>
      <c r="AQ26" s="149"/>
      <c r="AR26" s="149"/>
      <c r="AS26" s="149"/>
      <c r="AT26" s="149"/>
      <c r="AU26" s="149"/>
      <c r="AV26" s="149"/>
      <c r="AW26" s="149"/>
      <c r="AX26" s="149"/>
      <c r="AY26" s="149"/>
      <c r="AZ26" s="149"/>
      <c r="BA26" s="149"/>
      <c r="BB26" s="149"/>
      <c r="BC26" s="149"/>
      <c r="BD26" s="149"/>
      <c r="BE26" s="149"/>
      <c r="BF26" s="149"/>
      <c r="BG26" s="149"/>
      <c r="BH26" s="149"/>
      <c r="BI26" s="149"/>
      <c r="BJ26" s="151"/>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39" t="str">
        <f t="shared" si="8"/>
        <v>01</v>
      </c>
      <c r="C27" s="140"/>
      <c r="D27" s="140"/>
      <c r="E27" s="140"/>
      <c r="F27" s="141"/>
      <c r="G27" s="142" t="s">
        <v>196</v>
      </c>
      <c r="H27" s="143"/>
      <c r="I27" s="143"/>
      <c r="J27" s="143"/>
      <c r="K27" s="143"/>
      <c r="L27" s="143"/>
      <c r="M27" s="143"/>
      <c r="N27" s="144"/>
      <c r="O27" s="79" t="s">
        <v>3155</v>
      </c>
      <c r="P27" s="145" t="s">
        <v>2056</v>
      </c>
      <c r="Q27" s="146"/>
      <c r="R27" s="146"/>
      <c r="S27" s="146"/>
      <c r="T27" s="146"/>
      <c r="U27" s="146"/>
      <c r="V27" s="146"/>
      <c r="W27" s="146"/>
      <c r="X27" s="146"/>
      <c r="Y27" s="146"/>
      <c r="Z27" s="146"/>
      <c r="AA27" s="146"/>
      <c r="AB27" s="146"/>
      <c r="AC27" s="146"/>
      <c r="AD27" s="147"/>
      <c r="AE27" s="148" t="str">
        <f t="shared" ca="1" si="13"/>
        <v>sny_202310_backup_mt_seibun_name</v>
      </c>
      <c r="AF27" s="149"/>
      <c r="AG27" s="149"/>
      <c r="AH27" s="149"/>
      <c r="AI27" s="149"/>
      <c r="AJ27" s="149"/>
      <c r="AK27" s="149"/>
      <c r="AL27" s="150"/>
      <c r="AM27" s="148" t="str">
        <f t="shared" ca="1" si="14"/>
        <v>成分名マスタ取込用テーブルから組入れ条件の第一条件で絞り込んだ結果を格納するテーブル</v>
      </c>
      <c r="AN27" s="149"/>
      <c r="AO27" s="149"/>
      <c r="AP27" s="149"/>
      <c r="AQ27" s="149"/>
      <c r="AR27" s="149"/>
      <c r="AS27" s="149"/>
      <c r="AT27" s="149"/>
      <c r="AU27" s="149"/>
      <c r="AV27" s="149"/>
      <c r="AW27" s="149"/>
      <c r="AX27" s="149"/>
      <c r="AY27" s="149"/>
      <c r="AZ27" s="149"/>
      <c r="BA27" s="149"/>
      <c r="BB27" s="149"/>
      <c r="BC27" s="149"/>
      <c r="BD27" s="149"/>
      <c r="BE27" s="149"/>
      <c r="BF27" s="149"/>
      <c r="BG27" s="149"/>
      <c r="BH27" s="149"/>
      <c r="BI27" s="149"/>
      <c r="BJ27" s="151"/>
      <c r="BK27" s="32" t="str">
        <f t="shared" si="16"/>
        <v>ENT_01_A3-09_バックアップ_成分名マスタ取込用.sql</v>
      </c>
    </row>
    <row r="28" spans="1:64" ht="37.5" customHeight="1" outlineLevel="1">
      <c r="A28" s="34" t="str">
        <f t="shared" si="12"/>
        <v>バックアップ_単位マスタ取込用</v>
      </c>
      <c r="B28" s="139" t="str">
        <f t="shared" si="8"/>
        <v>01</v>
      </c>
      <c r="C28" s="140"/>
      <c r="D28" s="140"/>
      <c r="E28" s="140"/>
      <c r="F28" s="141"/>
      <c r="G28" s="142" t="s">
        <v>196</v>
      </c>
      <c r="H28" s="143"/>
      <c r="I28" s="143"/>
      <c r="J28" s="143"/>
      <c r="K28" s="143"/>
      <c r="L28" s="143"/>
      <c r="M28" s="143"/>
      <c r="N28" s="144"/>
      <c r="O28" s="79" t="s">
        <v>3156</v>
      </c>
      <c r="P28" s="145" t="s">
        <v>2077</v>
      </c>
      <c r="Q28" s="146"/>
      <c r="R28" s="146"/>
      <c r="S28" s="146"/>
      <c r="T28" s="146"/>
      <c r="U28" s="146"/>
      <c r="V28" s="146"/>
      <c r="W28" s="146"/>
      <c r="X28" s="146"/>
      <c r="Y28" s="146"/>
      <c r="Z28" s="146"/>
      <c r="AA28" s="146"/>
      <c r="AB28" s="146"/>
      <c r="AC28" s="146"/>
      <c r="AD28" s="147"/>
      <c r="AE28" s="148" t="str">
        <f t="shared" ca="1" si="13"/>
        <v>sny_202310_backup_mt_unit</v>
      </c>
      <c r="AF28" s="149"/>
      <c r="AG28" s="149"/>
      <c r="AH28" s="149"/>
      <c r="AI28" s="149"/>
      <c r="AJ28" s="149"/>
      <c r="AK28" s="149"/>
      <c r="AL28" s="150"/>
      <c r="AM28" s="148" t="str">
        <f t="shared" ca="1" si="14"/>
        <v>単位マスタ取込用テーブルから組入れ条件の第一条件で絞り込んだ結果を格納するテーブル</v>
      </c>
      <c r="AN28" s="149"/>
      <c r="AO28" s="149"/>
      <c r="AP28" s="149"/>
      <c r="AQ28" s="149"/>
      <c r="AR28" s="149"/>
      <c r="AS28" s="149"/>
      <c r="AT28" s="149"/>
      <c r="AU28" s="149"/>
      <c r="AV28" s="149"/>
      <c r="AW28" s="149"/>
      <c r="AX28" s="149"/>
      <c r="AY28" s="149"/>
      <c r="AZ28" s="149"/>
      <c r="BA28" s="149"/>
      <c r="BB28" s="149"/>
      <c r="BC28" s="149"/>
      <c r="BD28" s="149"/>
      <c r="BE28" s="149"/>
      <c r="BF28" s="149"/>
      <c r="BG28" s="149"/>
      <c r="BH28" s="149"/>
      <c r="BI28" s="149"/>
      <c r="BJ28" s="151"/>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9" t="str">
        <f t="shared" si="8"/>
        <v>01</v>
      </c>
      <c r="C29" s="140"/>
      <c r="D29" s="140"/>
      <c r="E29" s="140"/>
      <c r="F29" s="141"/>
      <c r="G29" s="142" t="s">
        <v>196</v>
      </c>
      <c r="H29" s="143"/>
      <c r="I29" s="143"/>
      <c r="J29" s="143"/>
      <c r="K29" s="143"/>
      <c r="L29" s="143"/>
      <c r="M29" s="143"/>
      <c r="N29" s="144"/>
      <c r="O29" s="79" t="s">
        <v>3157</v>
      </c>
      <c r="P29" s="145" t="s">
        <v>2084</v>
      </c>
      <c r="Q29" s="146"/>
      <c r="R29" s="146"/>
      <c r="S29" s="146"/>
      <c r="T29" s="146"/>
      <c r="U29" s="146"/>
      <c r="V29" s="146"/>
      <c r="W29" s="146"/>
      <c r="X29" s="146"/>
      <c r="Y29" s="146"/>
      <c r="Z29" s="146"/>
      <c r="AA29" s="146"/>
      <c r="AB29" s="146"/>
      <c r="AC29" s="146"/>
      <c r="AD29" s="147"/>
      <c r="AE29" s="148" t="str">
        <f t="shared" ca="1" si="13"/>
        <v>sny_202310_backup_mt_tekiyou_recept_combi_link</v>
      </c>
      <c r="AF29" s="149"/>
      <c r="AG29" s="149"/>
      <c r="AH29" s="149"/>
      <c r="AI29" s="149"/>
      <c r="AJ29" s="149"/>
      <c r="AK29" s="149"/>
      <c r="AL29" s="150"/>
      <c r="AM29" s="148" t="str">
        <f t="shared" ca="1" si="14"/>
        <v>適応病名レセ病名組み合わせ関係リンクマスタ取込用テーブルから組入れ条件の第一条件で絞り込んだ結果を格納するテーブル</v>
      </c>
      <c r="AN29" s="149"/>
      <c r="AO29" s="149"/>
      <c r="AP29" s="149"/>
      <c r="AQ29" s="149"/>
      <c r="AR29" s="149"/>
      <c r="AS29" s="149"/>
      <c r="AT29" s="149"/>
      <c r="AU29" s="149"/>
      <c r="AV29" s="149"/>
      <c r="AW29" s="149"/>
      <c r="AX29" s="149"/>
      <c r="AY29" s="149"/>
      <c r="AZ29" s="149"/>
      <c r="BA29" s="149"/>
      <c r="BB29" s="149"/>
      <c r="BC29" s="149"/>
      <c r="BD29" s="149"/>
      <c r="BE29" s="149"/>
      <c r="BF29" s="149"/>
      <c r="BG29" s="149"/>
      <c r="BH29" s="149"/>
      <c r="BI29" s="149"/>
      <c r="BJ29" s="151"/>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9" t="str">
        <f t="shared" si="8"/>
        <v>01</v>
      </c>
      <c r="C30" s="140"/>
      <c r="D30" s="140"/>
      <c r="E30" s="140"/>
      <c r="F30" s="141"/>
      <c r="G30" s="142" t="s">
        <v>196</v>
      </c>
      <c r="H30" s="143"/>
      <c r="I30" s="143"/>
      <c r="J30" s="143"/>
      <c r="K30" s="143"/>
      <c r="L30" s="143"/>
      <c r="M30" s="143"/>
      <c r="N30" s="144"/>
      <c r="O30" s="79" t="s">
        <v>3158</v>
      </c>
      <c r="P30" s="145" t="s">
        <v>2103</v>
      </c>
      <c r="Q30" s="146"/>
      <c r="R30" s="146"/>
      <c r="S30" s="146"/>
      <c r="T30" s="146"/>
      <c r="U30" s="146"/>
      <c r="V30" s="146"/>
      <c r="W30" s="146"/>
      <c r="X30" s="146"/>
      <c r="Y30" s="146"/>
      <c r="Z30" s="146"/>
      <c r="AA30" s="146"/>
      <c r="AB30" s="146"/>
      <c r="AC30" s="146"/>
      <c r="AD30" s="147"/>
      <c r="AE30" s="148" t="s">
        <v>2548</v>
      </c>
      <c r="AF30" s="149"/>
      <c r="AG30" s="149"/>
      <c r="AH30" s="149"/>
      <c r="AI30" s="149"/>
      <c r="AJ30" s="149"/>
      <c r="AK30" s="149"/>
      <c r="AL30" s="150"/>
      <c r="AM30" s="148" t="s">
        <v>2549</v>
      </c>
      <c r="AN30" s="149"/>
      <c r="AO30" s="149"/>
      <c r="AP30" s="149"/>
      <c r="AQ30" s="149"/>
      <c r="AR30" s="149"/>
      <c r="AS30" s="149"/>
      <c r="AT30" s="149"/>
      <c r="AU30" s="149"/>
      <c r="AV30" s="149"/>
      <c r="AW30" s="149"/>
      <c r="AX30" s="149"/>
      <c r="AY30" s="149"/>
      <c r="AZ30" s="149"/>
      <c r="BA30" s="149"/>
      <c r="BB30" s="149"/>
      <c r="BC30" s="149"/>
      <c r="BD30" s="149"/>
      <c r="BE30" s="149"/>
      <c r="BF30" s="149"/>
      <c r="BG30" s="149"/>
      <c r="BH30" s="149"/>
      <c r="BI30" s="149"/>
      <c r="BJ30" s="151"/>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9" t="str">
        <f t="shared" si="8"/>
        <v>01</v>
      </c>
      <c r="C31" s="140"/>
      <c r="D31" s="140"/>
      <c r="E31" s="140"/>
      <c r="F31" s="141"/>
      <c r="G31" s="142" t="s">
        <v>196</v>
      </c>
      <c r="H31" s="143"/>
      <c r="I31" s="143"/>
      <c r="J31" s="143"/>
      <c r="K31" s="143"/>
      <c r="L31" s="143"/>
      <c r="M31" s="143"/>
      <c r="N31" s="144"/>
      <c r="O31" s="79" t="s">
        <v>3159</v>
      </c>
      <c r="P31" s="145" t="s">
        <v>2104</v>
      </c>
      <c r="Q31" s="146"/>
      <c r="R31" s="146"/>
      <c r="S31" s="146"/>
      <c r="T31" s="146"/>
      <c r="U31" s="146"/>
      <c r="V31" s="146"/>
      <c r="W31" s="146"/>
      <c r="X31" s="146"/>
      <c r="Y31" s="146"/>
      <c r="Z31" s="146"/>
      <c r="AA31" s="146"/>
      <c r="AB31" s="146"/>
      <c r="AC31" s="146"/>
      <c r="AD31" s="147"/>
      <c r="AE31" s="148" t="str">
        <f t="shared" ca="1" si="13"/>
        <v>sny_202310_backup_mt_tekiyou_byoumei</v>
      </c>
      <c r="AF31" s="149"/>
      <c r="AG31" s="149"/>
      <c r="AH31" s="149"/>
      <c r="AI31" s="149"/>
      <c r="AJ31" s="149"/>
      <c r="AK31" s="149"/>
      <c r="AL31" s="150"/>
      <c r="AM31" s="148" t="str">
        <f t="shared" ca="1" si="14"/>
        <v>適用病名マスタ取込用テーブルから組入れ条件の第一条件で絞り込んだ結果を格納するテーブル</v>
      </c>
      <c r="AN31" s="149"/>
      <c r="AO31" s="149"/>
      <c r="AP31" s="149"/>
      <c r="AQ31" s="149"/>
      <c r="AR31" s="149"/>
      <c r="AS31" s="149"/>
      <c r="AT31" s="149"/>
      <c r="AU31" s="149"/>
      <c r="AV31" s="149"/>
      <c r="AW31" s="149"/>
      <c r="AX31" s="149"/>
      <c r="AY31" s="149"/>
      <c r="AZ31" s="149"/>
      <c r="BA31" s="149"/>
      <c r="BB31" s="149"/>
      <c r="BC31" s="149"/>
      <c r="BD31" s="149"/>
      <c r="BE31" s="149"/>
      <c r="BF31" s="149"/>
      <c r="BG31" s="149"/>
      <c r="BH31" s="149"/>
      <c r="BI31" s="149"/>
      <c r="BJ31" s="151"/>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9" t="str">
        <f t="shared" si="8"/>
        <v>01</v>
      </c>
      <c r="C32" s="140"/>
      <c r="D32" s="140"/>
      <c r="E32" s="140"/>
      <c r="F32" s="141"/>
      <c r="G32" s="142" t="s">
        <v>196</v>
      </c>
      <c r="H32" s="143"/>
      <c r="I32" s="143"/>
      <c r="J32" s="143"/>
      <c r="K32" s="143"/>
      <c r="L32" s="143"/>
      <c r="M32" s="143"/>
      <c r="N32" s="144"/>
      <c r="O32" s="79" t="s">
        <v>3160</v>
      </c>
      <c r="P32" s="145" t="s">
        <v>2113</v>
      </c>
      <c r="Q32" s="146"/>
      <c r="R32" s="146"/>
      <c r="S32" s="146"/>
      <c r="T32" s="146"/>
      <c r="U32" s="146"/>
      <c r="V32" s="146"/>
      <c r="W32" s="146"/>
      <c r="X32" s="146"/>
      <c r="Y32" s="146"/>
      <c r="Z32" s="146"/>
      <c r="AA32" s="146"/>
      <c r="AB32" s="146"/>
      <c r="AC32" s="146"/>
      <c r="AD32" s="147"/>
      <c r="AE32" s="148" t="str">
        <f t="shared" ca="1" si="13"/>
        <v>sny_202310_backup_mt_yjcode_receptdensancode_link</v>
      </c>
      <c r="AF32" s="149"/>
      <c r="AG32" s="149"/>
      <c r="AH32" s="149"/>
      <c r="AI32" s="149"/>
      <c r="AJ32" s="149"/>
      <c r="AK32" s="149"/>
      <c r="AL32" s="150"/>
      <c r="AM32" s="148" t="str">
        <f t="shared" ca="1" si="14"/>
        <v>ＹＪコード医薬品コードリンクマスタ取込用テーブルから組入れ条件の第一条件で絞り込んだ結果を格納するテーブル</v>
      </c>
      <c r="AN32" s="149"/>
      <c r="AO32" s="149"/>
      <c r="AP32" s="149"/>
      <c r="AQ32" s="149"/>
      <c r="AR32" s="149"/>
      <c r="AS32" s="149"/>
      <c r="AT32" s="149"/>
      <c r="AU32" s="149"/>
      <c r="AV32" s="149"/>
      <c r="AW32" s="149"/>
      <c r="AX32" s="149"/>
      <c r="AY32" s="149"/>
      <c r="AZ32" s="149"/>
      <c r="BA32" s="149"/>
      <c r="BB32" s="149"/>
      <c r="BC32" s="149"/>
      <c r="BD32" s="149"/>
      <c r="BE32" s="149"/>
      <c r="BF32" s="149"/>
      <c r="BG32" s="149"/>
      <c r="BH32" s="149"/>
      <c r="BI32" s="149"/>
      <c r="BJ32" s="151"/>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9" t="str">
        <f t="shared" si="8"/>
        <v>01</v>
      </c>
      <c r="C33" s="140"/>
      <c r="D33" s="140"/>
      <c r="E33" s="140"/>
      <c r="F33" s="141"/>
      <c r="G33" s="142" t="s">
        <v>196</v>
      </c>
      <c r="H33" s="143"/>
      <c r="I33" s="143"/>
      <c r="J33" s="143"/>
      <c r="K33" s="143"/>
      <c r="L33" s="143"/>
      <c r="M33" s="143"/>
      <c r="N33" s="144"/>
      <c r="O33" s="79" t="s">
        <v>3161</v>
      </c>
      <c r="P33" s="145" t="s">
        <v>2123</v>
      </c>
      <c r="Q33" s="146"/>
      <c r="R33" s="146"/>
      <c r="S33" s="146"/>
      <c r="T33" s="146"/>
      <c r="U33" s="146"/>
      <c r="V33" s="146"/>
      <c r="W33" s="146"/>
      <c r="X33" s="146"/>
      <c r="Y33" s="146"/>
      <c r="Z33" s="146"/>
      <c r="AA33" s="146"/>
      <c r="AB33" s="146"/>
      <c r="AC33" s="146"/>
      <c r="AD33" s="147"/>
      <c r="AE33" s="148" t="str">
        <f t="shared" ca="1" si="13"/>
        <v>sny_202310_backup_mt_shinryo_koi_fuka</v>
      </c>
      <c r="AF33" s="149"/>
      <c r="AG33" s="149"/>
      <c r="AH33" s="149"/>
      <c r="AI33" s="149"/>
      <c r="AJ33" s="149"/>
      <c r="AK33" s="149"/>
      <c r="AL33" s="150"/>
      <c r="AM33" s="148" t="str">
        <f t="shared" ca="1" si="14"/>
        <v>診療行為付加情報マスタ取込用テーブルから組入れ条件の第一条件で絞り込んだ結果を格納するテーブル</v>
      </c>
      <c r="AN33" s="149"/>
      <c r="AO33" s="149"/>
      <c r="AP33" s="149"/>
      <c r="AQ33" s="149"/>
      <c r="AR33" s="149"/>
      <c r="AS33" s="149"/>
      <c r="AT33" s="149"/>
      <c r="AU33" s="149"/>
      <c r="AV33" s="149"/>
      <c r="AW33" s="149"/>
      <c r="AX33" s="149"/>
      <c r="AY33" s="149"/>
      <c r="AZ33" s="149"/>
      <c r="BA33" s="149"/>
      <c r="BB33" s="149"/>
      <c r="BC33" s="149"/>
      <c r="BD33" s="149"/>
      <c r="BE33" s="149"/>
      <c r="BF33" s="149"/>
      <c r="BG33" s="149"/>
      <c r="BH33" s="149"/>
      <c r="BI33" s="149"/>
      <c r="BJ33" s="151"/>
      <c r="BK33" s="32" t="str">
        <f t="shared" si="16"/>
        <v>ENT_01_A3-15_バックアップ_診療行為付加情報マスタ取込用.sql</v>
      </c>
    </row>
    <row r="34" spans="1:63" ht="37.5" customHeight="1" outlineLevel="1">
      <c r="A34" s="34" t="str">
        <f t="shared" si="12"/>
        <v>バックアップ_処理対象施設マスタ</v>
      </c>
      <c r="B34" s="139" t="str">
        <f t="shared" si="8"/>
        <v>01</v>
      </c>
      <c r="C34" s="140"/>
      <c r="D34" s="140"/>
      <c r="E34" s="140"/>
      <c r="F34" s="141"/>
      <c r="G34" s="142" t="s">
        <v>196</v>
      </c>
      <c r="H34" s="143"/>
      <c r="I34" s="143"/>
      <c r="J34" s="143"/>
      <c r="K34" s="143"/>
      <c r="L34" s="143"/>
      <c r="M34" s="143"/>
      <c r="N34" s="144"/>
      <c r="O34" s="79" t="s">
        <v>3162</v>
      </c>
      <c r="P34" s="145" t="s">
        <v>2404</v>
      </c>
      <c r="Q34" s="146"/>
      <c r="R34" s="146"/>
      <c r="S34" s="146"/>
      <c r="T34" s="146"/>
      <c r="U34" s="146"/>
      <c r="V34" s="146"/>
      <c r="W34" s="146"/>
      <c r="X34" s="146"/>
      <c r="Y34" s="146"/>
      <c r="Z34" s="146"/>
      <c r="AA34" s="146"/>
      <c r="AB34" s="146"/>
      <c r="AC34" s="146"/>
      <c r="AD34" s="147"/>
      <c r="AE34" s="148" t="str">
        <f t="shared" ca="1" si="13"/>
        <v>sny_202310_backup_mt_shori_shisetsu</v>
      </c>
      <c r="AF34" s="149"/>
      <c r="AG34" s="149"/>
      <c r="AH34" s="149"/>
      <c r="AI34" s="149"/>
      <c r="AJ34" s="149"/>
      <c r="AK34" s="149"/>
      <c r="AL34" s="150"/>
      <c r="AM34" s="148" t="str">
        <f t="shared" ca="1" si="14"/>
        <v>処理対象施設マスタテーブルから組入れ条件の第一条件で絞り込んだ結果を格納するテーブル</v>
      </c>
      <c r="AN34" s="149"/>
      <c r="AO34" s="149"/>
      <c r="AP34" s="149"/>
      <c r="AQ34" s="149"/>
      <c r="AR34" s="149"/>
      <c r="AS34" s="149"/>
      <c r="AT34" s="149"/>
      <c r="AU34" s="149"/>
      <c r="AV34" s="149"/>
      <c r="AW34" s="149"/>
      <c r="AX34" s="149"/>
      <c r="AY34" s="149"/>
      <c r="AZ34" s="149"/>
      <c r="BA34" s="149"/>
      <c r="BB34" s="149"/>
      <c r="BC34" s="149"/>
      <c r="BD34" s="149"/>
      <c r="BE34" s="149"/>
      <c r="BF34" s="149"/>
      <c r="BG34" s="149"/>
      <c r="BH34" s="149"/>
      <c r="BI34" s="149"/>
      <c r="BJ34" s="151"/>
      <c r="BK34" s="32" t="str">
        <f t="shared" si="16"/>
        <v>ENT_01_A3-16_バックアップ_処理対象施設マスタ.sql</v>
      </c>
    </row>
    <row r="35" spans="1:63" ht="37.5" customHeight="1" outlineLevel="1">
      <c r="A35" s="34" t="str">
        <f t="shared" si="12"/>
        <v>バックアップ_処理対象施設マスタ管理</v>
      </c>
      <c r="B35" s="139" t="str">
        <f t="shared" si="8"/>
        <v>01</v>
      </c>
      <c r="C35" s="140"/>
      <c r="D35" s="140"/>
      <c r="E35" s="140"/>
      <c r="F35" s="141"/>
      <c r="G35" s="142" t="s">
        <v>196</v>
      </c>
      <c r="H35" s="143"/>
      <c r="I35" s="143"/>
      <c r="J35" s="143"/>
      <c r="K35" s="143"/>
      <c r="L35" s="143"/>
      <c r="M35" s="143"/>
      <c r="N35" s="144"/>
      <c r="O35" s="79" t="s">
        <v>3221</v>
      </c>
      <c r="P35" s="145" t="s">
        <v>2433</v>
      </c>
      <c r="Q35" s="146"/>
      <c r="R35" s="146"/>
      <c r="S35" s="146"/>
      <c r="T35" s="146"/>
      <c r="U35" s="146"/>
      <c r="V35" s="146"/>
      <c r="W35" s="146"/>
      <c r="X35" s="146"/>
      <c r="Y35" s="146"/>
      <c r="Z35" s="146"/>
      <c r="AA35" s="146"/>
      <c r="AB35" s="146"/>
      <c r="AC35" s="146"/>
      <c r="AD35" s="147"/>
      <c r="AE35" s="148" t="str">
        <f t="shared" ca="1" si="13"/>
        <v>sny_202310_backup_mt_shori_shisetsu_manage</v>
      </c>
      <c r="AF35" s="149"/>
      <c r="AG35" s="149"/>
      <c r="AH35" s="149"/>
      <c r="AI35" s="149"/>
      <c r="AJ35" s="149"/>
      <c r="AK35" s="149"/>
      <c r="AL35" s="150"/>
      <c r="AM35" s="148" t="str">
        <f t="shared" ca="1" si="14"/>
        <v>処理対象施設マスタ管理テーブルから組入れ条件の第一条件で絞り込んだ結果を格納するテーブル</v>
      </c>
      <c r="AN35" s="149"/>
      <c r="AO35" s="149"/>
      <c r="AP35" s="149"/>
      <c r="AQ35" s="149"/>
      <c r="AR35" s="149"/>
      <c r="AS35" s="149"/>
      <c r="AT35" s="149"/>
      <c r="AU35" s="149"/>
      <c r="AV35" s="149"/>
      <c r="AW35" s="149"/>
      <c r="AX35" s="149"/>
      <c r="AY35" s="149"/>
      <c r="AZ35" s="149"/>
      <c r="BA35" s="149"/>
      <c r="BB35" s="149"/>
      <c r="BC35" s="149"/>
      <c r="BD35" s="149"/>
      <c r="BE35" s="149"/>
      <c r="BF35" s="149"/>
      <c r="BG35" s="149"/>
      <c r="BH35" s="149"/>
      <c r="BI35" s="149"/>
      <c r="BJ35" s="151"/>
      <c r="BK35" s="32" t="str">
        <f t="shared" si="16"/>
        <v>ENT_01_A3-17_バックアップ_処理対象施設マスタ管理.sql</v>
      </c>
    </row>
    <row r="36" spans="1:63" ht="37.5" customHeight="1" outlineLevel="1">
      <c r="A36" s="34" t="str">
        <f t="shared" ref="A36:A51" si="17">P36</f>
        <v>バックアップ_医薬品マスタ</v>
      </c>
      <c r="B36" s="139" t="str">
        <f t="shared" si="8"/>
        <v>01</v>
      </c>
      <c r="C36" s="140"/>
      <c r="D36" s="140"/>
      <c r="E36" s="140"/>
      <c r="F36" s="141"/>
      <c r="G36" s="142" t="s">
        <v>196</v>
      </c>
      <c r="H36" s="143"/>
      <c r="I36" s="143"/>
      <c r="J36" s="143"/>
      <c r="K36" s="143"/>
      <c r="L36" s="143"/>
      <c r="M36" s="143"/>
      <c r="N36" s="144"/>
      <c r="O36" s="79" t="s">
        <v>3222</v>
      </c>
      <c r="P36" s="145" t="s">
        <v>3242</v>
      </c>
      <c r="Q36" s="146"/>
      <c r="R36" s="146"/>
      <c r="S36" s="146"/>
      <c r="T36" s="146"/>
      <c r="U36" s="146"/>
      <c r="V36" s="146"/>
      <c r="W36" s="146"/>
      <c r="X36" s="146"/>
      <c r="Y36" s="146"/>
      <c r="Z36" s="146"/>
      <c r="AA36" s="146"/>
      <c r="AB36" s="146"/>
      <c r="AC36" s="146"/>
      <c r="AD36" s="147"/>
      <c r="AE36" s="148" t="str">
        <f t="shared" ref="AE36:AE45" ca="1" si="18">IFERROR(INDIRECT(P36&amp;"!D8"),"")</f>
        <v>sny_202310_backup_mt_iyakuhin</v>
      </c>
      <c r="AF36" s="149"/>
      <c r="AG36" s="149"/>
      <c r="AH36" s="149"/>
      <c r="AI36" s="149"/>
      <c r="AJ36" s="149"/>
      <c r="AK36" s="149"/>
      <c r="AL36" s="150"/>
      <c r="AM36" s="148" t="str">
        <f t="shared" ref="AM36:AM45" ca="1" si="19">IFERROR(INDIRECT(P36&amp;"!D9"),"")</f>
        <v>医薬品マスタテーブルから組入れ条件の第一条件で絞り込んだ結果を格納するテーブル</v>
      </c>
      <c r="AN36" s="149"/>
      <c r="AO36" s="149"/>
      <c r="AP36" s="149"/>
      <c r="AQ36" s="149"/>
      <c r="AR36" s="149"/>
      <c r="AS36" s="149"/>
      <c r="AT36" s="149"/>
      <c r="AU36" s="149"/>
      <c r="AV36" s="149"/>
      <c r="AW36" s="149"/>
      <c r="AX36" s="149"/>
      <c r="AY36" s="149"/>
      <c r="AZ36" s="149"/>
      <c r="BA36" s="149"/>
      <c r="BB36" s="149"/>
      <c r="BC36" s="149"/>
      <c r="BD36" s="149"/>
      <c r="BE36" s="149"/>
      <c r="BF36" s="149"/>
      <c r="BG36" s="149"/>
      <c r="BH36" s="149"/>
      <c r="BI36" s="149"/>
      <c r="BJ36" s="151"/>
      <c r="BK36" s="32" t="str">
        <f t="shared" si="16"/>
        <v>ENT_01_A3-18_バックアップ_医薬品マスタ.sql</v>
      </c>
    </row>
    <row r="37" spans="1:63" ht="37.5" customHeight="1" outlineLevel="1">
      <c r="A37" s="34" t="str">
        <f t="shared" si="17"/>
        <v>バックアップ_医薬品ブランドマスタ</v>
      </c>
      <c r="B37" s="139" t="str">
        <f t="shared" si="8"/>
        <v>01</v>
      </c>
      <c r="C37" s="140"/>
      <c r="D37" s="140"/>
      <c r="E37" s="140"/>
      <c r="F37" s="141"/>
      <c r="G37" s="142" t="s">
        <v>196</v>
      </c>
      <c r="H37" s="143"/>
      <c r="I37" s="143"/>
      <c r="J37" s="143"/>
      <c r="K37" s="143"/>
      <c r="L37" s="143"/>
      <c r="M37" s="143"/>
      <c r="N37" s="144"/>
      <c r="O37" s="79" t="s">
        <v>3223</v>
      </c>
      <c r="P37" s="145" t="s">
        <v>3243</v>
      </c>
      <c r="Q37" s="146"/>
      <c r="R37" s="146"/>
      <c r="S37" s="146"/>
      <c r="T37" s="146"/>
      <c r="U37" s="146"/>
      <c r="V37" s="146"/>
      <c r="W37" s="146"/>
      <c r="X37" s="146"/>
      <c r="Y37" s="146"/>
      <c r="Z37" s="146"/>
      <c r="AA37" s="146"/>
      <c r="AB37" s="146"/>
      <c r="AC37" s="146"/>
      <c r="AD37" s="147"/>
      <c r="AE37" s="148" t="str">
        <f t="shared" ca="1" si="18"/>
        <v>sny_202310_backup_mt_iyakuhin_brand</v>
      </c>
      <c r="AF37" s="149"/>
      <c r="AG37" s="149"/>
      <c r="AH37" s="149"/>
      <c r="AI37" s="149"/>
      <c r="AJ37" s="149"/>
      <c r="AK37" s="149"/>
      <c r="AL37" s="150"/>
      <c r="AM37" s="148" t="str">
        <f t="shared" ca="1" si="19"/>
        <v>医薬品ブランドマスタテーブルから組入れ条件の第一条件で絞り込んだ結果を格納するテーブル</v>
      </c>
      <c r="AN37" s="149"/>
      <c r="AO37" s="149"/>
      <c r="AP37" s="149"/>
      <c r="AQ37" s="149"/>
      <c r="AR37" s="149"/>
      <c r="AS37" s="149"/>
      <c r="AT37" s="149"/>
      <c r="AU37" s="149"/>
      <c r="AV37" s="149"/>
      <c r="AW37" s="149"/>
      <c r="AX37" s="149"/>
      <c r="AY37" s="149"/>
      <c r="AZ37" s="149"/>
      <c r="BA37" s="149"/>
      <c r="BB37" s="149"/>
      <c r="BC37" s="149"/>
      <c r="BD37" s="149"/>
      <c r="BE37" s="149"/>
      <c r="BF37" s="149"/>
      <c r="BG37" s="149"/>
      <c r="BH37" s="149"/>
      <c r="BI37" s="149"/>
      <c r="BJ37" s="151"/>
      <c r="BK37" s="32" t="str">
        <f t="shared" si="16"/>
        <v>ENT_01_A3-19_バックアップ_医薬品ブランドマスタ.sql</v>
      </c>
    </row>
    <row r="38" spans="1:63" ht="37.5" customHeight="1" outlineLevel="1">
      <c r="A38" s="34" t="str">
        <f t="shared" si="17"/>
        <v>バックアップ_医薬品一般名マスタ</v>
      </c>
      <c r="B38" s="139" t="str">
        <f t="shared" ref="B38:B106" si="20">TEXT(1,"00")</f>
        <v>01</v>
      </c>
      <c r="C38" s="140"/>
      <c r="D38" s="140"/>
      <c r="E38" s="140"/>
      <c r="F38" s="141"/>
      <c r="G38" s="142" t="s">
        <v>196</v>
      </c>
      <c r="H38" s="143"/>
      <c r="I38" s="143"/>
      <c r="J38" s="143"/>
      <c r="K38" s="143"/>
      <c r="L38" s="143"/>
      <c r="M38" s="143"/>
      <c r="N38" s="144"/>
      <c r="O38" s="79" t="s">
        <v>3224</v>
      </c>
      <c r="P38" s="145" t="s">
        <v>3244</v>
      </c>
      <c r="Q38" s="146"/>
      <c r="R38" s="146"/>
      <c r="S38" s="146"/>
      <c r="T38" s="146"/>
      <c r="U38" s="146"/>
      <c r="V38" s="146"/>
      <c r="W38" s="146"/>
      <c r="X38" s="146"/>
      <c r="Y38" s="146"/>
      <c r="Z38" s="146"/>
      <c r="AA38" s="146"/>
      <c r="AB38" s="146"/>
      <c r="AC38" s="146"/>
      <c r="AD38" s="147"/>
      <c r="AE38" s="148" t="str">
        <f t="shared" ca="1" si="18"/>
        <v>sny_202310_backup_mt_iyakuhin_ippan_name</v>
      </c>
      <c r="AF38" s="149"/>
      <c r="AG38" s="149"/>
      <c r="AH38" s="149"/>
      <c r="AI38" s="149"/>
      <c r="AJ38" s="149"/>
      <c r="AK38" s="149"/>
      <c r="AL38" s="150"/>
      <c r="AM38" s="148" t="str">
        <f t="shared" ca="1" si="19"/>
        <v>医薬品一般名マスタテーブルから組入れ条件の第一条件で絞り込んだ結果を格納するテーブル</v>
      </c>
      <c r="AN38" s="149"/>
      <c r="AO38" s="149"/>
      <c r="AP38" s="149"/>
      <c r="AQ38" s="149"/>
      <c r="AR38" s="149"/>
      <c r="AS38" s="149"/>
      <c r="AT38" s="149"/>
      <c r="AU38" s="149"/>
      <c r="AV38" s="149"/>
      <c r="AW38" s="149"/>
      <c r="AX38" s="149"/>
      <c r="AY38" s="149"/>
      <c r="AZ38" s="149"/>
      <c r="BA38" s="149"/>
      <c r="BB38" s="149"/>
      <c r="BC38" s="149"/>
      <c r="BD38" s="149"/>
      <c r="BE38" s="149"/>
      <c r="BF38" s="149"/>
      <c r="BG38" s="149"/>
      <c r="BH38" s="149"/>
      <c r="BI38" s="149"/>
      <c r="BJ38" s="151"/>
      <c r="BK38" s="32" t="str">
        <f t="shared" si="16"/>
        <v>ENT_01_A3-20_バックアップ_医薬品一般名マスタ.sql</v>
      </c>
    </row>
    <row r="39" spans="1:63" ht="37.5" customHeight="1" outlineLevel="1">
      <c r="A39" s="34" t="str">
        <f t="shared" si="17"/>
        <v>バックアップ_医薬品販売会社マスタ</v>
      </c>
      <c r="B39" s="139" t="str">
        <f t="shared" si="20"/>
        <v>01</v>
      </c>
      <c r="C39" s="140"/>
      <c r="D39" s="140"/>
      <c r="E39" s="140"/>
      <c r="F39" s="141"/>
      <c r="G39" s="142" t="s">
        <v>196</v>
      </c>
      <c r="H39" s="143"/>
      <c r="I39" s="143"/>
      <c r="J39" s="143"/>
      <c r="K39" s="143"/>
      <c r="L39" s="143"/>
      <c r="M39" s="143"/>
      <c r="N39" s="144"/>
      <c r="O39" s="79" t="s">
        <v>3225</v>
      </c>
      <c r="P39" s="145" t="s">
        <v>3245</v>
      </c>
      <c r="Q39" s="146"/>
      <c r="R39" s="146"/>
      <c r="S39" s="146"/>
      <c r="T39" s="146"/>
      <c r="U39" s="146"/>
      <c r="V39" s="146"/>
      <c r="W39" s="146"/>
      <c r="X39" s="146"/>
      <c r="Y39" s="146"/>
      <c r="Z39" s="146"/>
      <c r="AA39" s="146"/>
      <c r="AB39" s="146"/>
      <c r="AC39" s="146"/>
      <c r="AD39" s="147"/>
      <c r="AE39" s="148" t="str">
        <f t="shared" ca="1" si="18"/>
        <v>sny_202310_backup_mt_iyakuhin_sales_kaisha</v>
      </c>
      <c r="AF39" s="149"/>
      <c r="AG39" s="149"/>
      <c r="AH39" s="149"/>
      <c r="AI39" s="149"/>
      <c r="AJ39" s="149"/>
      <c r="AK39" s="149"/>
      <c r="AL39" s="150"/>
      <c r="AM39" s="148" t="str">
        <f t="shared" ca="1" si="19"/>
        <v>医薬品販売会社マスタテーブルから組入れ条件の第一条件で絞り込んだ結果を格納するテーブル</v>
      </c>
      <c r="AN39" s="149"/>
      <c r="AO39" s="149"/>
      <c r="AP39" s="149"/>
      <c r="AQ39" s="149"/>
      <c r="AR39" s="149"/>
      <c r="AS39" s="149"/>
      <c r="AT39" s="149"/>
      <c r="AU39" s="149"/>
      <c r="AV39" s="149"/>
      <c r="AW39" s="149"/>
      <c r="AX39" s="149"/>
      <c r="AY39" s="149"/>
      <c r="AZ39" s="149"/>
      <c r="BA39" s="149"/>
      <c r="BB39" s="149"/>
      <c r="BC39" s="149"/>
      <c r="BD39" s="149"/>
      <c r="BE39" s="149"/>
      <c r="BF39" s="149"/>
      <c r="BG39" s="149"/>
      <c r="BH39" s="149"/>
      <c r="BI39" s="149"/>
      <c r="BJ39" s="151"/>
      <c r="BK39" s="32" t="str">
        <f t="shared" si="16"/>
        <v>ENT_01_A3-21_バックアップ_医薬品販売会社マスタ.sql</v>
      </c>
    </row>
    <row r="40" spans="1:63" ht="37.5" customHeight="1" outlineLevel="1">
      <c r="A40" s="34" t="str">
        <f t="shared" si="17"/>
        <v>バックアップ_メーカマスタ</v>
      </c>
      <c r="B40" s="139" t="str">
        <f t="shared" si="20"/>
        <v>01</v>
      </c>
      <c r="C40" s="140"/>
      <c r="D40" s="140"/>
      <c r="E40" s="140"/>
      <c r="F40" s="141"/>
      <c r="G40" s="142" t="s">
        <v>196</v>
      </c>
      <c r="H40" s="143"/>
      <c r="I40" s="143"/>
      <c r="J40" s="143"/>
      <c r="K40" s="143"/>
      <c r="L40" s="143"/>
      <c r="M40" s="143"/>
      <c r="N40" s="144"/>
      <c r="O40" s="79" t="s">
        <v>3226</v>
      </c>
      <c r="P40" s="145" t="s">
        <v>3246</v>
      </c>
      <c r="Q40" s="146"/>
      <c r="R40" s="146"/>
      <c r="S40" s="146"/>
      <c r="T40" s="146"/>
      <c r="U40" s="146"/>
      <c r="V40" s="146"/>
      <c r="W40" s="146"/>
      <c r="X40" s="146"/>
      <c r="Y40" s="146"/>
      <c r="Z40" s="146"/>
      <c r="AA40" s="146"/>
      <c r="AB40" s="146"/>
      <c r="AC40" s="146"/>
      <c r="AD40" s="147"/>
      <c r="AE40" s="148" t="str">
        <f t="shared" ca="1" si="18"/>
        <v>sny_202310_backup_mt_maker</v>
      </c>
      <c r="AF40" s="149"/>
      <c r="AG40" s="149"/>
      <c r="AH40" s="149"/>
      <c r="AI40" s="149"/>
      <c r="AJ40" s="149"/>
      <c r="AK40" s="149"/>
      <c r="AL40" s="150"/>
      <c r="AM40" s="148" t="str">
        <f t="shared" ca="1" si="19"/>
        <v>メーカマスタテーブルから組入れ条件の第一条件で絞り込んだ結果を格納するテーブル</v>
      </c>
      <c r="AN40" s="149"/>
      <c r="AO40" s="149"/>
      <c r="AP40" s="149"/>
      <c r="AQ40" s="149"/>
      <c r="AR40" s="149"/>
      <c r="AS40" s="149"/>
      <c r="AT40" s="149"/>
      <c r="AU40" s="149"/>
      <c r="AV40" s="149"/>
      <c r="AW40" s="149"/>
      <c r="AX40" s="149"/>
      <c r="AY40" s="149"/>
      <c r="AZ40" s="149"/>
      <c r="BA40" s="149"/>
      <c r="BB40" s="149"/>
      <c r="BC40" s="149"/>
      <c r="BD40" s="149"/>
      <c r="BE40" s="149"/>
      <c r="BF40" s="149"/>
      <c r="BG40" s="149"/>
      <c r="BH40" s="149"/>
      <c r="BI40" s="149"/>
      <c r="BJ40" s="151"/>
      <c r="BK40" s="32" t="str">
        <f t="shared" si="16"/>
        <v>ENT_01_A3-22_バックアップ_メーカマスタ.sql</v>
      </c>
    </row>
    <row r="41" spans="1:63" ht="37.5" customHeight="1" outlineLevel="1">
      <c r="A41" s="34" t="str">
        <f t="shared" si="17"/>
        <v>バックアップ_薬価マスタ</v>
      </c>
      <c r="B41" s="139" t="str">
        <f t="shared" si="20"/>
        <v>01</v>
      </c>
      <c r="C41" s="140"/>
      <c r="D41" s="140"/>
      <c r="E41" s="140"/>
      <c r="F41" s="141"/>
      <c r="G41" s="142" t="s">
        <v>196</v>
      </c>
      <c r="H41" s="143"/>
      <c r="I41" s="143"/>
      <c r="J41" s="143"/>
      <c r="K41" s="143"/>
      <c r="L41" s="143"/>
      <c r="M41" s="143"/>
      <c r="N41" s="144"/>
      <c r="O41" s="79" t="s">
        <v>3227</v>
      </c>
      <c r="P41" s="145" t="s">
        <v>3247</v>
      </c>
      <c r="Q41" s="146"/>
      <c r="R41" s="146"/>
      <c r="S41" s="146"/>
      <c r="T41" s="146"/>
      <c r="U41" s="146"/>
      <c r="V41" s="146"/>
      <c r="W41" s="146"/>
      <c r="X41" s="146"/>
      <c r="Y41" s="146"/>
      <c r="Z41" s="146"/>
      <c r="AA41" s="146"/>
      <c r="AB41" s="146"/>
      <c r="AC41" s="146"/>
      <c r="AD41" s="147"/>
      <c r="AE41" s="148" t="str">
        <f t="shared" ca="1" si="18"/>
        <v>sny_202310_backup_mt_price</v>
      </c>
      <c r="AF41" s="149"/>
      <c r="AG41" s="149"/>
      <c r="AH41" s="149"/>
      <c r="AI41" s="149"/>
      <c r="AJ41" s="149"/>
      <c r="AK41" s="149"/>
      <c r="AL41" s="150"/>
      <c r="AM41" s="148" t="str">
        <f t="shared" ca="1" si="19"/>
        <v>薬価マスタテーブルから組入れ条件の第一条件で絞り込んだ結果を格納するテーブル</v>
      </c>
      <c r="AN41" s="149"/>
      <c r="AO41" s="149"/>
      <c r="AP41" s="149"/>
      <c r="AQ41" s="149"/>
      <c r="AR41" s="149"/>
      <c r="AS41" s="149"/>
      <c r="AT41" s="149"/>
      <c r="AU41" s="149"/>
      <c r="AV41" s="149"/>
      <c r="AW41" s="149"/>
      <c r="AX41" s="149"/>
      <c r="AY41" s="149"/>
      <c r="AZ41" s="149"/>
      <c r="BA41" s="149"/>
      <c r="BB41" s="149"/>
      <c r="BC41" s="149"/>
      <c r="BD41" s="149"/>
      <c r="BE41" s="149"/>
      <c r="BF41" s="149"/>
      <c r="BG41" s="149"/>
      <c r="BH41" s="149"/>
      <c r="BI41" s="149"/>
      <c r="BJ41" s="151"/>
      <c r="BK41" s="32" t="str">
        <f t="shared" si="16"/>
        <v>ENT_01_A3-23_バックアップ_薬価マスタ.sql</v>
      </c>
    </row>
    <row r="42" spans="1:63" ht="37.5" customHeight="1" outlineLevel="1">
      <c r="A42" s="34" t="str">
        <f t="shared" si="17"/>
        <v>バックアップ_薬効ATC分類1マスタ</v>
      </c>
      <c r="B42" s="139" t="str">
        <f t="shared" si="20"/>
        <v>01</v>
      </c>
      <c r="C42" s="140"/>
      <c r="D42" s="140"/>
      <c r="E42" s="140"/>
      <c r="F42" s="141"/>
      <c r="G42" s="142" t="s">
        <v>196</v>
      </c>
      <c r="H42" s="143"/>
      <c r="I42" s="143"/>
      <c r="J42" s="143"/>
      <c r="K42" s="143"/>
      <c r="L42" s="143"/>
      <c r="M42" s="143"/>
      <c r="N42" s="144"/>
      <c r="O42" s="79" t="s">
        <v>3228</v>
      </c>
      <c r="P42" s="145" t="s">
        <v>3248</v>
      </c>
      <c r="Q42" s="146"/>
      <c r="R42" s="146"/>
      <c r="S42" s="146"/>
      <c r="T42" s="146"/>
      <c r="U42" s="146"/>
      <c r="V42" s="146"/>
      <c r="W42" s="146"/>
      <c r="X42" s="146"/>
      <c r="Y42" s="146"/>
      <c r="Z42" s="146"/>
      <c r="AA42" s="146"/>
      <c r="AB42" s="146"/>
      <c r="AC42" s="146"/>
      <c r="AD42" s="147"/>
      <c r="AE42" s="148" t="str">
        <f t="shared" ca="1" si="18"/>
        <v>sny_202310_backup_mt_yakko_atc1</v>
      </c>
      <c r="AF42" s="149"/>
      <c r="AG42" s="149"/>
      <c r="AH42" s="149"/>
      <c r="AI42" s="149"/>
      <c r="AJ42" s="149"/>
      <c r="AK42" s="149"/>
      <c r="AL42" s="150"/>
      <c r="AM42" s="148" t="str">
        <f t="shared" ca="1" si="19"/>
        <v>薬効ATC分類1マスタテーブルから組入れ条件の第一条件で絞り込んだ結果を格納するテーブル</v>
      </c>
      <c r="AN42" s="149"/>
      <c r="AO42" s="149"/>
      <c r="AP42" s="149"/>
      <c r="AQ42" s="149"/>
      <c r="AR42" s="149"/>
      <c r="AS42" s="149"/>
      <c r="AT42" s="149"/>
      <c r="AU42" s="149"/>
      <c r="AV42" s="149"/>
      <c r="AW42" s="149"/>
      <c r="AX42" s="149"/>
      <c r="AY42" s="149"/>
      <c r="AZ42" s="149"/>
      <c r="BA42" s="149"/>
      <c r="BB42" s="149"/>
      <c r="BC42" s="149"/>
      <c r="BD42" s="149"/>
      <c r="BE42" s="149"/>
      <c r="BF42" s="149"/>
      <c r="BG42" s="149"/>
      <c r="BH42" s="149"/>
      <c r="BI42" s="149"/>
      <c r="BJ42" s="151"/>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9" t="str">
        <f t="shared" si="20"/>
        <v>01</v>
      </c>
      <c r="C43" s="140"/>
      <c r="D43" s="140"/>
      <c r="E43" s="140"/>
      <c r="F43" s="141"/>
      <c r="G43" s="142" t="s">
        <v>196</v>
      </c>
      <c r="H43" s="143"/>
      <c r="I43" s="143"/>
      <c r="J43" s="143"/>
      <c r="K43" s="143"/>
      <c r="L43" s="143"/>
      <c r="M43" s="143"/>
      <c r="N43" s="144"/>
      <c r="O43" s="79" t="s">
        <v>3229</v>
      </c>
      <c r="P43" s="145" t="s">
        <v>3249</v>
      </c>
      <c r="Q43" s="146"/>
      <c r="R43" s="146"/>
      <c r="S43" s="146"/>
      <c r="T43" s="146"/>
      <c r="U43" s="146"/>
      <c r="V43" s="146"/>
      <c r="W43" s="146"/>
      <c r="X43" s="146"/>
      <c r="Y43" s="146"/>
      <c r="Z43" s="146"/>
      <c r="AA43" s="146"/>
      <c r="AB43" s="146"/>
      <c r="AC43" s="146"/>
      <c r="AD43" s="147"/>
      <c r="AE43" s="148" t="str">
        <f t="shared" ca="1" si="18"/>
        <v>sny_202310_backup_mt_yakko_atc2</v>
      </c>
      <c r="AF43" s="149"/>
      <c r="AG43" s="149"/>
      <c r="AH43" s="149"/>
      <c r="AI43" s="149"/>
      <c r="AJ43" s="149"/>
      <c r="AK43" s="149"/>
      <c r="AL43" s="150"/>
      <c r="AM43" s="148" t="str">
        <f t="shared" ca="1" si="19"/>
        <v>薬効ATC分類2マスタテーブルから組入れ条件の第一条件で絞り込んだ結果を格納するテーブル</v>
      </c>
      <c r="AN43" s="149"/>
      <c r="AO43" s="149"/>
      <c r="AP43" s="149"/>
      <c r="AQ43" s="149"/>
      <c r="AR43" s="149"/>
      <c r="AS43" s="149"/>
      <c r="AT43" s="149"/>
      <c r="AU43" s="149"/>
      <c r="AV43" s="149"/>
      <c r="AW43" s="149"/>
      <c r="AX43" s="149"/>
      <c r="AY43" s="149"/>
      <c r="AZ43" s="149"/>
      <c r="BA43" s="149"/>
      <c r="BB43" s="149"/>
      <c r="BC43" s="149"/>
      <c r="BD43" s="149"/>
      <c r="BE43" s="149"/>
      <c r="BF43" s="149"/>
      <c r="BG43" s="149"/>
      <c r="BH43" s="149"/>
      <c r="BI43" s="149"/>
      <c r="BJ43" s="151"/>
      <c r="BK43" s="32" t="str">
        <f t="shared" si="21"/>
        <v>ENT_01_A3-25_バックアップ_薬効ATC分類2マスタ.sql</v>
      </c>
    </row>
    <row r="44" spans="1:63" ht="37.5" customHeight="1" outlineLevel="1">
      <c r="A44" s="34" t="str">
        <f t="shared" si="17"/>
        <v>バックアップ_薬効ATC分類3マスタ</v>
      </c>
      <c r="B44" s="139" t="str">
        <f t="shared" si="20"/>
        <v>01</v>
      </c>
      <c r="C44" s="140"/>
      <c r="D44" s="140"/>
      <c r="E44" s="140"/>
      <c r="F44" s="141"/>
      <c r="G44" s="142" t="s">
        <v>196</v>
      </c>
      <c r="H44" s="143"/>
      <c r="I44" s="143"/>
      <c r="J44" s="143"/>
      <c r="K44" s="143"/>
      <c r="L44" s="143"/>
      <c r="M44" s="143"/>
      <c r="N44" s="144"/>
      <c r="O44" s="79" t="s">
        <v>3230</v>
      </c>
      <c r="P44" s="145" t="s">
        <v>3250</v>
      </c>
      <c r="Q44" s="146"/>
      <c r="R44" s="146"/>
      <c r="S44" s="146"/>
      <c r="T44" s="146"/>
      <c r="U44" s="146"/>
      <c r="V44" s="146"/>
      <c r="W44" s="146"/>
      <c r="X44" s="146"/>
      <c r="Y44" s="146"/>
      <c r="Z44" s="146"/>
      <c r="AA44" s="146"/>
      <c r="AB44" s="146"/>
      <c r="AC44" s="146"/>
      <c r="AD44" s="147"/>
      <c r="AE44" s="148" t="str">
        <f t="shared" ca="1" si="18"/>
        <v>sny_202310_backup_mt_yakko_atc3</v>
      </c>
      <c r="AF44" s="149"/>
      <c r="AG44" s="149"/>
      <c r="AH44" s="149"/>
      <c r="AI44" s="149"/>
      <c r="AJ44" s="149"/>
      <c r="AK44" s="149"/>
      <c r="AL44" s="150"/>
      <c r="AM44" s="148" t="str">
        <f t="shared" ca="1" si="19"/>
        <v>薬効ATC分類3マスタテーブルから組入れ条件の第一条件で絞り込んだ結果を格納するテーブル</v>
      </c>
      <c r="AN44" s="149"/>
      <c r="AO44" s="149"/>
      <c r="AP44" s="149"/>
      <c r="AQ44" s="149"/>
      <c r="AR44" s="149"/>
      <c r="AS44" s="149"/>
      <c r="AT44" s="149"/>
      <c r="AU44" s="149"/>
      <c r="AV44" s="149"/>
      <c r="AW44" s="149"/>
      <c r="AX44" s="149"/>
      <c r="AY44" s="149"/>
      <c r="AZ44" s="149"/>
      <c r="BA44" s="149"/>
      <c r="BB44" s="149"/>
      <c r="BC44" s="149"/>
      <c r="BD44" s="149"/>
      <c r="BE44" s="149"/>
      <c r="BF44" s="149"/>
      <c r="BG44" s="149"/>
      <c r="BH44" s="149"/>
      <c r="BI44" s="149"/>
      <c r="BJ44" s="151"/>
      <c r="BK44" s="32" t="str">
        <f t="shared" si="21"/>
        <v>ENT_01_A3-26_バックアップ_薬効ATC分類3マスタ.sql</v>
      </c>
    </row>
    <row r="45" spans="1:63" ht="37.5" customHeight="1" outlineLevel="1">
      <c r="A45" s="34" t="str">
        <f t="shared" si="17"/>
        <v>バックアップ_薬効ATC分類4マスタ</v>
      </c>
      <c r="B45" s="139" t="str">
        <f t="shared" si="20"/>
        <v>01</v>
      </c>
      <c r="C45" s="140"/>
      <c r="D45" s="140"/>
      <c r="E45" s="140"/>
      <c r="F45" s="141"/>
      <c r="G45" s="142" t="s">
        <v>196</v>
      </c>
      <c r="H45" s="143"/>
      <c r="I45" s="143"/>
      <c r="J45" s="143"/>
      <c r="K45" s="143"/>
      <c r="L45" s="143"/>
      <c r="M45" s="143"/>
      <c r="N45" s="144"/>
      <c r="O45" s="79" t="s">
        <v>3231</v>
      </c>
      <c r="P45" s="145" t="s">
        <v>3251</v>
      </c>
      <c r="Q45" s="146"/>
      <c r="R45" s="146"/>
      <c r="S45" s="146"/>
      <c r="T45" s="146"/>
      <c r="U45" s="146"/>
      <c r="V45" s="146"/>
      <c r="W45" s="146"/>
      <c r="X45" s="146"/>
      <c r="Y45" s="146"/>
      <c r="Z45" s="146"/>
      <c r="AA45" s="146"/>
      <c r="AB45" s="146"/>
      <c r="AC45" s="146"/>
      <c r="AD45" s="147"/>
      <c r="AE45" s="148" t="str">
        <f t="shared" ca="1" si="18"/>
        <v>sny_202310_backup_mt_yakko_atc4</v>
      </c>
      <c r="AF45" s="149"/>
      <c r="AG45" s="149"/>
      <c r="AH45" s="149"/>
      <c r="AI45" s="149"/>
      <c r="AJ45" s="149"/>
      <c r="AK45" s="149"/>
      <c r="AL45" s="150"/>
      <c r="AM45" s="148" t="str">
        <f t="shared" ca="1" si="19"/>
        <v>薬効ATC分類4マスタテーブルから組入れ条件の第一条件で絞り込んだ結果を格納するテーブル</v>
      </c>
      <c r="AN45" s="149"/>
      <c r="AO45" s="149"/>
      <c r="AP45" s="149"/>
      <c r="AQ45" s="149"/>
      <c r="AR45" s="149"/>
      <c r="AS45" s="149"/>
      <c r="AT45" s="149"/>
      <c r="AU45" s="149"/>
      <c r="AV45" s="149"/>
      <c r="AW45" s="149"/>
      <c r="AX45" s="149"/>
      <c r="AY45" s="149"/>
      <c r="AZ45" s="149"/>
      <c r="BA45" s="149"/>
      <c r="BB45" s="149"/>
      <c r="BC45" s="149"/>
      <c r="BD45" s="149"/>
      <c r="BE45" s="149"/>
      <c r="BF45" s="149"/>
      <c r="BG45" s="149"/>
      <c r="BH45" s="149"/>
      <c r="BI45" s="149"/>
      <c r="BJ45" s="151"/>
      <c r="BK45" s="32" t="str">
        <f t="shared" si="21"/>
        <v>ENT_01_A3-27_バックアップ_薬効ATC分類4マスタ.sql</v>
      </c>
    </row>
    <row r="46" spans="1:63" ht="37.5" customHeight="1" outlineLevel="1">
      <c r="A46" s="34" t="str">
        <f t="shared" si="17"/>
        <v>バックアップ_薬効ATC分類5マスタ</v>
      </c>
      <c r="B46" s="139" t="str">
        <f t="shared" si="20"/>
        <v>01</v>
      </c>
      <c r="C46" s="140"/>
      <c r="D46" s="140"/>
      <c r="E46" s="140"/>
      <c r="F46" s="141"/>
      <c r="G46" s="142" t="s">
        <v>196</v>
      </c>
      <c r="H46" s="143"/>
      <c r="I46" s="143"/>
      <c r="J46" s="143"/>
      <c r="K46" s="143"/>
      <c r="L46" s="143"/>
      <c r="M46" s="143"/>
      <c r="N46" s="144"/>
      <c r="O46" s="79" t="s">
        <v>3232</v>
      </c>
      <c r="P46" s="145" t="s">
        <v>3252</v>
      </c>
      <c r="Q46" s="146"/>
      <c r="R46" s="146"/>
      <c r="S46" s="146"/>
      <c r="T46" s="146"/>
      <c r="U46" s="146"/>
      <c r="V46" s="146"/>
      <c r="W46" s="146"/>
      <c r="X46" s="146"/>
      <c r="Y46" s="146"/>
      <c r="Z46" s="146"/>
      <c r="AA46" s="146"/>
      <c r="AB46" s="146"/>
      <c r="AC46" s="146"/>
      <c r="AD46" s="147"/>
      <c r="AE46" s="148" t="str">
        <f t="shared" ref="AE46" ca="1" si="22">IFERROR(INDIRECT(P46&amp;"!D8"),"")</f>
        <v>sny_202310_backup_mt_yakko_atc5</v>
      </c>
      <c r="AF46" s="149"/>
      <c r="AG46" s="149"/>
      <c r="AH46" s="149"/>
      <c r="AI46" s="149"/>
      <c r="AJ46" s="149"/>
      <c r="AK46" s="149"/>
      <c r="AL46" s="150"/>
      <c r="AM46" s="148" t="str">
        <f t="shared" ref="AM46" ca="1" si="23">IFERROR(INDIRECT(P46&amp;"!D9"),"")</f>
        <v>薬効ATC分類5マスタテーブルから組入れ条件の第一条件で絞り込んだ結果を格納するテーブル</v>
      </c>
      <c r="AN46" s="149"/>
      <c r="AO46" s="149"/>
      <c r="AP46" s="149"/>
      <c r="AQ46" s="149"/>
      <c r="AR46" s="149"/>
      <c r="AS46" s="149"/>
      <c r="AT46" s="149"/>
      <c r="AU46" s="149"/>
      <c r="AV46" s="149"/>
      <c r="AW46" s="149"/>
      <c r="AX46" s="149"/>
      <c r="AY46" s="149"/>
      <c r="AZ46" s="149"/>
      <c r="BA46" s="149"/>
      <c r="BB46" s="149"/>
      <c r="BC46" s="149"/>
      <c r="BD46" s="149"/>
      <c r="BE46" s="149"/>
      <c r="BF46" s="149"/>
      <c r="BG46" s="149"/>
      <c r="BH46" s="149"/>
      <c r="BI46" s="149"/>
      <c r="BJ46" s="151"/>
      <c r="BK46" s="32" t="str">
        <f t="shared" si="21"/>
        <v>ENT_01_A3-28_バックアップ_薬効ATC分類5マスタ.sql</v>
      </c>
    </row>
    <row r="47" spans="1:63" ht="37.5" customHeight="1" outlineLevel="1">
      <c r="A47" s="34" t="str">
        <f t="shared" si="17"/>
        <v>バックアップ_疾病マスタ</v>
      </c>
      <c r="B47" s="139" t="str">
        <f t="shared" si="20"/>
        <v>01</v>
      </c>
      <c r="C47" s="140"/>
      <c r="D47" s="140"/>
      <c r="E47" s="140"/>
      <c r="F47" s="141"/>
      <c r="G47" s="142" t="s">
        <v>196</v>
      </c>
      <c r="H47" s="143"/>
      <c r="I47" s="143"/>
      <c r="J47" s="143"/>
      <c r="K47" s="143"/>
      <c r="L47" s="143"/>
      <c r="M47" s="143"/>
      <c r="N47" s="144"/>
      <c r="O47" s="79" t="s">
        <v>3233</v>
      </c>
      <c r="P47" s="145" t="s">
        <v>3253</v>
      </c>
      <c r="Q47" s="146"/>
      <c r="R47" s="146"/>
      <c r="S47" s="146"/>
      <c r="T47" s="146"/>
      <c r="U47" s="146"/>
      <c r="V47" s="146"/>
      <c r="W47" s="146"/>
      <c r="X47" s="146"/>
      <c r="Y47" s="146"/>
      <c r="Z47" s="146"/>
      <c r="AA47" s="146"/>
      <c r="AB47" s="146"/>
      <c r="AC47" s="146"/>
      <c r="AD47" s="147"/>
      <c r="AE47" s="148" t="str">
        <f t="shared" ref="AE47:AE51" ca="1" si="24">IFERROR(INDIRECT(P47&amp;"!D8"),"")</f>
        <v>sny_202310_backup_mt_shippei</v>
      </c>
      <c r="AF47" s="149"/>
      <c r="AG47" s="149"/>
      <c r="AH47" s="149"/>
      <c r="AI47" s="149"/>
      <c r="AJ47" s="149"/>
      <c r="AK47" s="149"/>
      <c r="AL47" s="150"/>
      <c r="AM47" s="148" t="str">
        <f t="shared" ref="AM47:AM51" ca="1" si="25">IFERROR(INDIRECT(P47&amp;"!D9"),"")</f>
        <v>疾病マスタテーブルから組入れ条件の第一条件で絞り込んだ結果を格納するテーブル</v>
      </c>
      <c r="AN47" s="149"/>
      <c r="AO47" s="149"/>
      <c r="AP47" s="149"/>
      <c r="AQ47" s="149"/>
      <c r="AR47" s="149"/>
      <c r="AS47" s="149"/>
      <c r="AT47" s="149"/>
      <c r="AU47" s="149"/>
      <c r="AV47" s="149"/>
      <c r="AW47" s="149"/>
      <c r="AX47" s="149"/>
      <c r="AY47" s="149"/>
      <c r="AZ47" s="149"/>
      <c r="BA47" s="149"/>
      <c r="BB47" s="149"/>
      <c r="BC47" s="149"/>
      <c r="BD47" s="149"/>
      <c r="BE47" s="149"/>
      <c r="BF47" s="149"/>
      <c r="BG47" s="149"/>
      <c r="BH47" s="149"/>
      <c r="BI47" s="149"/>
      <c r="BJ47" s="151"/>
      <c r="BK47" s="32" t="str">
        <f t="shared" si="21"/>
        <v>ENT_01_A3-29_バックアップ_疾病マスタ.sql</v>
      </c>
    </row>
    <row r="48" spans="1:63" ht="37.5" customHeight="1" outlineLevel="1">
      <c r="A48" s="34" t="str">
        <f t="shared" si="17"/>
        <v>バックアップ_ICD10大分類マスタ</v>
      </c>
      <c r="B48" s="139" t="str">
        <f t="shared" si="20"/>
        <v>01</v>
      </c>
      <c r="C48" s="140"/>
      <c r="D48" s="140"/>
      <c r="E48" s="140"/>
      <c r="F48" s="141"/>
      <c r="G48" s="142" t="s">
        <v>196</v>
      </c>
      <c r="H48" s="143"/>
      <c r="I48" s="143"/>
      <c r="J48" s="143"/>
      <c r="K48" s="143"/>
      <c r="L48" s="143"/>
      <c r="M48" s="143"/>
      <c r="N48" s="144"/>
      <c r="O48" s="79" t="s">
        <v>3237</v>
      </c>
      <c r="P48" s="145" t="s">
        <v>3254</v>
      </c>
      <c r="Q48" s="146"/>
      <c r="R48" s="146"/>
      <c r="S48" s="146"/>
      <c r="T48" s="146"/>
      <c r="U48" s="146"/>
      <c r="V48" s="146"/>
      <c r="W48" s="146"/>
      <c r="X48" s="146"/>
      <c r="Y48" s="146"/>
      <c r="Z48" s="146"/>
      <c r="AA48" s="146"/>
      <c r="AB48" s="146"/>
      <c r="AC48" s="146"/>
      <c r="AD48" s="147"/>
      <c r="AE48" s="148" t="str">
        <f t="shared" ca="1" si="24"/>
        <v>sny_202310_backup_mt_icd10_l</v>
      </c>
      <c r="AF48" s="149"/>
      <c r="AG48" s="149"/>
      <c r="AH48" s="149"/>
      <c r="AI48" s="149"/>
      <c r="AJ48" s="149"/>
      <c r="AK48" s="149"/>
      <c r="AL48" s="150"/>
      <c r="AM48" s="148" t="str">
        <f t="shared" ca="1" si="25"/>
        <v>ICD10大分類マスタテーブルから組入れ条件の第一条件で絞り込んだ結果を格納するテーブル</v>
      </c>
      <c r="AN48" s="149"/>
      <c r="AO48" s="149"/>
      <c r="AP48" s="149"/>
      <c r="AQ48" s="149"/>
      <c r="AR48" s="149"/>
      <c r="AS48" s="149"/>
      <c r="AT48" s="149"/>
      <c r="AU48" s="149"/>
      <c r="AV48" s="149"/>
      <c r="AW48" s="149"/>
      <c r="AX48" s="149"/>
      <c r="AY48" s="149"/>
      <c r="AZ48" s="149"/>
      <c r="BA48" s="149"/>
      <c r="BB48" s="149"/>
      <c r="BC48" s="149"/>
      <c r="BD48" s="149"/>
      <c r="BE48" s="149"/>
      <c r="BF48" s="149"/>
      <c r="BG48" s="149"/>
      <c r="BH48" s="149"/>
      <c r="BI48" s="149"/>
      <c r="BJ48" s="151"/>
      <c r="BK48" s="32" t="str">
        <f t="shared" si="21"/>
        <v>ENT_01_A3-30_バックアップ_ICD10大分類マスタ.sql</v>
      </c>
    </row>
    <row r="49" spans="1:63" ht="37.5" customHeight="1" outlineLevel="1">
      <c r="A49" s="34" t="str">
        <f t="shared" si="17"/>
        <v>バックアップ_ICD10中分類マスタ</v>
      </c>
      <c r="B49" s="139" t="str">
        <f t="shared" si="20"/>
        <v>01</v>
      </c>
      <c r="C49" s="140"/>
      <c r="D49" s="140"/>
      <c r="E49" s="140"/>
      <c r="F49" s="141"/>
      <c r="G49" s="142" t="s">
        <v>196</v>
      </c>
      <c r="H49" s="143"/>
      <c r="I49" s="143"/>
      <c r="J49" s="143"/>
      <c r="K49" s="143"/>
      <c r="L49" s="143"/>
      <c r="M49" s="143"/>
      <c r="N49" s="144"/>
      <c r="O49" s="79" t="s">
        <v>3234</v>
      </c>
      <c r="P49" s="145" t="s">
        <v>3255</v>
      </c>
      <c r="Q49" s="146"/>
      <c r="R49" s="146"/>
      <c r="S49" s="146"/>
      <c r="T49" s="146"/>
      <c r="U49" s="146"/>
      <c r="V49" s="146"/>
      <c r="W49" s="146"/>
      <c r="X49" s="146"/>
      <c r="Y49" s="146"/>
      <c r="Z49" s="146"/>
      <c r="AA49" s="146"/>
      <c r="AB49" s="146"/>
      <c r="AC49" s="146"/>
      <c r="AD49" s="147"/>
      <c r="AE49" s="148" t="str">
        <f t="shared" ca="1" si="24"/>
        <v>sny_202310_backup_mt_icd10_m</v>
      </c>
      <c r="AF49" s="149"/>
      <c r="AG49" s="149"/>
      <c r="AH49" s="149"/>
      <c r="AI49" s="149"/>
      <c r="AJ49" s="149"/>
      <c r="AK49" s="149"/>
      <c r="AL49" s="150"/>
      <c r="AM49" s="148" t="str">
        <f t="shared" ca="1" si="25"/>
        <v>ICD10中分類マスタテーブルから組入れ条件の第一条件で絞り込んだ結果を格納するテーブル</v>
      </c>
      <c r="AN49" s="149"/>
      <c r="AO49" s="149"/>
      <c r="AP49" s="149"/>
      <c r="AQ49" s="149"/>
      <c r="AR49" s="149"/>
      <c r="AS49" s="149"/>
      <c r="AT49" s="149"/>
      <c r="AU49" s="149"/>
      <c r="AV49" s="149"/>
      <c r="AW49" s="149"/>
      <c r="AX49" s="149"/>
      <c r="AY49" s="149"/>
      <c r="AZ49" s="149"/>
      <c r="BA49" s="149"/>
      <c r="BB49" s="149"/>
      <c r="BC49" s="149"/>
      <c r="BD49" s="149"/>
      <c r="BE49" s="149"/>
      <c r="BF49" s="149"/>
      <c r="BG49" s="149"/>
      <c r="BH49" s="149"/>
      <c r="BI49" s="149"/>
      <c r="BJ49" s="151"/>
      <c r="BK49" s="32" t="str">
        <f t="shared" si="21"/>
        <v>ENT_01_A3-31_バックアップ_ICD10中分類マスタ.sql</v>
      </c>
    </row>
    <row r="50" spans="1:63" ht="37.5" customHeight="1" outlineLevel="1">
      <c r="A50" s="34" t="str">
        <f t="shared" si="17"/>
        <v>バックアップ_ICD10小分類マスタ</v>
      </c>
      <c r="B50" s="139" t="str">
        <f t="shared" si="20"/>
        <v>01</v>
      </c>
      <c r="C50" s="140"/>
      <c r="D50" s="140"/>
      <c r="E50" s="140"/>
      <c r="F50" s="141"/>
      <c r="G50" s="142" t="s">
        <v>196</v>
      </c>
      <c r="H50" s="143"/>
      <c r="I50" s="143"/>
      <c r="J50" s="143"/>
      <c r="K50" s="143"/>
      <c r="L50" s="143"/>
      <c r="M50" s="143"/>
      <c r="N50" s="144"/>
      <c r="O50" s="79" t="s">
        <v>3235</v>
      </c>
      <c r="P50" s="145" t="s">
        <v>3256</v>
      </c>
      <c r="Q50" s="146"/>
      <c r="R50" s="146"/>
      <c r="S50" s="146"/>
      <c r="T50" s="146"/>
      <c r="U50" s="146"/>
      <c r="V50" s="146"/>
      <c r="W50" s="146"/>
      <c r="X50" s="146"/>
      <c r="Y50" s="146"/>
      <c r="Z50" s="146"/>
      <c r="AA50" s="146"/>
      <c r="AB50" s="146"/>
      <c r="AC50" s="146"/>
      <c r="AD50" s="147"/>
      <c r="AE50" s="148" t="str">
        <f t="shared" ca="1" si="24"/>
        <v>sny_202310_backup_mt_icd10_s</v>
      </c>
      <c r="AF50" s="149"/>
      <c r="AG50" s="149"/>
      <c r="AH50" s="149"/>
      <c r="AI50" s="149"/>
      <c r="AJ50" s="149"/>
      <c r="AK50" s="149"/>
      <c r="AL50" s="150"/>
      <c r="AM50" s="148" t="str">
        <f t="shared" ca="1" si="25"/>
        <v>ICD10小分類マスタテーブルから組入れ条件の第一条件で絞り込んだ結果を格納するテーブル</v>
      </c>
      <c r="AN50" s="149"/>
      <c r="AO50" s="149"/>
      <c r="AP50" s="149"/>
      <c r="AQ50" s="149"/>
      <c r="AR50" s="149"/>
      <c r="AS50" s="149"/>
      <c r="AT50" s="149"/>
      <c r="AU50" s="149"/>
      <c r="AV50" s="149"/>
      <c r="AW50" s="149"/>
      <c r="AX50" s="149"/>
      <c r="AY50" s="149"/>
      <c r="AZ50" s="149"/>
      <c r="BA50" s="149"/>
      <c r="BB50" s="149"/>
      <c r="BC50" s="149"/>
      <c r="BD50" s="149"/>
      <c r="BE50" s="149"/>
      <c r="BF50" s="149"/>
      <c r="BG50" s="149"/>
      <c r="BH50" s="149"/>
      <c r="BI50" s="149"/>
      <c r="BJ50" s="151"/>
      <c r="BK50" s="32" t="str">
        <f t="shared" si="21"/>
        <v>ENT_01_A3-32_バックアップ_ICD10小分類マスタ.sql</v>
      </c>
    </row>
    <row r="51" spans="1:63" ht="37.5" customHeight="1" outlineLevel="1">
      <c r="A51" s="34" t="str">
        <f t="shared" si="17"/>
        <v>バックアップ_ICD10細分類マスタ</v>
      </c>
      <c r="B51" s="139" t="str">
        <f t="shared" si="20"/>
        <v>01</v>
      </c>
      <c r="C51" s="140"/>
      <c r="D51" s="140"/>
      <c r="E51" s="140"/>
      <c r="F51" s="141"/>
      <c r="G51" s="142" t="s">
        <v>196</v>
      </c>
      <c r="H51" s="143"/>
      <c r="I51" s="143"/>
      <c r="J51" s="143"/>
      <c r="K51" s="143"/>
      <c r="L51" s="143"/>
      <c r="M51" s="143"/>
      <c r="N51" s="144"/>
      <c r="O51" s="79" t="s">
        <v>3236</v>
      </c>
      <c r="P51" s="145" t="s">
        <v>3257</v>
      </c>
      <c r="Q51" s="146"/>
      <c r="R51" s="146"/>
      <c r="S51" s="146"/>
      <c r="T51" s="146"/>
      <c r="U51" s="146"/>
      <c r="V51" s="146"/>
      <c r="W51" s="146"/>
      <c r="X51" s="146"/>
      <c r="Y51" s="146"/>
      <c r="Z51" s="146"/>
      <c r="AA51" s="146"/>
      <c r="AB51" s="146"/>
      <c r="AC51" s="146"/>
      <c r="AD51" s="147"/>
      <c r="AE51" s="148" t="str">
        <f t="shared" ca="1" si="24"/>
        <v>sny_202310_backup_mt_icd10_ss</v>
      </c>
      <c r="AF51" s="149"/>
      <c r="AG51" s="149"/>
      <c r="AH51" s="149"/>
      <c r="AI51" s="149"/>
      <c r="AJ51" s="149"/>
      <c r="AK51" s="149"/>
      <c r="AL51" s="150"/>
      <c r="AM51" s="148" t="str">
        <f t="shared" ca="1" si="25"/>
        <v>ICD10細分類マスタテーブルから組入れ条件の第一条件で絞り込んだ結果を格納するテーブル</v>
      </c>
      <c r="AN51" s="149"/>
      <c r="AO51" s="149"/>
      <c r="AP51" s="149"/>
      <c r="AQ51" s="149"/>
      <c r="AR51" s="149"/>
      <c r="AS51" s="149"/>
      <c r="AT51" s="149"/>
      <c r="AU51" s="149"/>
      <c r="AV51" s="149"/>
      <c r="AW51" s="149"/>
      <c r="AX51" s="149"/>
      <c r="AY51" s="149"/>
      <c r="AZ51" s="149"/>
      <c r="BA51" s="149"/>
      <c r="BB51" s="149"/>
      <c r="BC51" s="149"/>
      <c r="BD51" s="149"/>
      <c r="BE51" s="149"/>
      <c r="BF51" s="149"/>
      <c r="BG51" s="149"/>
      <c r="BH51" s="149"/>
      <c r="BI51" s="149"/>
      <c r="BJ51" s="151"/>
      <c r="BK51" s="32" t="str">
        <f t="shared" si="21"/>
        <v>ENT_01_A3-33_バックアップ_ICD10細分類マスタ.sql</v>
      </c>
    </row>
    <row r="52" spans="1:63" ht="37.5" customHeight="1" outlineLevel="1">
      <c r="A52" s="34" t="str">
        <f t="shared" ref="A52:A55" si="26">P52</f>
        <v>バックアップ_DPC2桁マスタ</v>
      </c>
      <c r="B52" s="139" t="str">
        <f t="shared" si="20"/>
        <v>01</v>
      </c>
      <c r="C52" s="140"/>
      <c r="D52" s="140"/>
      <c r="E52" s="140"/>
      <c r="F52" s="141"/>
      <c r="G52" s="142" t="s">
        <v>196</v>
      </c>
      <c r="H52" s="143"/>
      <c r="I52" s="143"/>
      <c r="J52" s="143"/>
      <c r="K52" s="143"/>
      <c r="L52" s="143"/>
      <c r="M52" s="143"/>
      <c r="N52" s="144"/>
      <c r="O52" s="79" t="s">
        <v>3238</v>
      </c>
      <c r="P52" s="145" t="s">
        <v>3258</v>
      </c>
      <c r="Q52" s="146"/>
      <c r="R52" s="146"/>
      <c r="S52" s="146"/>
      <c r="T52" s="146"/>
      <c r="U52" s="146"/>
      <c r="V52" s="146"/>
      <c r="W52" s="146"/>
      <c r="X52" s="146"/>
      <c r="Y52" s="146"/>
      <c r="Z52" s="146"/>
      <c r="AA52" s="146"/>
      <c r="AB52" s="146"/>
      <c r="AC52" s="146"/>
      <c r="AD52" s="147"/>
      <c r="AE52" s="148" t="str">
        <f t="shared" ref="AE52:AE55" ca="1" si="27">IFERROR(INDIRECT(P52&amp;"!D8"),"")</f>
        <v>sny_202310_backup_mt_dpc2</v>
      </c>
      <c r="AF52" s="149"/>
      <c r="AG52" s="149"/>
      <c r="AH52" s="149"/>
      <c r="AI52" s="149"/>
      <c r="AJ52" s="149"/>
      <c r="AK52" s="149"/>
      <c r="AL52" s="150"/>
      <c r="AM52" s="148" t="str">
        <f t="shared" ref="AM52:AM55" ca="1" si="28">IFERROR(INDIRECT(P52&amp;"!D9"),"")</f>
        <v>DPC2桁マスタテーブルから組入れ条件の第一条件で絞り込んだ結果を格納するテーブル</v>
      </c>
      <c r="AN52" s="149"/>
      <c r="AO52" s="149"/>
      <c r="AP52" s="149"/>
      <c r="AQ52" s="149"/>
      <c r="AR52" s="149"/>
      <c r="AS52" s="149"/>
      <c r="AT52" s="149"/>
      <c r="AU52" s="149"/>
      <c r="AV52" s="149"/>
      <c r="AW52" s="149"/>
      <c r="AX52" s="149"/>
      <c r="AY52" s="149"/>
      <c r="AZ52" s="149"/>
      <c r="BA52" s="149"/>
      <c r="BB52" s="149"/>
      <c r="BC52" s="149"/>
      <c r="BD52" s="149"/>
      <c r="BE52" s="149"/>
      <c r="BF52" s="149"/>
      <c r="BG52" s="149"/>
      <c r="BH52" s="149"/>
      <c r="BI52" s="149"/>
      <c r="BJ52" s="151"/>
      <c r="BK52" s="32" t="str">
        <f t="shared" ref="BK52:BK55" si="29">IF(P52&lt;&gt;"",O52&amp;"_"&amp;P52&amp;".sql","")</f>
        <v>ENT_01_A3-34_バックアップ_DPC2桁マスタ.sql</v>
      </c>
    </row>
    <row r="53" spans="1:63" ht="37.5" customHeight="1" outlineLevel="1">
      <c r="A53" s="34" t="str">
        <f t="shared" si="26"/>
        <v>バックアップ_DPC6桁マスタ</v>
      </c>
      <c r="B53" s="139" t="str">
        <f t="shared" si="20"/>
        <v>01</v>
      </c>
      <c r="C53" s="140"/>
      <c r="D53" s="140"/>
      <c r="E53" s="140"/>
      <c r="F53" s="141"/>
      <c r="G53" s="142" t="s">
        <v>196</v>
      </c>
      <c r="H53" s="143"/>
      <c r="I53" s="143"/>
      <c r="J53" s="143"/>
      <c r="K53" s="143"/>
      <c r="L53" s="143"/>
      <c r="M53" s="143"/>
      <c r="N53" s="144"/>
      <c r="O53" s="79" t="s">
        <v>3239</v>
      </c>
      <c r="P53" s="145" t="s">
        <v>3259</v>
      </c>
      <c r="Q53" s="146"/>
      <c r="R53" s="146"/>
      <c r="S53" s="146"/>
      <c r="T53" s="146"/>
      <c r="U53" s="146"/>
      <c r="V53" s="146"/>
      <c r="W53" s="146"/>
      <c r="X53" s="146"/>
      <c r="Y53" s="146"/>
      <c r="Z53" s="146"/>
      <c r="AA53" s="146"/>
      <c r="AB53" s="146"/>
      <c r="AC53" s="146"/>
      <c r="AD53" s="147"/>
      <c r="AE53" s="148" t="str">
        <f t="shared" ca="1" si="27"/>
        <v>sny_202310_backup_mt_dpc6</v>
      </c>
      <c r="AF53" s="149"/>
      <c r="AG53" s="149"/>
      <c r="AH53" s="149"/>
      <c r="AI53" s="149"/>
      <c r="AJ53" s="149"/>
      <c r="AK53" s="149"/>
      <c r="AL53" s="150"/>
      <c r="AM53" s="148" t="str">
        <f t="shared" ca="1" si="28"/>
        <v>DPC6桁マスタテーブルから組入れ条件の第一条件で絞り込んだ結果を格納するテーブル</v>
      </c>
      <c r="AN53" s="149"/>
      <c r="AO53" s="149"/>
      <c r="AP53" s="149"/>
      <c r="AQ53" s="149"/>
      <c r="AR53" s="149"/>
      <c r="AS53" s="149"/>
      <c r="AT53" s="149"/>
      <c r="AU53" s="149"/>
      <c r="AV53" s="149"/>
      <c r="AW53" s="149"/>
      <c r="AX53" s="149"/>
      <c r="AY53" s="149"/>
      <c r="AZ53" s="149"/>
      <c r="BA53" s="149"/>
      <c r="BB53" s="149"/>
      <c r="BC53" s="149"/>
      <c r="BD53" s="149"/>
      <c r="BE53" s="149"/>
      <c r="BF53" s="149"/>
      <c r="BG53" s="149"/>
      <c r="BH53" s="149"/>
      <c r="BI53" s="149"/>
      <c r="BJ53" s="151"/>
      <c r="BK53" s="32" t="str">
        <f t="shared" si="29"/>
        <v>ENT_01_A3-35_バックアップ_DPC6桁マスタ.sql</v>
      </c>
    </row>
    <row r="54" spans="1:63" ht="37.5" customHeight="1" outlineLevel="1">
      <c r="A54" s="34" t="str">
        <f t="shared" si="26"/>
        <v>バックアップ_郵便番号マスタ</v>
      </c>
      <c r="B54" s="139" t="str">
        <f t="shared" si="20"/>
        <v>01</v>
      </c>
      <c r="C54" s="140"/>
      <c r="D54" s="140"/>
      <c r="E54" s="140"/>
      <c r="F54" s="141"/>
      <c r="G54" s="142" t="s">
        <v>196</v>
      </c>
      <c r="H54" s="143"/>
      <c r="I54" s="143"/>
      <c r="J54" s="143"/>
      <c r="K54" s="143"/>
      <c r="L54" s="143"/>
      <c r="M54" s="143"/>
      <c r="N54" s="144"/>
      <c r="O54" s="79" t="s">
        <v>3240</v>
      </c>
      <c r="P54" s="145" t="s">
        <v>3260</v>
      </c>
      <c r="Q54" s="146"/>
      <c r="R54" s="146"/>
      <c r="S54" s="146"/>
      <c r="T54" s="146"/>
      <c r="U54" s="146"/>
      <c r="V54" s="146"/>
      <c r="W54" s="146"/>
      <c r="X54" s="146"/>
      <c r="Y54" s="146"/>
      <c r="Z54" s="146"/>
      <c r="AA54" s="146"/>
      <c r="AB54" s="146"/>
      <c r="AC54" s="146"/>
      <c r="AD54" s="147"/>
      <c r="AE54" s="148" t="str">
        <f t="shared" ca="1" si="27"/>
        <v>sny_202310_backup_mt_postal</v>
      </c>
      <c r="AF54" s="149"/>
      <c r="AG54" s="149"/>
      <c r="AH54" s="149"/>
      <c r="AI54" s="149"/>
      <c r="AJ54" s="149"/>
      <c r="AK54" s="149"/>
      <c r="AL54" s="150"/>
      <c r="AM54" s="148" t="str">
        <f t="shared" ca="1" si="28"/>
        <v>郵便番号マスタテーブルから組入れ条件の第一条件で絞り込んだ結果を格納するテーブル</v>
      </c>
      <c r="AN54" s="149"/>
      <c r="AO54" s="149"/>
      <c r="AP54" s="149"/>
      <c r="AQ54" s="149"/>
      <c r="AR54" s="149"/>
      <c r="AS54" s="149"/>
      <c r="AT54" s="149"/>
      <c r="AU54" s="149"/>
      <c r="AV54" s="149"/>
      <c r="AW54" s="149"/>
      <c r="AX54" s="149"/>
      <c r="AY54" s="149"/>
      <c r="AZ54" s="149"/>
      <c r="BA54" s="149"/>
      <c r="BB54" s="149"/>
      <c r="BC54" s="149"/>
      <c r="BD54" s="149"/>
      <c r="BE54" s="149"/>
      <c r="BF54" s="149"/>
      <c r="BG54" s="149"/>
      <c r="BH54" s="149"/>
      <c r="BI54" s="149"/>
      <c r="BJ54" s="151"/>
      <c r="BK54" s="32" t="str">
        <f t="shared" si="29"/>
        <v>ENT_01_A3-36_バックアップ_郵便番号マスタ.sql</v>
      </c>
    </row>
    <row r="55" spans="1:63" ht="37.5" customHeight="1" outlineLevel="1">
      <c r="A55" s="34" t="str">
        <f t="shared" si="26"/>
        <v>バックアップ_特定機材マスタ</v>
      </c>
      <c r="B55" s="139" t="str">
        <f t="shared" si="20"/>
        <v>01</v>
      </c>
      <c r="C55" s="140"/>
      <c r="D55" s="140"/>
      <c r="E55" s="140"/>
      <c r="F55" s="141"/>
      <c r="G55" s="142" t="s">
        <v>196</v>
      </c>
      <c r="H55" s="143"/>
      <c r="I55" s="143"/>
      <c r="J55" s="143"/>
      <c r="K55" s="143"/>
      <c r="L55" s="143"/>
      <c r="M55" s="143"/>
      <c r="N55" s="144"/>
      <c r="O55" s="79" t="s">
        <v>3241</v>
      </c>
      <c r="P55" s="145" t="s">
        <v>3261</v>
      </c>
      <c r="Q55" s="146"/>
      <c r="R55" s="146"/>
      <c r="S55" s="146"/>
      <c r="T55" s="146"/>
      <c r="U55" s="146"/>
      <c r="V55" s="146"/>
      <c r="W55" s="146"/>
      <c r="X55" s="146"/>
      <c r="Y55" s="146"/>
      <c r="Z55" s="146"/>
      <c r="AA55" s="146"/>
      <c r="AB55" s="146"/>
      <c r="AC55" s="146"/>
      <c r="AD55" s="147"/>
      <c r="AE55" s="148" t="str">
        <f t="shared" ca="1" si="27"/>
        <v>sny_202310_backup_mt_tokutei_kizai</v>
      </c>
      <c r="AF55" s="149"/>
      <c r="AG55" s="149"/>
      <c r="AH55" s="149"/>
      <c r="AI55" s="149"/>
      <c r="AJ55" s="149"/>
      <c r="AK55" s="149"/>
      <c r="AL55" s="150"/>
      <c r="AM55" s="148" t="str">
        <f t="shared" ca="1" si="28"/>
        <v>特定機材マスタテーブルから組入れ条件の第一条件で絞り込んだ結果を格納するテーブル</v>
      </c>
      <c r="AN55" s="149"/>
      <c r="AO55" s="149"/>
      <c r="AP55" s="149"/>
      <c r="AQ55" s="149"/>
      <c r="AR55" s="149"/>
      <c r="AS55" s="149"/>
      <c r="AT55" s="149"/>
      <c r="AU55" s="149"/>
      <c r="AV55" s="149"/>
      <c r="AW55" s="149"/>
      <c r="AX55" s="149"/>
      <c r="AY55" s="149"/>
      <c r="AZ55" s="149"/>
      <c r="BA55" s="149"/>
      <c r="BB55" s="149"/>
      <c r="BC55" s="149"/>
      <c r="BD55" s="149"/>
      <c r="BE55" s="149"/>
      <c r="BF55" s="149"/>
      <c r="BG55" s="149"/>
      <c r="BH55" s="149"/>
      <c r="BI55" s="149"/>
      <c r="BJ55" s="151"/>
      <c r="BK55" s="32" t="str">
        <f t="shared" si="29"/>
        <v>ENT_01_A3-37_バックアップ_特定機材マスタ.sql</v>
      </c>
    </row>
    <row r="56" spans="1:63" ht="37.5" customHeight="1" outlineLevel="1">
      <c r="A56" s="34" t="str">
        <f t="shared" ref="A56:A68" si="30">P56</f>
        <v>バックアップ_年度マスタ</v>
      </c>
      <c r="B56" s="139" t="str">
        <f t="shared" si="20"/>
        <v>01</v>
      </c>
      <c r="C56" s="140"/>
      <c r="D56" s="140"/>
      <c r="E56" s="140"/>
      <c r="F56" s="141"/>
      <c r="G56" s="142" t="s">
        <v>196</v>
      </c>
      <c r="H56" s="143"/>
      <c r="I56" s="143"/>
      <c r="J56" s="143"/>
      <c r="K56" s="143"/>
      <c r="L56" s="143"/>
      <c r="M56" s="143"/>
      <c r="N56" s="144"/>
      <c r="O56" s="79" t="s">
        <v>3163</v>
      </c>
      <c r="P56" s="145" t="s">
        <v>2434</v>
      </c>
      <c r="Q56" s="146"/>
      <c r="R56" s="146"/>
      <c r="S56" s="146"/>
      <c r="T56" s="146"/>
      <c r="U56" s="146"/>
      <c r="V56" s="146"/>
      <c r="W56" s="146"/>
      <c r="X56" s="146"/>
      <c r="Y56" s="146"/>
      <c r="Z56" s="146"/>
      <c r="AA56" s="146"/>
      <c r="AB56" s="146"/>
      <c r="AC56" s="146"/>
      <c r="AD56" s="147"/>
      <c r="AE56" s="148" t="str">
        <f t="shared" ref="AE56:AE68" ca="1" si="31">IFERROR(INDIRECT(P56&amp;"!D8"),"")</f>
        <v>sny_202310_backup_mt2_nendo</v>
      </c>
      <c r="AF56" s="149"/>
      <c r="AG56" s="149"/>
      <c r="AH56" s="149"/>
      <c r="AI56" s="149"/>
      <c r="AJ56" s="149"/>
      <c r="AK56" s="149"/>
      <c r="AL56" s="150"/>
      <c r="AM56" s="148" t="str">
        <f t="shared" ref="AM56:AM68" ca="1" si="32">IFERROR(INDIRECT(P56&amp;"!D9"),"")</f>
        <v>年度マスタテーブルから組入れ条件の第一条件で絞り込んだ結果を格納するテーブル</v>
      </c>
      <c r="AN56" s="149"/>
      <c r="AO56" s="149"/>
      <c r="AP56" s="149"/>
      <c r="AQ56" s="149"/>
      <c r="AR56" s="149"/>
      <c r="AS56" s="149"/>
      <c r="AT56" s="149"/>
      <c r="AU56" s="149"/>
      <c r="AV56" s="149"/>
      <c r="AW56" s="149"/>
      <c r="AX56" s="149"/>
      <c r="AY56" s="149"/>
      <c r="AZ56" s="149"/>
      <c r="BA56" s="149"/>
      <c r="BB56" s="149"/>
      <c r="BC56" s="149"/>
      <c r="BD56" s="149"/>
      <c r="BE56" s="149"/>
      <c r="BF56" s="149"/>
      <c r="BG56" s="149"/>
      <c r="BH56" s="149"/>
      <c r="BI56" s="149"/>
      <c r="BJ56" s="151"/>
      <c r="BK56" s="32" t="str">
        <f t="shared" si="16"/>
        <v>ENT_01_A4-01_バックアップ_年度マスタ.sql</v>
      </c>
    </row>
    <row r="57" spans="1:63" ht="37.5" customHeight="1" outlineLevel="1">
      <c r="A57" s="34" t="str">
        <f t="shared" si="30"/>
        <v>バックアップ_都道府県地方コードマスタ</v>
      </c>
      <c r="B57" s="139" t="str">
        <f t="shared" si="20"/>
        <v>01</v>
      </c>
      <c r="C57" s="140"/>
      <c r="D57" s="140"/>
      <c r="E57" s="140"/>
      <c r="F57" s="141"/>
      <c r="G57" s="142" t="s">
        <v>196</v>
      </c>
      <c r="H57" s="143"/>
      <c r="I57" s="143"/>
      <c r="J57" s="143"/>
      <c r="K57" s="143"/>
      <c r="L57" s="143"/>
      <c r="M57" s="143"/>
      <c r="N57" s="144"/>
      <c r="O57" s="79" t="s">
        <v>3164</v>
      </c>
      <c r="P57" s="145" t="s">
        <v>2458</v>
      </c>
      <c r="Q57" s="146"/>
      <c r="R57" s="146"/>
      <c r="S57" s="146"/>
      <c r="T57" s="146"/>
      <c r="U57" s="146"/>
      <c r="V57" s="146"/>
      <c r="W57" s="146"/>
      <c r="X57" s="146"/>
      <c r="Y57" s="146"/>
      <c r="Z57" s="146"/>
      <c r="AA57" s="146"/>
      <c r="AB57" s="146"/>
      <c r="AC57" s="146"/>
      <c r="AD57" s="147"/>
      <c r="AE57" s="148" t="str">
        <f t="shared" ca="1" si="31"/>
        <v>sny_202310_backup_mt2_prefecture_region</v>
      </c>
      <c r="AF57" s="149"/>
      <c r="AG57" s="149"/>
      <c r="AH57" s="149"/>
      <c r="AI57" s="149"/>
      <c r="AJ57" s="149"/>
      <c r="AK57" s="149"/>
      <c r="AL57" s="150"/>
      <c r="AM57" s="148" t="str">
        <f t="shared" ca="1" si="32"/>
        <v>都道府県地方コードマスタテーブルから組入れ条件の第一条件で絞り込んだ結果を格納するテーブル</v>
      </c>
      <c r="AN57" s="149"/>
      <c r="AO57" s="149"/>
      <c r="AP57" s="149"/>
      <c r="AQ57" s="149"/>
      <c r="AR57" s="149"/>
      <c r="AS57" s="149"/>
      <c r="AT57" s="149"/>
      <c r="AU57" s="149"/>
      <c r="AV57" s="149"/>
      <c r="AW57" s="149"/>
      <c r="AX57" s="149"/>
      <c r="AY57" s="149"/>
      <c r="AZ57" s="149"/>
      <c r="BA57" s="149"/>
      <c r="BB57" s="149"/>
      <c r="BC57" s="149"/>
      <c r="BD57" s="149"/>
      <c r="BE57" s="149"/>
      <c r="BF57" s="149"/>
      <c r="BG57" s="149"/>
      <c r="BH57" s="149"/>
      <c r="BI57" s="149"/>
      <c r="BJ57" s="151"/>
      <c r="BK57" s="32" t="str">
        <f t="shared" si="16"/>
        <v>ENT_01_A4-02_バックアップ_都道府県地方コードマスタ.sql</v>
      </c>
    </row>
    <row r="58" spans="1:63" ht="37.5" customHeight="1" outlineLevel="1">
      <c r="A58" s="34" t="str">
        <f t="shared" si="30"/>
        <v>バックアップ_施設属性マスタ</v>
      </c>
      <c r="B58" s="139" t="str">
        <f t="shared" si="20"/>
        <v>01</v>
      </c>
      <c r="C58" s="140"/>
      <c r="D58" s="140"/>
      <c r="E58" s="140"/>
      <c r="F58" s="141"/>
      <c r="G58" s="142" t="s">
        <v>196</v>
      </c>
      <c r="H58" s="143"/>
      <c r="I58" s="143"/>
      <c r="J58" s="143"/>
      <c r="K58" s="143"/>
      <c r="L58" s="143"/>
      <c r="M58" s="143"/>
      <c r="N58" s="144"/>
      <c r="O58" s="79" t="s">
        <v>3165</v>
      </c>
      <c r="P58" s="145" t="s">
        <v>2494</v>
      </c>
      <c r="Q58" s="146"/>
      <c r="R58" s="146"/>
      <c r="S58" s="146"/>
      <c r="T58" s="146"/>
      <c r="U58" s="146"/>
      <c r="V58" s="146"/>
      <c r="W58" s="146"/>
      <c r="X58" s="146"/>
      <c r="Y58" s="146"/>
      <c r="Z58" s="146"/>
      <c r="AA58" s="146"/>
      <c r="AB58" s="146"/>
      <c r="AC58" s="146"/>
      <c r="AD58" s="147"/>
      <c r="AE58" s="148" t="str">
        <f t="shared" ca="1" si="31"/>
        <v>sny_202310_backup_mt2_shisetsu_zokusei</v>
      </c>
      <c r="AF58" s="149"/>
      <c r="AG58" s="149"/>
      <c r="AH58" s="149"/>
      <c r="AI58" s="149"/>
      <c r="AJ58" s="149"/>
      <c r="AK58" s="149"/>
      <c r="AL58" s="150"/>
      <c r="AM58" s="148" t="str">
        <f t="shared" ca="1" si="32"/>
        <v>施設属性マスタテーブルから組入れ条件の第一条件で絞り込んだ結果を格納するテーブル</v>
      </c>
      <c r="AN58" s="149"/>
      <c r="AO58" s="149"/>
      <c r="AP58" s="149"/>
      <c r="AQ58" s="149"/>
      <c r="AR58" s="149"/>
      <c r="AS58" s="149"/>
      <c r="AT58" s="149"/>
      <c r="AU58" s="149"/>
      <c r="AV58" s="149"/>
      <c r="AW58" s="149"/>
      <c r="AX58" s="149"/>
      <c r="AY58" s="149"/>
      <c r="AZ58" s="149"/>
      <c r="BA58" s="149"/>
      <c r="BB58" s="149"/>
      <c r="BC58" s="149"/>
      <c r="BD58" s="149"/>
      <c r="BE58" s="149"/>
      <c r="BF58" s="149"/>
      <c r="BG58" s="149"/>
      <c r="BH58" s="149"/>
      <c r="BI58" s="149"/>
      <c r="BJ58" s="151"/>
      <c r="BK58" s="32" t="str">
        <f t="shared" si="16"/>
        <v>ENT_01_A4-03_バックアップ_施設属性マスタ.sql</v>
      </c>
    </row>
    <row r="59" spans="1:63" ht="37.5" customHeight="1" outlineLevel="1">
      <c r="A59" s="34" t="str">
        <f t="shared" si="30"/>
        <v>バックアップ_二次医療圏マスタ</v>
      </c>
      <c r="B59" s="139" t="str">
        <f t="shared" si="20"/>
        <v>01</v>
      </c>
      <c r="C59" s="140"/>
      <c r="D59" s="140"/>
      <c r="E59" s="140"/>
      <c r="F59" s="141"/>
      <c r="G59" s="142" t="s">
        <v>196</v>
      </c>
      <c r="H59" s="143"/>
      <c r="I59" s="143"/>
      <c r="J59" s="143"/>
      <c r="K59" s="143"/>
      <c r="L59" s="143"/>
      <c r="M59" s="143"/>
      <c r="N59" s="144"/>
      <c r="O59" s="79" t="s">
        <v>3166</v>
      </c>
      <c r="P59" s="145" t="s">
        <v>2537</v>
      </c>
      <c r="Q59" s="146"/>
      <c r="R59" s="146"/>
      <c r="S59" s="146"/>
      <c r="T59" s="146"/>
      <c r="U59" s="146"/>
      <c r="V59" s="146"/>
      <c r="W59" s="146"/>
      <c r="X59" s="146"/>
      <c r="Y59" s="146"/>
      <c r="Z59" s="146"/>
      <c r="AA59" s="146"/>
      <c r="AB59" s="146"/>
      <c r="AC59" s="146"/>
      <c r="AD59" s="147"/>
      <c r="AE59" s="148" t="str">
        <f t="shared" ca="1" si="31"/>
        <v>sny_202310_backup_mt2_iryouken2</v>
      </c>
      <c r="AF59" s="149"/>
      <c r="AG59" s="149"/>
      <c r="AH59" s="149"/>
      <c r="AI59" s="149"/>
      <c r="AJ59" s="149"/>
      <c r="AK59" s="149"/>
      <c r="AL59" s="150"/>
      <c r="AM59" s="148" t="str">
        <f t="shared" ca="1" si="32"/>
        <v>二次医療圏マスタテーブルから組入れ条件の第一条件で絞り込んだ結果を格納するテーブル</v>
      </c>
      <c r="AN59" s="149"/>
      <c r="AO59" s="149"/>
      <c r="AP59" s="149"/>
      <c r="AQ59" s="149"/>
      <c r="AR59" s="149"/>
      <c r="AS59" s="149"/>
      <c r="AT59" s="149"/>
      <c r="AU59" s="149"/>
      <c r="AV59" s="149"/>
      <c r="AW59" s="149"/>
      <c r="AX59" s="149"/>
      <c r="AY59" s="149"/>
      <c r="AZ59" s="149"/>
      <c r="BA59" s="149"/>
      <c r="BB59" s="149"/>
      <c r="BC59" s="149"/>
      <c r="BD59" s="149"/>
      <c r="BE59" s="149"/>
      <c r="BF59" s="149"/>
      <c r="BG59" s="149"/>
      <c r="BH59" s="149"/>
      <c r="BI59" s="149"/>
      <c r="BJ59" s="151"/>
      <c r="BK59" s="32" t="str">
        <f t="shared" si="16"/>
        <v>ENT_01_A4-04_バックアップ_二次医療圏マスタ.sql</v>
      </c>
    </row>
    <row r="60" spans="1:63" ht="37.5" customHeight="1" outlineLevel="1">
      <c r="A60" s="34" t="str">
        <f t="shared" si="30"/>
        <v>バックアップ_施設ID対応マスタ</v>
      </c>
      <c r="B60" s="139" t="str">
        <f t="shared" si="20"/>
        <v>01</v>
      </c>
      <c r="C60" s="140"/>
      <c r="D60" s="140"/>
      <c r="E60" s="140"/>
      <c r="F60" s="141"/>
      <c r="G60" s="142" t="s">
        <v>196</v>
      </c>
      <c r="H60" s="143"/>
      <c r="I60" s="143"/>
      <c r="J60" s="143"/>
      <c r="K60" s="143"/>
      <c r="L60" s="143"/>
      <c r="M60" s="143"/>
      <c r="N60" s="144"/>
      <c r="O60" s="79" t="s">
        <v>3167</v>
      </c>
      <c r="P60" s="145" t="s">
        <v>2542</v>
      </c>
      <c r="Q60" s="146"/>
      <c r="R60" s="146"/>
      <c r="S60" s="146"/>
      <c r="T60" s="146"/>
      <c r="U60" s="146"/>
      <c r="V60" s="146"/>
      <c r="W60" s="146"/>
      <c r="X60" s="146"/>
      <c r="Y60" s="146"/>
      <c r="Z60" s="146"/>
      <c r="AA60" s="146"/>
      <c r="AB60" s="146"/>
      <c r="AC60" s="146"/>
      <c r="AD60" s="147"/>
      <c r="AE60" s="148" t="str">
        <f t="shared" ca="1" si="31"/>
        <v>sny_202310_backup_mt2_old_new_shisetsu</v>
      </c>
      <c r="AF60" s="149"/>
      <c r="AG60" s="149"/>
      <c r="AH60" s="149"/>
      <c r="AI60" s="149"/>
      <c r="AJ60" s="149"/>
      <c r="AK60" s="149"/>
      <c r="AL60" s="150"/>
      <c r="AM60" s="148" t="str">
        <f t="shared" ca="1" si="32"/>
        <v>施設ID対応マスタテーブルから組入れ条件の第一条件で絞り込んだ結果を格納するテーブル</v>
      </c>
      <c r="AN60" s="149"/>
      <c r="AO60" s="149"/>
      <c r="AP60" s="149"/>
      <c r="AQ60" s="149"/>
      <c r="AR60" s="149"/>
      <c r="AS60" s="149"/>
      <c r="AT60" s="149"/>
      <c r="AU60" s="149"/>
      <c r="AV60" s="149"/>
      <c r="AW60" s="149"/>
      <c r="AX60" s="149"/>
      <c r="AY60" s="149"/>
      <c r="AZ60" s="149"/>
      <c r="BA60" s="149"/>
      <c r="BB60" s="149"/>
      <c r="BC60" s="149"/>
      <c r="BD60" s="149"/>
      <c r="BE60" s="149"/>
      <c r="BF60" s="149"/>
      <c r="BG60" s="149"/>
      <c r="BH60" s="149"/>
      <c r="BI60" s="149"/>
      <c r="BJ60" s="151"/>
      <c r="BK60" s="32" t="str">
        <f t="shared" si="16"/>
        <v>ENT_01_A4-05_バックアップ_施設ID対応マスタ.sql</v>
      </c>
    </row>
    <row r="61" spans="1:63" ht="37.5" customHeight="1" outlineLevel="1">
      <c r="A61" s="34" t="str">
        <f t="shared" si="30"/>
        <v>バックアップ_医薬品関連マスタ</v>
      </c>
      <c r="B61" s="139" t="str">
        <f t="shared" si="20"/>
        <v>01</v>
      </c>
      <c r="C61" s="140"/>
      <c r="D61" s="140"/>
      <c r="E61" s="140"/>
      <c r="F61" s="141"/>
      <c r="G61" s="142" t="s">
        <v>196</v>
      </c>
      <c r="H61" s="143"/>
      <c r="I61" s="143"/>
      <c r="J61" s="143"/>
      <c r="K61" s="143"/>
      <c r="L61" s="143"/>
      <c r="M61" s="143"/>
      <c r="N61" s="144"/>
      <c r="O61" s="79" t="s">
        <v>3168</v>
      </c>
      <c r="P61" s="145" t="s">
        <v>2550</v>
      </c>
      <c r="Q61" s="146"/>
      <c r="R61" s="146"/>
      <c r="S61" s="146"/>
      <c r="T61" s="146"/>
      <c r="U61" s="146"/>
      <c r="V61" s="146"/>
      <c r="W61" s="146"/>
      <c r="X61" s="146"/>
      <c r="Y61" s="146"/>
      <c r="Z61" s="146"/>
      <c r="AA61" s="146"/>
      <c r="AB61" s="146"/>
      <c r="AC61" s="146"/>
      <c r="AD61" s="147"/>
      <c r="AE61" s="148" t="str">
        <f t="shared" ca="1" si="31"/>
        <v>sny_202310_backup_mt2_iyakuhin_kanren</v>
      </c>
      <c r="AF61" s="149"/>
      <c r="AG61" s="149"/>
      <c r="AH61" s="149"/>
      <c r="AI61" s="149"/>
      <c r="AJ61" s="149"/>
      <c r="AK61" s="149"/>
      <c r="AL61" s="150"/>
      <c r="AM61" s="148" t="str">
        <f t="shared" ca="1" si="32"/>
        <v>医薬品関連マスタテーブルから組入れ条件の第一条件で絞り込んだ結果を格納するテーブル</v>
      </c>
      <c r="AN61" s="149"/>
      <c r="AO61" s="149"/>
      <c r="AP61" s="149"/>
      <c r="AQ61" s="149"/>
      <c r="AR61" s="149"/>
      <c r="AS61" s="149"/>
      <c r="AT61" s="149"/>
      <c r="AU61" s="149"/>
      <c r="AV61" s="149"/>
      <c r="AW61" s="149"/>
      <c r="AX61" s="149"/>
      <c r="AY61" s="149"/>
      <c r="AZ61" s="149"/>
      <c r="BA61" s="149"/>
      <c r="BB61" s="149"/>
      <c r="BC61" s="149"/>
      <c r="BD61" s="149"/>
      <c r="BE61" s="149"/>
      <c r="BF61" s="149"/>
      <c r="BG61" s="149"/>
      <c r="BH61" s="149"/>
      <c r="BI61" s="149"/>
      <c r="BJ61" s="151"/>
      <c r="BK61" s="32" t="str">
        <f t="shared" si="16"/>
        <v>ENT_01_A4-07_バックアップ_医薬品関連マスタ.sql</v>
      </c>
    </row>
    <row r="62" spans="1:63" ht="37.5" customHeight="1" outlineLevel="1">
      <c r="A62" s="34" t="str">
        <f t="shared" si="30"/>
        <v>バックアップ_薬価関連マスタ</v>
      </c>
      <c r="B62" s="139" t="str">
        <f t="shared" si="20"/>
        <v>01</v>
      </c>
      <c r="C62" s="140"/>
      <c r="D62" s="140"/>
      <c r="E62" s="140"/>
      <c r="F62" s="141"/>
      <c r="G62" s="142" t="s">
        <v>196</v>
      </c>
      <c r="H62" s="143"/>
      <c r="I62" s="143"/>
      <c r="J62" s="143"/>
      <c r="K62" s="143"/>
      <c r="L62" s="143"/>
      <c r="M62" s="143"/>
      <c r="N62" s="144"/>
      <c r="O62" s="79" t="s">
        <v>3169</v>
      </c>
      <c r="P62" s="145" t="s">
        <v>2606</v>
      </c>
      <c r="Q62" s="146"/>
      <c r="R62" s="146"/>
      <c r="S62" s="146"/>
      <c r="T62" s="146"/>
      <c r="U62" s="146"/>
      <c r="V62" s="146"/>
      <c r="W62" s="146"/>
      <c r="X62" s="146"/>
      <c r="Y62" s="146"/>
      <c r="Z62" s="146"/>
      <c r="AA62" s="146"/>
      <c r="AB62" s="146"/>
      <c r="AC62" s="146"/>
      <c r="AD62" s="147"/>
      <c r="AE62" s="148" t="str">
        <f t="shared" ca="1" si="31"/>
        <v>sny_202310_backup_mt2_price_kanren</v>
      </c>
      <c r="AF62" s="149"/>
      <c r="AG62" s="149"/>
      <c r="AH62" s="149"/>
      <c r="AI62" s="149"/>
      <c r="AJ62" s="149"/>
      <c r="AK62" s="149"/>
      <c r="AL62" s="150"/>
      <c r="AM62" s="148" t="str">
        <f t="shared" ca="1" si="32"/>
        <v>薬価関連マスタテーブルから組入れ条件の第一条件で絞り込んだ結果を格納するテーブル</v>
      </c>
      <c r="AN62" s="149"/>
      <c r="AO62" s="149"/>
      <c r="AP62" s="149"/>
      <c r="AQ62" s="149"/>
      <c r="AR62" s="149"/>
      <c r="AS62" s="149"/>
      <c r="AT62" s="149"/>
      <c r="AU62" s="149"/>
      <c r="AV62" s="149"/>
      <c r="AW62" s="149"/>
      <c r="AX62" s="149"/>
      <c r="AY62" s="149"/>
      <c r="AZ62" s="149"/>
      <c r="BA62" s="149"/>
      <c r="BB62" s="149"/>
      <c r="BC62" s="149"/>
      <c r="BD62" s="149"/>
      <c r="BE62" s="149"/>
      <c r="BF62" s="149"/>
      <c r="BG62" s="149"/>
      <c r="BH62" s="149"/>
      <c r="BI62" s="149"/>
      <c r="BJ62" s="151"/>
      <c r="BK62" s="32" t="str">
        <f t="shared" si="16"/>
        <v>ENT_01_A4-08_バックアップ_薬価関連マスタ.sql</v>
      </c>
    </row>
    <row r="63" spans="1:63" ht="37.5" customHeight="1" outlineLevel="1">
      <c r="A63" s="34" t="str">
        <f t="shared" si="30"/>
        <v>バックアップ_診療行為関連マスタ</v>
      </c>
      <c r="B63" s="139" t="str">
        <f t="shared" si="20"/>
        <v>01</v>
      </c>
      <c r="C63" s="140"/>
      <c r="D63" s="140"/>
      <c r="E63" s="140"/>
      <c r="F63" s="141"/>
      <c r="G63" s="142" t="s">
        <v>196</v>
      </c>
      <c r="H63" s="143"/>
      <c r="I63" s="143"/>
      <c r="J63" s="143"/>
      <c r="K63" s="143"/>
      <c r="L63" s="143"/>
      <c r="M63" s="143"/>
      <c r="N63" s="144"/>
      <c r="O63" s="79" t="s">
        <v>3170</v>
      </c>
      <c r="P63" s="145" t="s">
        <v>2613</v>
      </c>
      <c r="Q63" s="146"/>
      <c r="R63" s="146"/>
      <c r="S63" s="146"/>
      <c r="T63" s="146"/>
      <c r="U63" s="146"/>
      <c r="V63" s="146"/>
      <c r="W63" s="146"/>
      <c r="X63" s="146"/>
      <c r="Y63" s="146"/>
      <c r="Z63" s="146"/>
      <c r="AA63" s="146"/>
      <c r="AB63" s="146"/>
      <c r="AC63" s="146"/>
      <c r="AD63" s="147"/>
      <c r="AE63" s="148" t="str">
        <f t="shared" ca="1" si="31"/>
        <v>sny_202310_backup_mt2_shinryo_koi_kanren</v>
      </c>
      <c r="AF63" s="149"/>
      <c r="AG63" s="149"/>
      <c r="AH63" s="149"/>
      <c r="AI63" s="149"/>
      <c r="AJ63" s="149"/>
      <c r="AK63" s="149"/>
      <c r="AL63" s="150"/>
      <c r="AM63" s="148" t="str">
        <f t="shared" ca="1" si="32"/>
        <v>診療行為関連マスタテーブルから組入れ条件の第一条件で絞り込んだ結果を格納するテーブル</v>
      </c>
      <c r="AN63" s="149"/>
      <c r="AO63" s="149"/>
      <c r="AP63" s="149"/>
      <c r="AQ63" s="149"/>
      <c r="AR63" s="149"/>
      <c r="AS63" s="149"/>
      <c r="AT63" s="149"/>
      <c r="AU63" s="149"/>
      <c r="AV63" s="149"/>
      <c r="AW63" s="149"/>
      <c r="AX63" s="149"/>
      <c r="AY63" s="149"/>
      <c r="AZ63" s="149"/>
      <c r="BA63" s="149"/>
      <c r="BB63" s="149"/>
      <c r="BC63" s="149"/>
      <c r="BD63" s="149"/>
      <c r="BE63" s="149"/>
      <c r="BF63" s="149"/>
      <c r="BG63" s="149"/>
      <c r="BH63" s="149"/>
      <c r="BI63" s="149"/>
      <c r="BJ63" s="151"/>
      <c r="BK63" s="32" t="str">
        <f t="shared" si="16"/>
        <v>ENT_01_A4-09_バックアップ_診療行為関連マスタ.sql</v>
      </c>
    </row>
    <row r="64" spans="1:63" ht="37.5" customHeight="1" outlineLevel="1">
      <c r="A64" s="34" t="str">
        <f t="shared" si="30"/>
        <v>バックアップ_特定器材関連マスタ</v>
      </c>
      <c r="B64" s="139" t="str">
        <f t="shared" si="20"/>
        <v>01</v>
      </c>
      <c r="C64" s="140"/>
      <c r="D64" s="140"/>
      <c r="E64" s="140"/>
      <c r="F64" s="141"/>
      <c r="G64" s="142" t="s">
        <v>196</v>
      </c>
      <c r="H64" s="143"/>
      <c r="I64" s="143"/>
      <c r="J64" s="143"/>
      <c r="K64" s="143"/>
      <c r="L64" s="143"/>
      <c r="M64" s="143"/>
      <c r="N64" s="144"/>
      <c r="O64" s="79" t="s">
        <v>3171</v>
      </c>
      <c r="P64" s="145" t="s">
        <v>2633</v>
      </c>
      <c r="Q64" s="146"/>
      <c r="R64" s="146"/>
      <c r="S64" s="146"/>
      <c r="T64" s="146"/>
      <c r="U64" s="146"/>
      <c r="V64" s="146"/>
      <c r="W64" s="146"/>
      <c r="X64" s="146"/>
      <c r="Y64" s="146"/>
      <c r="Z64" s="146"/>
      <c r="AA64" s="146"/>
      <c r="AB64" s="146"/>
      <c r="AC64" s="146"/>
      <c r="AD64" s="147"/>
      <c r="AE64" s="148" t="str">
        <f t="shared" ca="1" si="31"/>
        <v>sny_202310_backup_mt2_tokutei_kizai_kanren</v>
      </c>
      <c r="AF64" s="149"/>
      <c r="AG64" s="149"/>
      <c r="AH64" s="149"/>
      <c r="AI64" s="149"/>
      <c r="AJ64" s="149"/>
      <c r="AK64" s="149"/>
      <c r="AL64" s="150"/>
      <c r="AM64" s="148" t="str">
        <f t="shared" ca="1" si="32"/>
        <v>特定器材関連マスタテーブルから組入れ条件の第一条件で絞り込んだ結果を格納するテーブル</v>
      </c>
      <c r="AN64" s="149"/>
      <c r="AO64" s="149"/>
      <c r="AP64" s="149"/>
      <c r="AQ64" s="149"/>
      <c r="AR64" s="149"/>
      <c r="AS64" s="149"/>
      <c r="AT64" s="149"/>
      <c r="AU64" s="149"/>
      <c r="AV64" s="149"/>
      <c r="AW64" s="149"/>
      <c r="AX64" s="149"/>
      <c r="AY64" s="149"/>
      <c r="AZ64" s="149"/>
      <c r="BA64" s="149"/>
      <c r="BB64" s="149"/>
      <c r="BC64" s="149"/>
      <c r="BD64" s="149"/>
      <c r="BE64" s="149"/>
      <c r="BF64" s="149"/>
      <c r="BG64" s="149"/>
      <c r="BH64" s="149"/>
      <c r="BI64" s="149"/>
      <c r="BJ64" s="151"/>
      <c r="BK64" s="32" t="str">
        <f t="shared" si="16"/>
        <v>ENT_01_A4-10_バックアップ_特定器材関連マスタ.sql</v>
      </c>
    </row>
    <row r="65" spans="1:64" ht="37.5" customHeight="1" outlineLevel="1">
      <c r="A65" s="34" t="str">
        <f t="shared" si="30"/>
        <v>バックアップ_DPC関連マスタ</v>
      </c>
      <c r="B65" s="139" t="str">
        <f t="shared" si="20"/>
        <v>01</v>
      </c>
      <c r="C65" s="140"/>
      <c r="D65" s="140"/>
      <c r="E65" s="140"/>
      <c r="F65" s="141"/>
      <c r="G65" s="142" t="s">
        <v>196</v>
      </c>
      <c r="H65" s="143"/>
      <c r="I65" s="143"/>
      <c r="J65" s="143"/>
      <c r="K65" s="143"/>
      <c r="L65" s="143"/>
      <c r="M65" s="143"/>
      <c r="N65" s="144"/>
      <c r="O65" s="79" t="s">
        <v>3172</v>
      </c>
      <c r="P65" s="145" t="s">
        <v>2645</v>
      </c>
      <c r="Q65" s="146"/>
      <c r="R65" s="146"/>
      <c r="S65" s="146"/>
      <c r="T65" s="146"/>
      <c r="U65" s="146"/>
      <c r="V65" s="146"/>
      <c r="W65" s="146"/>
      <c r="X65" s="146"/>
      <c r="Y65" s="146"/>
      <c r="Z65" s="146"/>
      <c r="AA65" s="146"/>
      <c r="AB65" s="146"/>
      <c r="AC65" s="146"/>
      <c r="AD65" s="147"/>
      <c r="AE65" s="148" t="str">
        <f t="shared" ca="1" si="31"/>
        <v>sny_202310_backup_mt2_dpc_kanren</v>
      </c>
      <c r="AF65" s="149"/>
      <c r="AG65" s="149"/>
      <c r="AH65" s="149"/>
      <c r="AI65" s="149"/>
      <c r="AJ65" s="149"/>
      <c r="AK65" s="149"/>
      <c r="AL65" s="150"/>
      <c r="AM65" s="148" t="str">
        <f t="shared" ca="1" si="32"/>
        <v>DPC関連マスタテーブルから組入れ条件の第一条件で絞り込んだ結果を格納するテーブル</v>
      </c>
      <c r="AN65" s="149"/>
      <c r="AO65" s="149"/>
      <c r="AP65" s="149"/>
      <c r="AQ65" s="149"/>
      <c r="AR65" s="149"/>
      <c r="AS65" s="149"/>
      <c r="AT65" s="149"/>
      <c r="AU65" s="149"/>
      <c r="AV65" s="149"/>
      <c r="AW65" s="149"/>
      <c r="AX65" s="149"/>
      <c r="AY65" s="149"/>
      <c r="AZ65" s="149"/>
      <c r="BA65" s="149"/>
      <c r="BB65" s="149"/>
      <c r="BC65" s="149"/>
      <c r="BD65" s="149"/>
      <c r="BE65" s="149"/>
      <c r="BF65" s="149"/>
      <c r="BG65" s="149"/>
      <c r="BH65" s="149"/>
      <c r="BI65" s="149"/>
      <c r="BJ65" s="151"/>
      <c r="BK65" s="32" t="str">
        <f t="shared" si="16"/>
        <v>ENT_01_A4-11_バックアップ_DPC関連マスタ.sql</v>
      </c>
    </row>
    <row r="66" spans="1:64" ht="37.5" customHeight="1" outlineLevel="1">
      <c r="A66" s="34" t="str">
        <f t="shared" si="30"/>
        <v>バックアップ_疾患関連マスタ</v>
      </c>
      <c r="B66" s="139" t="str">
        <f t="shared" si="20"/>
        <v>01</v>
      </c>
      <c r="C66" s="140"/>
      <c r="D66" s="140"/>
      <c r="E66" s="140"/>
      <c r="F66" s="141"/>
      <c r="G66" s="142" t="s">
        <v>196</v>
      </c>
      <c r="H66" s="143"/>
      <c r="I66" s="143"/>
      <c r="J66" s="143"/>
      <c r="K66" s="143"/>
      <c r="L66" s="143"/>
      <c r="M66" s="143"/>
      <c r="N66" s="144"/>
      <c r="O66" s="79" t="s">
        <v>3173</v>
      </c>
      <c r="P66" s="145" t="s">
        <v>2654</v>
      </c>
      <c r="Q66" s="146"/>
      <c r="R66" s="146"/>
      <c r="S66" s="146"/>
      <c r="T66" s="146"/>
      <c r="U66" s="146"/>
      <c r="V66" s="146"/>
      <c r="W66" s="146"/>
      <c r="X66" s="146"/>
      <c r="Y66" s="146"/>
      <c r="Z66" s="146"/>
      <c r="AA66" s="146"/>
      <c r="AB66" s="146"/>
      <c r="AC66" s="146"/>
      <c r="AD66" s="147"/>
      <c r="AE66" s="148" t="str">
        <f t="shared" ca="1" si="31"/>
        <v>sny_202310_backup_mt2_shikkan_kanren</v>
      </c>
      <c r="AF66" s="149"/>
      <c r="AG66" s="149"/>
      <c r="AH66" s="149"/>
      <c r="AI66" s="149"/>
      <c r="AJ66" s="149"/>
      <c r="AK66" s="149"/>
      <c r="AL66" s="150"/>
      <c r="AM66" s="148" t="str">
        <f t="shared" ca="1" si="32"/>
        <v>疾患関連マスタテーブルから組入れ条件の第一条件で絞り込んだ結果を格納するテーブル</v>
      </c>
      <c r="AN66" s="149"/>
      <c r="AO66" s="149"/>
      <c r="AP66" s="149"/>
      <c r="AQ66" s="149"/>
      <c r="AR66" s="149"/>
      <c r="AS66" s="149"/>
      <c r="AT66" s="149"/>
      <c r="AU66" s="149"/>
      <c r="AV66" s="149"/>
      <c r="AW66" s="149"/>
      <c r="AX66" s="149"/>
      <c r="AY66" s="149"/>
      <c r="AZ66" s="149"/>
      <c r="BA66" s="149"/>
      <c r="BB66" s="149"/>
      <c r="BC66" s="149"/>
      <c r="BD66" s="149"/>
      <c r="BE66" s="149"/>
      <c r="BF66" s="149"/>
      <c r="BG66" s="149"/>
      <c r="BH66" s="149"/>
      <c r="BI66" s="149"/>
      <c r="BJ66" s="151"/>
      <c r="BK66" s="32" t="str">
        <f t="shared" si="16"/>
        <v>ENT_01_A4-12_バックアップ_疾患関連マスタ.sql</v>
      </c>
    </row>
    <row r="67" spans="1:64" ht="37.5" customHeight="1" outlineLevel="1">
      <c r="A67" s="34" t="str">
        <f t="shared" si="30"/>
        <v>バックアップ_医薬品成分関連マスタ</v>
      </c>
      <c r="B67" s="139" t="str">
        <f t="shared" si="20"/>
        <v>01</v>
      </c>
      <c r="C67" s="140"/>
      <c r="D67" s="140"/>
      <c r="E67" s="140"/>
      <c r="F67" s="141"/>
      <c r="G67" s="142" t="s">
        <v>196</v>
      </c>
      <c r="H67" s="143"/>
      <c r="I67" s="143"/>
      <c r="J67" s="143"/>
      <c r="K67" s="143"/>
      <c r="L67" s="143"/>
      <c r="M67" s="143"/>
      <c r="N67" s="144"/>
      <c r="O67" s="79" t="s">
        <v>3174</v>
      </c>
      <c r="P67" s="145" t="s">
        <v>2683</v>
      </c>
      <c r="Q67" s="146"/>
      <c r="R67" s="146"/>
      <c r="S67" s="146"/>
      <c r="T67" s="146"/>
      <c r="U67" s="146"/>
      <c r="V67" s="146"/>
      <c r="W67" s="146"/>
      <c r="X67" s="146"/>
      <c r="Y67" s="146"/>
      <c r="Z67" s="146"/>
      <c r="AA67" s="146"/>
      <c r="AB67" s="146"/>
      <c r="AC67" s="146"/>
      <c r="AD67" s="147"/>
      <c r="AE67" s="148" t="str">
        <f t="shared" ca="1" si="31"/>
        <v>sny_202310_backup_mt2_iyakuhin_seibun_kanren</v>
      </c>
      <c r="AF67" s="149"/>
      <c r="AG67" s="149"/>
      <c r="AH67" s="149"/>
      <c r="AI67" s="149"/>
      <c r="AJ67" s="149"/>
      <c r="AK67" s="149"/>
      <c r="AL67" s="150"/>
      <c r="AM67" s="148" t="str">
        <f t="shared" ca="1" si="32"/>
        <v>医薬品成分関連マスタテーブルから組入れ条件の第一条件で絞り込んだ結果を格納するテーブル</v>
      </c>
      <c r="AN67" s="149"/>
      <c r="AO67" s="149"/>
      <c r="AP67" s="149"/>
      <c r="AQ67" s="149"/>
      <c r="AR67" s="149"/>
      <c r="AS67" s="149"/>
      <c r="AT67" s="149"/>
      <c r="AU67" s="149"/>
      <c r="AV67" s="149"/>
      <c r="AW67" s="149"/>
      <c r="AX67" s="149"/>
      <c r="AY67" s="149"/>
      <c r="AZ67" s="149"/>
      <c r="BA67" s="149"/>
      <c r="BB67" s="149"/>
      <c r="BC67" s="149"/>
      <c r="BD67" s="149"/>
      <c r="BE67" s="149"/>
      <c r="BF67" s="149"/>
      <c r="BG67" s="149"/>
      <c r="BH67" s="149"/>
      <c r="BI67" s="149"/>
      <c r="BJ67" s="151"/>
      <c r="BK67" s="32" t="str">
        <f t="shared" si="16"/>
        <v>ENT_01_A4-13_バックアップ_医薬品成分関連マスタ.sql</v>
      </c>
    </row>
    <row r="68" spans="1:64" ht="37.5" customHeight="1" outlineLevel="1">
      <c r="A68" s="34" t="str">
        <f t="shared" si="30"/>
        <v>バックアップ_医薬品適用病名関連マスタ</v>
      </c>
      <c r="B68" s="139" t="str">
        <f t="shared" si="20"/>
        <v>01</v>
      </c>
      <c r="C68" s="140"/>
      <c r="D68" s="140"/>
      <c r="E68" s="140"/>
      <c r="F68" s="141"/>
      <c r="G68" s="142" t="s">
        <v>196</v>
      </c>
      <c r="H68" s="143"/>
      <c r="I68" s="143"/>
      <c r="J68" s="143"/>
      <c r="K68" s="143"/>
      <c r="L68" s="143"/>
      <c r="M68" s="143"/>
      <c r="N68" s="144"/>
      <c r="O68" s="79" t="s">
        <v>3175</v>
      </c>
      <c r="P68" s="145" t="s">
        <v>2704</v>
      </c>
      <c r="Q68" s="146"/>
      <c r="R68" s="146"/>
      <c r="S68" s="146"/>
      <c r="T68" s="146"/>
      <c r="U68" s="146"/>
      <c r="V68" s="146"/>
      <c r="W68" s="146"/>
      <c r="X68" s="146"/>
      <c r="Y68" s="146"/>
      <c r="Z68" s="146"/>
      <c r="AA68" s="146"/>
      <c r="AB68" s="146"/>
      <c r="AC68" s="146"/>
      <c r="AD68" s="147"/>
      <c r="AE68" s="148" t="str">
        <f t="shared" ca="1" si="31"/>
        <v>sny_202310_backup_mt2_iyakuhin_tekiyou_byomei_kanren</v>
      </c>
      <c r="AF68" s="149"/>
      <c r="AG68" s="149"/>
      <c r="AH68" s="149"/>
      <c r="AI68" s="149"/>
      <c r="AJ68" s="149"/>
      <c r="AK68" s="149"/>
      <c r="AL68" s="150"/>
      <c r="AM68" s="148" t="str">
        <f t="shared" ca="1" si="32"/>
        <v>医薬品適用病名関連マスタテーブルから組入れ条件の第一条件で絞り込んだ結果を格納するテーブル</v>
      </c>
      <c r="AN68" s="149"/>
      <c r="AO68" s="149"/>
      <c r="AP68" s="149"/>
      <c r="AQ68" s="149"/>
      <c r="AR68" s="149"/>
      <c r="AS68" s="149"/>
      <c r="AT68" s="149"/>
      <c r="AU68" s="149"/>
      <c r="AV68" s="149"/>
      <c r="AW68" s="149"/>
      <c r="AX68" s="149"/>
      <c r="AY68" s="149"/>
      <c r="AZ68" s="149"/>
      <c r="BA68" s="149"/>
      <c r="BB68" s="149"/>
      <c r="BC68" s="149"/>
      <c r="BD68" s="149"/>
      <c r="BE68" s="149"/>
      <c r="BF68" s="149"/>
      <c r="BG68" s="149"/>
      <c r="BH68" s="149"/>
      <c r="BI68" s="149"/>
      <c r="BJ68" s="151"/>
      <c r="BK68" s="32" t="str">
        <f t="shared" si="16"/>
        <v>ENT_01_A4-14_バックアップ_医薬品適用病名関連マスタ.sql</v>
      </c>
    </row>
    <row r="69" spans="1:64" ht="37.5" customHeight="1" outlineLevel="1">
      <c r="A69" s="34" t="str">
        <f t="shared" si="12"/>
        <v>バックアップ_MML共通</v>
      </c>
      <c r="B69" s="139" t="str">
        <f t="shared" si="20"/>
        <v>01</v>
      </c>
      <c r="C69" s="140"/>
      <c r="D69" s="140"/>
      <c r="E69" s="140"/>
      <c r="F69" s="141"/>
      <c r="G69" s="142" t="s">
        <v>196</v>
      </c>
      <c r="H69" s="143"/>
      <c r="I69" s="143"/>
      <c r="J69" s="143"/>
      <c r="K69" s="143"/>
      <c r="L69" s="143"/>
      <c r="M69" s="143"/>
      <c r="N69" s="144"/>
      <c r="O69" s="79" t="s">
        <v>3187</v>
      </c>
      <c r="P69" s="145" t="s">
        <v>3188</v>
      </c>
      <c r="Q69" s="146"/>
      <c r="R69" s="146"/>
      <c r="S69" s="146"/>
      <c r="T69" s="146"/>
      <c r="U69" s="146"/>
      <c r="V69" s="146"/>
      <c r="W69" s="146"/>
      <c r="X69" s="146"/>
      <c r="Y69" s="146"/>
      <c r="Z69" s="146"/>
      <c r="AA69" s="146"/>
      <c r="AB69" s="146"/>
      <c r="AC69" s="146"/>
      <c r="AD69" s="147"/>
      <c r="AE69" s="148" t="str">
        <f t="shared" ca="1" si="13"/>
        <v>sny_202310_backup_text_mml_common</v>
      </c>
      <c r="AF69" s="149"/>
      <c r="AG69" s="149"/>
      <c r="AH69" s="149"/>
      <c r="AI69" s="149"/>
      <c r="AJ69" s="149"/>
      <c r="AK69" s="149"/>
      <c r="AL69" s="150"/>
      <c r="AM69" s="148" t="str">
        <f t="shared" ca="1" si="14"/>
        <v>MML共通テーブルから組入れ条件の第一条件で絞り込んだ結果を格納するテーブル</v>
      </c>
      <c r="AN69" s="149"/>
      <c r="AO69" s="149"/>
      <c r="AP69" s="149"/>
      <c r="AQ69" s="149"/>
      <c r="AR69" s="149"/>
      <c r="AS69" s="149"/>
      <c r="AT69" s="149"/>
      <c r="AU69" s="149"/>
      <c r="AV69" s="149"/>
      <c r="AW69" s="149"/>
      <c r="AX69" s="149"/>
      <c r="AY69" s="149"/>
      <c r="AZ69" s="149"/>
      <c r="BA69" s="149"/>
      <c r="BB69" s="149"/>
      <c r="BC69" s="149"/>
      <c r="BD69" s="149"/>
      <c r="BE69" s="149"/>
      <c r="BF69" s="149"/>
      <c r="BG69" s="149"/>
      <c r="BH69" s="149"/>
      <c r="BI69" s="149"/>
      <c r="BJ69" s="151"/>
      <c r="BK69" s="32" t="str">
        <f t="shared" si="16"/>
        <v>ENT_01_A6-02_バックアップ_MML共通.sql</v>
      </c>
      <c r="BL69" s="32">
        <v>1</v>
      </c>
    </row>
    <row r="70" spans="1:64" ht="37.5" customHeight="1" outlineLevel="1">
      <c r="A70" s="34" t="str">
        <f t="shared" ref="A70" si="33">P70</f>
        <v>バックアップ_MML_診断履歴情報モジュール_本文</v>
      </c>
      <c r="B70" s="139" t="str">
        <f t="shared" si="20"/>
        <v>01</v>
      </c>
      <c r="C70" s="140"/>
      <c r="D70" s="140"/>
      <c r="E70" s="140"/>
      <c r="F70" s="141"/>
      <c r="G70" s="142" t="s">
        <v>196</v>
      </c>
      <c r="H70" s="143"/>
      <c r="I70" s="143"/>
      <c r="J70" s="143"/>
      <c r="K70" s="143"/>
      <c r="L70" s="143"/>
      <c r="M70" s="143"/>
      <c r="N70" s="144"/>
      <c r="O70" s="79" t="s">
        <v>3189</v>
      </c>
      <c r="P70" s="145" t="s">
        <v>2783</v>
      </c>
      <c r="Q70" s="146"/>
      <c r="R70" s="146"/>
      <c r="S70" s="146"/>
      <c r="T70" s="146"/>
      <c r="U70" s="146"/>
      <c r="V70" s="146"/>
      <c r="W70" s="146"/>
      <c r="X70" s="146"/>
      <c r="Y70" s="146"/>
      <c r="Z70" s="146"/>
      <c r="AA70" s="146"/>
      <c r="AB70" s="146"/>
      <c r="AC70" s="146"/>
      <c r="AD70" s="147"/>
      <c r="AE70" s="148" t="str">
        <f t="shared" ref="AE70" ca="1" si="34">IFERROR(INDIRECT(P70&amp;"!D8"),"")</f>
        <v>sny_202310_backup_text_mml_mmlrd_body</v>
      </c>
      <c r="AF70" s="149"/>
      <c r="AG70" s="149"/>
      <c r="AH70" s="149"/>
      <c r="AI70" s="149"/>
      <c r="AJ70" s="149"/>
      <c r="AK70" s="149"/>
      <c r="AL70" s="150"/>
      <c r="AM70" s="148" t="str">
        <f t="shared" ref="AM70" ca="1" si="35">IFERROR(INDIRECT(P70&amp;"!D9"),"")</f>
        <v>MML_診断履歴情報モジュール_本文テーブルから組入れ条件の第一条件で絞り込んだ結果を格納するテーブル</v>
      </c>
      <c r="AN70" s="149"/>
      <c r="AO70" s="149"/>
      <c r="AP70" s="149"/>
      <c r="AQ70" s="149"/>
      <c r="AR70" s="149"/>
      <c r="AS70" s="149"/>
      <c r="AT70" s="149"/>
      <c r="AU70" s="149"/>
      <c r="AV70" s="149"/>
      <c r="AW70" s="149"/>
      <c r="AX70" s="149"/>
      <c r="AY70" s="149"/>
      <c r="AZ70" s="149"/>
      <c r="BA70" s="149"/>
      <c r="BB70" s="149"/>
      <c r="BC70" s="149"/>
      <c r="BD70" s="149"/>
      <c r="BE70" s="149"/>
      <c r="BF70" s="149"/>
      <c r="BG70" s="149"/>
      <c r="BH70" s="149"/>
      <c r="BI70" s="149"/>
      <c r="BJ70" s="151"/>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9" t="str">
        <f t="shared" si="20"/>
        <v>01</v>
      </c>
      <c r="C71" s="140"/>
      <c r="D71" s="140"/>
      <c r="E71" s="140"/>
      <c r="F71" s="141"/>
      <c r="G71" s="142" t="s">
        <v>196</v>
      </c>
      <c r="H71" s="143"/>
      <c r="I71" s="143"/>
      <c r="J71" s="143"/>
      <c r="K71" s="143"/>
      <c r="L71" s="143"/>
      <c r="M71" s="143"/>
      <c r="N71" s="144"/>
      <c r="O71" s="79" t="s">
        <v>3190</v>
      </c>
      <c r="P71" s="145" t="s">
        <v>2799</v>
      </c>
      <c r="Q71" s="146"/>
      <c r="R71" s="146"/>
      <c r="S71" s="146"/>
      <c r="T71" s="146"/>
      <c r="U71" s="146"/>
      <c r="V71" s="146"/>
      <c r="W71" s="146"/>
      <c r="X71" s="146"/>
      <c r="Y71" s="146"/>
      <c r="Z71" s="146"/>
      <c r="AA71" s="146"/>
      <c r="AB71" s="146"/>
      <c r="AC71" s="146"/>
      <c r="AD71" s="147"/>
      <c r="AE71" s="148" t="str">
        <f t="shared" ca="1" si="13"/>
        <v>sny_202310_backup_text_mml_mmlrd_byomei</v>
      </c>
      <c r="AF71" s="149"/>
      <c r="AG71" s="149"/>
      <c r="AH71" s="149"/>
      <c r="AI71" s="149"/>
      <c r="AJ71" s="149"/>
      <c r="AK71" s="149"/>
      <c r="AL71" s="150"/>
      <c r="AM71" s="148" t="str">
        <f t="shared" ca="1" si="14"/>
        <v>MML_診断履歴情報モジュール_病名テーブルから組入れ条件の第一条件で絞り込んだ結果を格納するテーブル</v>
      </c>
      <c r="AN71" s="149"/>
      <c r="AO71" s="149"/>
      <c r="AP71" s="149"/>
      <c r="AQ71" s="149"/>
      <c r="AR71" s="149"/>
      <c r="AS71" s="149"/>
      <c r="AT71" s="149"/>
      <c r="AU71" s="149"/>
      <c r="AV71" s="149"/>
      <c r="AW71" s="149"/>
      <c r="AX71" s="149"/>
      <c r="AY71" s="149"/>
      <c r="AZ71" s="149"/>
      <c r="BA71" s="149"/>
      <c r="BB71" s="149"/>
      <c r="BC71" s="149"/>
      <c r="BD71" s="149"/>
      <c r="BE71" s="149"/>
      <c r="BF71" s="149"/>
      <c r="BG71" s="149"/>
      <c r="BH71" s="149"/>
      <c r="BI71" s="149"/>
      <c r="BJ71" s="151"/>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39" t="str">
        <f t="shared" si="20"/>
        <v>01</v>
      </c>
      <c r="C72" s="140"/>
      <c r="D72" s="140"/>
      <c r="E72" s="140"/>
      <c r="F72" s="141"/>
      <c r="G72" s="142" t="s">
        <v>196</v>
      </c>
      <c r="H72" s="143"/>
      <c r="I72" s="143"/>
      <c r="J72" s="143"/>
      <c r="K72" s="143"/>
      <c r="L72" s="143"/>
      <c r="M72" s="143"/>
      <c r="N72" s="144"/>
      <c r="O72" s="79" t="s">
        <v>3191</v>
      </c>
      <c r="P72" s="145" t="s">
        <v>2810</v>
      </c>
      <c r="Q72" s="146"/>
      <c r="R72" s="146"/>
      <c r="S72" s="146"/>
      <c r="T72" s="146"/>
      <c r="U72" s="146"/>
      <c r="V72" s="146"/>
      <c r="W72" s="146"/>
      <c r="X72" s="146"/>
      <c r="Y72" s="146"/>
      <c r="Z72" s="146"/>
      <c r="AA72" s="146"/>
      <c r="AB72" s="146"/>
      <c r="AC72" s="146"/>
      <c r="AD72" s="147"/>
      <c r="AE72" s="148" t="str">
        <f t="shared" ref="AE72:AE104" ca="1" si="37">IFERROR(INDIRECT(P72&amp;"!D8"),"")</f>
        <v>sny_202310_backup_text_mml_mmlrd_category</v>
      </c>
      <c r="AF72" s="149"/>
      <c r="AG72" s="149"/>
      <c r="AH72" s="149"/>
      <c r="AI72" s="149"/>
      <c r="AJ72" s="149"/>
      <c r="AK72" s="149"/>
      <c r="AL72" s="150"/>
      <c r="AM72" s="148" t="str">
        <f t="shared" ref="AM72:AM104" ca="1" si="38">IFERROR(INDIRECT(P72&amp;"!D9"),"")</f>
        <v>MML_診断履歴情報モジュール_カテゴリ名テーブルから組入れ条件の第一条件で絞り込んだ結果を格納するテーブル</v>
      </c>
      <c r="AN72" s="149"/>
      <c r="AO72" s="149"/>
      <c r="AP72" s="149"/>
      <c r="AQ72" s="149"/>
      <c r="AR72" s="149"/>
      <c r="AS72" s="149"/>
      <c r="AT72" s="149"/>
      <c r="AU72" s="149"/>
      <c r="AV72" s="149"/>
      <c r="AW72" s="149"/>
      <c r="AX72" s="149"/>
      <c r="AY72" s="149"/>
      <c r="AZ72" s="149"/>
      <c r="BA72" s="149"/>
      <c r="BB72" s="149"/>
      <c r="BC72" s="149"/>
      <c r="BD72" s="149"/>
      <c r="BE72" s="149"/>
      <c r="BF72" s="149"/>
      <c r="BG72" s="149"/>
      <c r="BH72" s="149"/>
      <c r="BI72" s="149"/>
      <c r="BJ72" s="151"/>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39" t="str">
        <f t="shared" si="20"/>
        <v>01</v>
      </c>
      <c r="C73" s="140"/>
      <c r="D73" s="140"/>
      <c r="E73" s="140"/>
      <c r="F73" s="141"/>
      <c r="G73" s="142" t="s">
        <v>196</v>
      </c>
      <c r="H73" s="143"/>
      <c r="I73" s="143"/>
      <c r="J73" s="143"/>
      <c r="K73" s="143"/>
      <c r="L73" s="143"/>
      <c r="M73" s="143"/>
      <c r="N73" s="144"/>
      <c r="O73" s="79" t="s">
        <v>3867</v>
      </c>
      <c r="P73" s="145" t="s">
        <v>3863</v>
      </c>
      <c r="Q73" s="146"/>
      <c r="R73" s="146"/>
      <c r="S73" s="146"/>
      <c r="T73" s="146"/>
      <c r="U73" s="146"/>
      <c r="V73" s="146"/>
      <c r="W73" s="146"/>
      <c r="X73" s="146"/>
      <c r="Y73" s="146"/>
      <c r="Z73" s="146"/>
      <c r="AA73" s="146"/>
      <c r="AB73" s="146"/>
      <c r="AC73" s="146"/>
      <c r="AD73" s="147"/>
      <c r="AE73" s="148" t="str">
        <f t="shared" ref="AE73:AE78" ca="1" si="40">IFERROR(INDIRECT(P73&amp;"!D8"),"")</f>
        <v>sny_202310_backup_text_mml_mmllb_body</v>
      </c>
      <c r="AF73" s="149"/>
      <c r="AG73" s="149"/>
      <c r="AH73" s="149"/>
      <c r="AI73" s="149"/>
      <c r="AJ73" s="149"/>
      <c r="AK73" s="149"/>
      <c r="AL73" s="150"/>
      <c r="AM73" s="148" t="str">
        <f t="shared" ref="AM73:AM78" ca="1" si="41">IFERROR(INDIRECT(P73&amp;"!D9"),"")</f>
        <v>MML_検歴情報モジュール_本文テーブルから組入れ条件の第一条件で絞り込んだ結果を格納するテーブル</v>
      </c>
      <c r="AN73" s="149"/>
      <c r="AO73" s="149"/>
      <c r="AP73" s="149"/>
      <c r="AQ73" s="149"/>
      <c r="AR73" s="149"/>
      <c r="AS73" s="149"/>
      <c r="AT73" s="149"/>
      <c r="AU73" s="149"/>
      <c r="AV73" s="149"/>
      <c r="AW73" s="149"/>
      <c r="AX73" s="149"/>
      <c r="AY73" s="149"/>
      <c r="AZ73" s="149"/>
      <c r="BA73" s="149"/>
      <c r="BB73" s="149"/>
      <c r="BC73" s="149"/>
      <c r="BD73" s="149"/>
      <c r="BE73" s="149"/>
      <c r="BF73" s="149"/>
      <c r="BG73" s="149"/>
      <c r="BH73" s="149"/>
      <c r="BI73" s="149"/>
      <c r="BJ73" s="151"/>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39" t="str">
        <f t="shared" si="20"/>
        <v>01</v>
      </c>
      <c r="C74" s="140"/>
      <c r="D74" s="140"/>
      <c r="E74" s="140"/>
      <c r="F74" s="141"/>
      <c r="G74" s="142" t="s">
        <v>196</v>
      </c>
      <c r="H74" s="143"/>
      <c r="I74" s="143"/>
      <c r="J74" s="143"/>
      <c r="K74" s="143"/>
      <c r="L74" s="143"/>
      <c r="M74" s="143"/>
      <c r="N74" s="144"/>
      <c r="O74" s="79" t="s">
        <v>3868</v>
      </c>
      <c r="P74" s="145" t="s">
        <v>3864</v>
      </c>
      <c r="Q74" s="146"/>
      <c r="R74" s="146"/>
      <c r="S74" s="146"/>
      <c r="T74" s="146"/>
      <c r="U74" s="146"/>
      <c r="V74" s="146"/>
      <c r="W74" s="146"/>
      <c r="X74" s="146"/>
      <c r="Y74" s="146"/>
      <c r="Z74" s="146"/>
      <c r="AA74" s="146"/>
      <c r="AB74" s="146"/>
      <c r="AC74" s="146"/>
      <c r="AD74" s="147"/>
      <c r="AE74" s="148" t="str">
        <f t="shared" ca="1" si="40"/>
        <v>sny_202310_backup_text_mml_mmllb_memo</v>
      </c>
      <c r="AF74" s="149"/>
      <c r="AG74" s="149"/>
      <c r="AH74" s="149"/>
      <c r="AI74" s="149"/>
      <c r="AJ74" s="149"/>
      <c r="AK74" s="149"/>
      <c r="AL74" s="150"/>
      <c r="AM74" s="148" t="str">
        <f t="shared" ca="1" si="41"/>
        <v>MML_検歴情報モジュール_報告コメントテーブルから組入れ条件の第一条件で絞り込んだ結果を格納するテーブル</v>
      </c>
      <c r="AN74" s="149"/>
      <c r="AO74" s="149"/>
      <c r="AP74" s="149"/>
      <c r="AQ74" s="149"/>
      <c r="AR74" s="149"/>
      <c r="AS74" s="149"/>
      <c r="AT74" s="149"/>
      <c r="AU74" s="149"/>
      <c r="AV74" s="149"/>
      <c r="AW74" s="149"/>
      <c r="AX74" s="149"/>
      <c r="AY74" s="149"/>
      <c r="AZ74" s="149"/>
      <c r="BA74" s="149"/>
      <c r="BB74" s="149"/>
      <c r="BC74" s="149"/>
      <c r="BD74" s="149"/>
      <c r="BE74" s="149"/>
      <c r="BF74" s="149"/>
      <c r="BG74" s="149"/>
      <c r="BH74" s="149"/>
      <c r="BI74" s="149"/>
      <c r="BJ74" s="151"/>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39" t="str">
        <f t="shared" si="20"/>
        <v>01</v>
      </c>
      <c r="C75" s="140"/>
      <c r="D75" s="140"/>
      <c r="E75" s="140"/>
      <c r="F75" s="141"/>
      <c r="G75" s="142" t="s">
        <v>196</v>
      </c>
      <c r="H75" s="143"/>
      <c r="I75" s="143"/>
      <c r="J75" s="143"/>
      <c r="K75" s="143"/>
      <c r="L75" s="143"/>
      <c r="M75" s="143"/>
      <c r="N75" s="144"/>
      <c r="O75" s="79" t="s">
        <v>3869</v>
      </c>
      <c r="P75" s="145" t="s">
        <v>3865</v>
      </c>
      <c r="Q75" s="146"/>
      <c r="R75" s="146"/>
      <c r="S75" s="146"/>
      <c r="T75" s="146"/>
      <c r="U75" s="146"/>
      <c r="V75" s="146"/>
      <c r="W75" s="146"/>
      <c r="X75" s="146"/>
      <c r="Y75" s="146"/>
      <c r="Z75" s="146"/>
      <c r="AA75" s="146"/>
      <c r="AB75" s="146"/>
      <c r="AC75" s="146"/>
      <c r="AD75" s="147"/>
      <c r="AE75" s="148" t="str">
        <f t="shared" ca="1" si="40"/>
        <v>sny_202310_backup_text_mml_mmllb_labo_test</v>
      </c>
      <c r="AF75" s="149"/>
      <c r="AG75" s="149"/>
      <c r="AH75" s="149"/>
      <c r="AI75" s="149"/>
      <c r="AJ75" s="149"/>
      <c r="AK75" s="149"/>
      <c r="AL75" s="150"/>
      <c r="AM75" s="148" t="str">
        <f t="shared" ca="1" si="41"/>
        <v>MML_検歴情報モジュール_検体検査結果情報テーブルから組入れ条件の第一条件で絞り込んだ結果を格納するテーブル</v>
      </c>
      <c r="AN75" s="149"/>
      <c r="AO75" s="149"/>
      <c r="AP75" s="149"/>
      <c r="AQ75" s="149"/>
      <c r="AR75" s="149"/>
      <c r="AS75" s="149"/>
      <c r="AT75" s="149"/>
      <c r="AU75" s="149"/>
      <c r="AV75" s="149"/>
      <c r="AW75" s="149"/>
      <c r="AX75" s="149"/>
      <c r="AY75" s="149"/>
      <c r="AZ75" s="149"/>
      <c r="BA75" s="149"/>
      <c r="BB75" s="149"/>
      <c r="BC75" s="149"/>
      <c r="BD75" s="149"/>
      <c r="BE75" s="149"/>
      <c r="BF75" s="149"/>
      <c r="BG75" s="149"/>
      <c r="BH75" s="149"/>
      <c r="BI75" s="149"/>
      <c r="BJ75" s="151"/>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39" t="str">
        <f t="shared" si="20"/>
        <v>01</v>
      </c>
      <c r="C76" s="140"/>
      <c r="D76" s="140"/>
      <c r="E76" s="140"/>
      <c r="F76" s="141"/>
      <c r="G76" s="142" t="s">
        <v>196</v>
      </c>
      <c r="H76" s="143"/>
      <c r="I76" s="143"/>
      <c r="J76" s="143"/>
      <c r="K76" s="143"/>
      <c r="L76" s="143"/>
      <c r="M76" s="143"/>
      <c r="N76" s="144"/>
      <c r="O76" s="79" t="s">
        <v>3870</v>
      </c>
      <c r="P76" s="145" t="s">
        <v>3866</v>
      </c>
      <c r="Q76" s="146"/>
      <c r="R76" s="146"/>
      <c r="S76" s="146"/>
      <c r="T76" s="146"/>
      <c r="U76" s="146"/>
      <c r="V76" s="146"/>
      <c r="W76" s="146"/>
      <c r="X76" s="146"/>
      <c r="Y76" s="146"/>
      <c r="Z76" s="146"/>
      <c r="AA76" s="146"/>
      <c r="AB76" s="146"/>
      <c r="AC76" s="146"/>
      <c r="AD76" s="147"/>
      <c r="AE76" s="148" t="str">
        <f t="shared" ca="1" si="40"/>
        <v>sny_202310_backup_text_mml_mmllb_spc_memo</v>
      </c>
      <c r="AF76" s="149"/>
      <c r="AG76" s="149"/>
      <c r="AH76" s="149"/>
      <c r="AI76" s="149"/>
      <c r="AJ76" s="149"/>
      <c r="AK76" s="149"/>
      <c r="AL76" s="150"/>
      <c r="AM76" s="148" t="str">
        <f t="shared" ca="1" si="41"/>
        <v>MML_検歴情報モジュール_検体コメントテーブルから組入れ条件の第一条件で絞り込んだ結果を格納するテーブル</v>
      </c>
      <c r="AN76" s="149"/>
      <c r="AO76" s="149"/>
      <c r="AP76" s="149"/>
      <c r="AQ76" s="149"/>
      <c r="AR76" s="149"/>
      <c r="AS76" s="149"/>
      <c r="AT76" s="149"/>
      <c r="AU76" s="149"/>
      <c r="AV76" s="149"/>
      <c r="AW76" s="149"/>
      <c r="AX76" s="149"/>
      <c r="AY76" s="149"/>
      <c r="AZ76" s="149"/>
      <c r="BA76" s="149"/>
      <c r="BB76" s="149"/>
      <c r="BC76" s="149"/>
      <c r="BD76" s="149"/>
      <c r="BE76" s="149"/>
      <c r="BF76" s="149"/>
      <c r="BG76" s="149"/>
      <c r="BH76" s="149"/>
      <c r="BI76" s="149"/>
      <c r="BJ76" s="151"/>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39" t="str">
        <f t="shared" si="20"/>
        <v>01</v>
      </c>
      <c r="C77" s="140"/>
      <c r="D77" s="140"/>
      <c r="E77" s="140"/>
      <c r="F77" s="141"/>
      <c r="G77" s="142" t="s">
        <v>196</v>
      </c>
      <c r="H77" s="143"/>
      <c r="I77" s="143"/>
      <c r="J77" s="143"/>
      <c r="K77" s="143"/>
      <c r="L77" s="143"/>
      <c r="M77" s="143"/>
      <c r="N77" s="144"/>
      <c r="O77" s="79" t="s">
        <v>3871</v>
      </c>
      <c r="P77" s="145" t="s">
        <v>3925</v>
      </c>
      <c r="Q77" s="146"/>
      <c r="R77" s="146"/>
      <c r="S77" s="146"/>
      <c r="T77" s="146"/>
      <c r="U77" s="146"/>
      <c r="V77" s="146"/>
      <c r="W77" s="146"/>
      <c r="X77" s="146"/>
      <c r="Y77" s="146"/>
      <c r="Z77" s="146"/>
      <c r="AA77" s="146"/>
      <c r="AB77" s="146"/>
      <c r="AC77" s="146"/>
      <c r="AD77" s="147"/>
      <c r="AE77" s="148" t="str">
        <f t="shared" ca="1" si="40"/>
        <v>sny_202310_backup_text_mml_mmllb_item</v>
      </c>
      <c r="AF77" s="149"/>
      <c r="AG77" s="149"/>
      <c r="AH77" s="149"/>
      <c r="AI77" s="149"/>
      <c r="AJ77" s="149"/>
      <c r="AK77" s="149"/>
      <c r="AL77" s="150"/>
      <c r="AM77" s="148" t="str">
        <f t="shared" ca="1" si="41"/>
        <v>MML_検歴情報モジュール_検査項目テーブルから組入れ条件の第一条件で絞り込んだ結果を格納するテーブル</v>
      </c>
      <c r="AN77" s="149"/>
      <c r="AO77" s="149"/>
      <c r="AP77" s="149"/>
      <c r="AQ77" s="149"/>
      <c r="AR77" s="149"/>
      <c r="AS77" s="149"/>
      <c r="AT77" s="149"/>
      <c r="AU77" s="149"/>
      <c r="AV77" s="149"/>
      <c r="AW77" s="149"/>
      <c r="AX77" s="149"/>
      <c r="AY77" s="149"/>
      <c r="AZ77" s="149"/>
      <c r="BA77" s="149"/>
      <c r="BB77" s="149"/>
      <c r="BC77" s="149"/>
      <c r="BD77" s="149"/>
      <c r="BE77" s="149"/>
      <c r="BF77" s="149"/>
      <c r="BG77" s="149"/>
      <c r="BH77" s="149"/>
      <c r="BI77" s="149"/>
      <c r="BJ77" s="151"/>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39" t="str">
        <f t="shared" si="20"/>
        <v>01</v>
      </c>
      <c r="C78" s="140"/>
      <c r="D78" s="140"/>
      <c r="E78" s="140"/>
      <c r="F78" s="141"/>
      <c r="G78" s="142" t="s">
        <v>196</v>
      </c>
      <c r="H78" s="143"/>
      <c r="I78" s="143"/>
      <c r="J78" s="143"/>
      <c r="K78" s="143"/>
      <c r="L78" s="143"/>
      <c r="M78" s="143"/>
      <c r="N78" s="144"/>
      <c r="O78" s="79" t="s">
        <v>3872</v>
      </c>
      <c r="P78" s="145" t="s">
        <v>3926</v>
      </c>
      <c r="Q78" s="146"/>
      <c r="R78" s="146"/>
      <c r="S78" s="146"/>
      <c r="T78" s="146"/>
      <c r="U78" s="146"/>
      <c r="V78" s="146"/>
      <c r="W78" s="146"/>
      <c r="X78" s="146"/>
      <c r="Y78" s="146"/>
      <c r="Z78" s="146"/>
      <c r="AA78" s="146"/>
      <c r="AB78" s="146"/>
      <c r="AC78" s="146"/>
      <c r="AD78" s="147"/>
      <c r="AE78" s="148" t="str">
        <f t="shared" ca="1" si="40"/>
        <v>sny_202310_backup_text_mml_mmllb_item_memo</v>
      </c>
      <c r="AF78" s="149"/>
      <c r="AG78" s="149"/>
      <c r="AH78" s="149"/>
      <c r="AI78" s="149"/>
      <c r="AJ78" s="149"/>
      <c r="AK78" s="149"/>
      <c r="AL78" s="150"/>
      <c r="AM78" s="148" t="str">
        <f t="shared" ca="1" si="41"/>
        <v>MML_検歴情報モジュール_検査項目コメントテーブルから組入れ条件の第一条件で絞り込んだ結果を格納するテーブル</v>
      </c>
      <c r="AN78" s="149"/>
      <c r="AO78" s="149"/>
      <c r="AP78" s="149"/>
      <c r="AQ78" s="149"/>
      <c r="AR78" s="149"/>
      <c r="AS78" s="149"/>
      <c r="AT78" s="149"/>
      <c r="AU78" s="149"/>
      <c r="AV78" s="149"/>
      <c r="AW78" s="149"/>
      <c r="AX78" s="149"/>
      <c r="AY78" s="149"/>
      <c r="AZ78" s="149"/>
      <c r="BA78" s="149"/>
      <c r="BB78" s="149"/>
      <c r="BC78" s="149"/>
      <c r="BD78" s="149"/>
      <c r="BE78" s="149"/>
      <c r="BF78" s="149"/>
      <c r="BG78" s="149"/>
      <c r="BH78" s="149"/>
      <c r="BI78" s="149"/>
      <c r="BJ78" s="151"/>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39" t="str">
        <f t="shared" si="20"/>
        <v>01</v>
      </c>
      <c r="C79" s="140"/>
      <c r="D79" s="140"/>
      <c r="E79" s="140"/>
      <c r="F79" s="141"/>
      <c r="G79" s="142" t="s">
        <v>196</v>
      </c>
      <c r="H79" s="143"/>
      <c r="I79" s="143"/>
      <c r="J79" s="143"/>
      <c r="K79" s="143"/>
      <c r="L79" s="143"/>
      <c r="M79" s="143"/>
      <c r="N79" s="144"/>
      <c r="O79" s="79" t="s">
        <v>3192</v>
      </c>
      <c r="P79" s="145" t="s">
        <v>2815</v>
      </c>
      <c r="Q79" s="146"/>
      <c r="R79" s="146"/>
      <c r="S79" s="146"/>
      <c r="T79" s="146"/>
      <c r="U79" s="146"/>
      <c r="V79" s="146"/>
      <c r="W79" s="146"/>
      <c r="X79" s="146"/>
      <c r="Y79" s="146"/>
      <c r="Z79" s="146"/>
      <c r="AA79" s="146"/>
      <c r="AB79" s="146"/>
      <c r="AC79" s="146"/>
      <c r="AD79" s="147"/>
      <c r="AE79" s="148" t="str">
        <f t="shared" ca="1" si="37"/>
        <v>sny_202310_backup_text_mml_mmlps_body</v>
      </c>
      <c r="AF79" s="149"/>
      <c r="AG79" s="149"/>
      <c r="AH79" s="149"/>
      <c r="AI79" s="149"/>
      <c r="AJ79" s="149"/>
      <c r="AK79" s="149"/>
      <c r="AL79" s="150"/>
      <c r="AM79" s="148" t="str">
        <f t="shared" ca="1" si="38"/>
        <v>MML_処方箋モジュール_本文テーブルから組入れ条件の第一条件で絞り込んだ結果を格納するテーブル</v>
      </c>
      <c r="AN79" s="149"/>
      <c r="AO79" s="149"/>
      <c r="AP79" s="149"/>
      <c r="AQ79" s="149"/>
      <c r="AR79" s="149"/>
      <c r="AS79" s="149"/>
      <c r="AT79" s="149"/>
      <c r="AU79" s="149"/>
      <c r="AV79" s="149"/>
      <c r="AW79" s="149"/>
      <c r="AX79" s="149"/>
      <c r="AY79" s="149"/>
      <c r="AZ79" s="149"/>
      <c r="BA79" s="149"/>
      <c r="BB79" s="149"/>
      <c r="BC79" s="149"/>
      <c r="BD79" s="149"/>
      <c r="BE79" s="149"/>
      <c r="BF79" s="149"/>
      <c r="BG79" s="149"/>
      <c r="BH79" s="149"/>
      <c r="BI79" s="149"/>
      <c r="BJ79" s="151"/>
      <c r="BK79" s="32" t="str">
        <f t="shared" si="16"/>
        <v>ENT_01_A6-24_バックアップ_MML_処方箋モジュール_本文.sql</v>
      </c>
      <c r="BL79" s="32">
        <v>1</v>
      </c>
    </row>
    <row r="80" spans="1:64" ht="37.5" customHeight="1" outlineLevel="1">
      <c r="A80" s="34" t="str">
        <f t="shared" si="36"/>
        <v>バックアップ_MML_処方箋モジュール_投薬</v>
      </c>
      <c r="B80" s="139" t="str">
        <f t="shared" si="20"/>
        <v>01</v>
      </c>
      <c r="C80" s="140"/>
      <c r="D80" s="140"/>
      <c r="E80" s="140"/>
      <c r="F80" s="141"/>
      <c r="G80" s="142" t="s">
        <v>196</v>
      </c>
      <c r="H80" s="143"/>
      <c r="I80" s="143"/>
      <c r="J80" s="143"/>
      <c r="K80" s="143"/>
      <c r="L80" s="143"/>
      <c r="M80" s="143"/>
      <c r="N80" s="144"/>
      <c r="O80" s="79" t="s">
        <v>3193</v>
      </c>
      <c r="P80" s="145" t="s">
        <v>2823</v>
      </c>
      <c r="Q80" s="146"/>
      <c r="R80" s="146"/>
      <c r="S80" s="146"/>
      <c r="T80" s="146"/>
      <c r="U80" s="146"/>
      <c r="V80" s="146"/>
      <c r="W80" s="146"/>
      <c r="X80" s="146"/>
      <c r="Y80" s="146"/>
      <c r="Z80" s="146"/>
      <c r="AA80" s="146"/>
      <c r="AB80" s="146"/>
      <c r="AC80" s="146"/>
      <c r="AD80" s="147"/>
      <c r="AE80" s="148" t="str">
        <f t="shared" ca="1" si="37"/>
        <v>sny_202310_backup_text_mml_mmlps_medication</v>
      </c>
      <c r="AF80" s="149"/>
      <c r="AG80" s="149"/>
      <c r="AH80" s="149"/>
      <c r="AI80" s="149"/>
      <c r="AJ80" s="149"/>
      <c r="AK80" s="149"/>
      <c r="AL80" s="150"/>
      <c r="AM80" s="148" t="str">
        <f t="shared" ca="1" si="38"/>
        <v>MML_処方箋モジュール_投薬テーブルから組入れ条件の第一条件で絞り込んだ結果を格納するテーブル</v>
      </c>
      <c r="AN80" s="149"/>
      <c r="AO80" s="149"/>
      <c r="AP80" s="149"/>
      <c r="AQ80" s="149"/>
      <c r="AR80" s="149"/>
      <c r="AS80" s="149"/>
      <c r="AT80" s="149"/>
      <c r="AU80" s="149"/>
      <c r="AV80" s="149"/>
      <c r="AW80" s="149"/>
      <c r="AX80" s="149"/>
      <c r="AY80" s="149"/>
      <c r="AZ80" s="149"/>
      <c r="BA80" s="149"/>
      <c r="BB80" s="149"/>
      <c r="BC80" s="149"/>
      <c r="BD80" s="149"/>
      <c r="BE80" s="149"/>
      <c r="BF80" s="149"/>
      <c r="BG80" s="149"/>
      <c r="BH80" s="149"/>
      <c r="BI80" s="149"/>
      <c r="BJ80" s="151"/>
      <c r="BK80" s="32" t="str">
        <f t="shared" si="16"/>
        <v>ENT_01_A6-25_バックアップ_MML_処方箋モジュール_投薬.sql</v>
      </c>
      <c r="BL80" s="32">
        <v>1</v>
      </c>
    </row>
    <row r="81" spans="1:64" ht="37.5" customHeight="1" outlineLevel="1">
      <c r="A81" s="34" t="str">
        <f t="shared" si="36"/>
        <v>バックアップ_MML_処方箋モジュール_薬剤</v>
      </c>
      <c r="B81" s="139" t="str">
        <f t="shared" si="20"/>
        <v>01</v>
      </c>
      <c r="C81" s="140"/>
      <c r="D81" s="140"/>
      <c r="E81" s="140"/>
      <c r="F81" s="141"/>
      <c r="G81" s="142" t="s">
        <v>196</v>
      </c>
      <c r="H81" s="143"/>
      <c r="I81" s="143"/>
      <c r="J81" s="143"/>
      <c r="K81" s="143"/>
      <c r="L81" s="143"/>
      <c r="M81" s="143"/>
      <c r="N81" s="144"/>
      <c r="O81" s="79" t="s">
        <v>3194</v>
      </c>
      <c r="P81" s="145" t="s">
        <v>2859</v>
      </c>
      <c r="Q81" s="146"/>
      <c r="R81" s="146"/>
      <c r="S81" s="146"/>
      <c r="T81" s="146"/>
      <c r="U81" s="146"/>
      <c r="V81" s="146"/>
      <c r="W81" s="146"/>
      <c r="X81" s="146"/>
      <c r="Y81" s="146"/>
      <c r="Z81" s="146"/>
      <c r="AA81" s="146"/>
      <c r="AB81" s="146"/>
      <c r="AC81" s="146"/>
      <c r="AD81" s="147"/>
      <c r="AE81" s="148" t="str">
        <f t="shared" ca="1" si="37"/>
        <v>sny_202310_backup_text_mml_mmlps_medicine</v>
      </c>
      <c r="AF81" s="149"/>
      <c r="AG81" s="149"/>
      <c r="AH81" s="149"/>
      <c r="AI81" s="149"/>
      <c r="AJ81" s="149"/>
      <c r="AK81" s="149"/>
      <c r="AL81" s="150"/>
      <c r="AM81" s="148" t="str">
        <f t="shared" ca="1" si="38"/>
        <v>MML_処方箋モジュール_薬剤テーブルから組入れ条件の第一条件で絞り込んだ結果を格納するテーブル</v>
      </c>
      <c r="AN81" s="149"/>
      <c r="AO81" s="149"/>
      <c r="AP81" s="149"/>
      <c r="AQ81" s="149"/>
      <c r="AR81" s="149"/>
      <c r="AS81" s="149"/>
      <c r="AT81" s="149"/>
      <c r="AU81" s="149"/>
      <c r="AV81" s="149"/>
      <c r="AW81" s="149"/>
      <c r="AX81" s="149"/>
      <c r="AY81" s="149"/>
      <c r="AZ81" s="149"/>
      <c r="BA81" s="149"/>
      <c r="BB81" s="149"/>
      <c r="BC81" s="149"/>
      <c r="BD81" s="149"/>
      <c r="BE81" s="149"/>
      <c r="BF81" s="149"/>
      <c r="BG81" s="149"/>
      <c r="BH81" s="149"/>
      <c r="BI81" s="149"/>
      <c r="BJ81" s="151"/>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39" t="str">
        <f t="shared" si="20"/>
        <v>01</v>
      </c>
      <c r="C82" s="140"/>
      <c r="D82" s="140"/>
      <c r="E82" s="140"/>
      <c r="F82" s="141"/>
      <c r="G82" s="142" t="s">
        <v>196</v>
      </c>
      <c r="H82" s="143"/>
      <c r="I82" s="143"/>
      <c r="J82" s="143"/>
      <c r="K82" s="143"/>
      <c r="L82" s="143"/>
      <c r="M82" s="143"/>
      <c r="N82" s="144"/>
      <c r="O82" s="79" t="s">
        <v>3195</v>
      </c>
      <c r="P82" s="145" t="s">
        <v>2864</v>
      </c>
      <c r="Q82" s="146"/>
      <c r="R82" s="146"/>
      <c r="S82" s="146"/>
      <c r="T82" s="146"/>
      <c r="U82" s="146"/>
      <c r="V82" s="146"/>
      <c r="W82" s="146"/>
      <c r="X82" s="146"/>
      <c r="Y82" s="146"/>
      <c r="Z82" s="146"/>
      <c r="AA82" s="146"/>
      <c r="AB82" s="146"/>
      <c r="AC82" s="146"/>
      <c r="AD82" s="147"/>
      <c r="AE82" s="148" t="str">
        <f t="shared" ca="1" si="37"/>
        <v>sny_202310_backup_text_mml_mmlinj_body</v>
      </c>
      <c r="AF82" s="149"/>
      <c r="AG82" s="149"/>
      <c r="AH82" s="149"/>
      <c r="AI82" s="149"/>
      <c r="AJ82" s="149"/>
      <c r="AK82" s="149"/>
      <c r="AL82" s="150"/>
      <c r="AM82" s="148" t="str">
        <f t="shared" ca="1" si="38"/>
        <v>MML_注射記録モジュール_本文テーブルから組入れ条件の第一条件で絞り込んだ結果を格納するテーブル</v>
      </c>
      <c r="AN82" s="149"/>
      <c r="AO82" s="149"/>
      <c r="AP82" s="149"/>
      <c r="AQ82" s="149"/>
      <c r="AR82" s="149"/>
      <c r="AS82" s="149"/>
      <c r="AT82" s="149"/>
      <c r="AU82" s="149"/>
      <c r="AV82" s="149"/>
      <c r="AW82" s="149"/>
      <c r="AX82" s="149"/>
      <c r="AY82" s="149"/>
      <c r="AZ82" s="149"/>
      <c r="BA82" s="149"/>
      <c r="BB82" s="149"/>
      <c r="BC82" s="149"/>
      <c r="BD82" s="149"/>
      <c r="BE82" s="149"/>
      <c r="BF82" s="149"/>
      <c r="BG82" s="149"/>
      <c r="BH82" s="149"/>
      <c r="BI82" s="149"/>
      <c r="BJ82" s="151"/>
      <c r="BK82" s="32" t="str">
        <f t="shared" si="16"/>
        <v>ENT_01_A6-27_バックアップ_MML_注射記録モジュール_本文.sql</v>
      </c>
    </row>
    <row r="83" spans="1:64" ht="37.5" customHeight="1" outlineLevel="1">
      <c r="A83" s="34" t="str">
        <f t="shared" si="36"/>
        <v>バックアップ_MML_注射記録モジュール_投薬</v>
      </c>
      <c r="B83" s="139" t="str">
        <f t="shared" si="20"/>
        <v>01</v>
      </c>
      <c r="C83" s="140"/>
      <c r="D83" s="140"/>
      <c r="E83" s="140"/>
      <c r="F83" s="141"/>
      <c r="G83" s="142" t="s">
        <v>196</v>
      </c>
      <c r="H83" s="143"/>
      <c r="I83" s="143"/>
      <c r="J83" s="143"/>
      <c r="K83" s="143"/>
      <c r="L83" s="143"/>
      <c r="M83" s="143"/>
      <c r="N83" s="144"/>
      <c r="O83" s="79" t="s">
        <v>3196</v>
      </c>
      <c r="P83" s="145" t="s">
        <v>2873</v>
      </c>
      <c r="Q83" s="146"/>
      <c r="R83" s="146"/>
      <c r="S83" s="146"/>
      <c r="T83" s="146"/>
      <c r="U83" s="146"/>
      <c r="V83" s="146"/>
      <c r="W83" s="146"/>
      <c r="X83" s="146"/>
      <c r="Y83" s="146"/>
      <c r="Z83" s="146"/>
      <c r="AA83" s="146"/>
      <c r="AB83" s="146"/>
      <c r="AC83" s="146"/>
      <c r="AD83" s="147"/>
      <c r="AE83" s="148" t="str">
        <f t="shared" ca="1" si="37"/>
        <v>sny_202310_backup_text_mml_mmlinj_medication</v>
      </c>
      <c r="AF83" s="149"/>
      <c r="AG83" s="149"/>
      <c r="AH83" s="149"/>
      <c r="AI83" s="149"/>
      <c r="AJ83" s="149"/>
      <c r="AK83" s="149"/>
      <c r="AL83" s="150"/>
      <c r="AM83" s="148" t="str">
        <f t="shared" ca="1" si="38"/>
        <v>MML_注射記録モジュール_投薬テーブルから組入れ条件の第一条件で絞り込んだ結果を格納するテーブル</v>
      </c>
      <c r="AN83" s="149"/>
      <c r="AO83" s="149"/>
      <c r="AP83" s="149"/>
      <c r="AQ83" s="149"/>
      <c r="AR83" s="149"/>
      <c r="AS83" s="149"/>
      <c r="AT83" s="149"/>
      <c r="AU83" s="149"/>
      <c r="AV83" s="149"/>
      <c r="AW83" s="149"/>
      <c r="AX83" s="149"/>
      <c r="AY83" s="149"/>
      <c r="AZ83" s="149"/>
      <c r="BA83" s="149"/>
      <c r="BB83" s="149"/>
      <c r="BC83" s="149"/>
      <c r="BD83" s="149"/>
      <c r="BE83" s="149"/>
      <c r="BF83" s="149"/>
      <c r="BG83" s="149"/>
      <c r="BH83" s="149"/>
      <c r="BI83" s="149"/>
      <c r="BJ83" s="151"/>
      <c r="BK83" s="32" t="str">
        <f t="shared" si="16"/>
        <v>ENT_01_A6-28_バックアップ_MML_注射記録モジュール_投薬.sql</v>
      </c>
    </row>
    <row r="84" spans="1:64" ht="37.5" customHeight="1" outlineLevel="1">
      <c r="A84" s="34" t="str">
        <f t="shared" si="36"/>
        <v>バックアップ_MML_注射記録モジュール_薬剤</v>
      </c>
      <c r="B84" s="139" t="str">
        <f t="shared" si="20"/>
        <v>01</v>
      </c>
      <c r="C84" s="140"/>
      <c r="D84" s="140"/>
      <c r="E84" s="140"/>
      <c r="F84" s="141"/>
      <c r="G84" s="142" t="s">
        <v>196</v>
      </c>
      <c r="H84" s="143"/>
      <c r="I84" s="143"/>
      <c r="J84" s="143"/>
      <c r="K84" s="143"/>
      <c r="L84" s="143"/>
      <c r="M84" s="143"/>
      <c r="N84" s="144"/>
      <c r="O84" s="79" t="s">
        <v>3197</v>
      </c>
      <c r="P84" s="145" t="s">
        <v>2874</v>
      </c>
      <c r="Q84" s="146"/>
      <c r="R84" s="146"/>
      <c r="S84" s="146"/>
      <c r="T84" s="146"/>
      <c r="U84" s="146"/>
      <c r="V84" s="146"/>
      <c r="W84" s="146"/>
      <c r="X84" s="146"/>
      <c r="Y84" s="146"/>
      <c r="Z84" s="146"/>
      <c r="AA84" s="146"/>
      <c r="AB84" s="146"/>
      <c r="AC84" s="146"/>
      <c r="AD84" s="147"/>
      <c r="AE84" s="148" t="str">
        <f t="shared" ca="1" si="37"/>
        <v>sny_202310_backup_text_mml_mmlinj_medicine</v>
      </c>
      <c r="AF84" s="149"/>
      <c r="AG84" s="149"/>
      <c r="AH84" s="149"/>
      <c r="AI84" s="149"/>
      <c r="AJ84" s="149"/>
      <c r="AK84" s="149"/>
      <c r="AL84" s="150"/>
      <c r="AM84" s="148" t="str">
        <f t="shared" ca="1" si="38"/>
        <v>MML_注射記録モジュール_薬剤テーブルから組入れ条件の第一条件で絞り込んだ結果を格納するテーブル</v>
      </c>
      <c r="AN84" s="149"/>
      <c r="AO84" s="149"/>
      <c r="AP84" s="149"/>
      <c r="AQ84" s="149"/>
      <c r="AR84" s="149"/>
      <c r="AS84" s="149"/>
      <c r="AT84" s="149"/>
      <c r="AU84" s="149"/>
      <c r="AV84" s="149"/>
      <c r="AW84" s="149"/>
      <c r="AX84" s="149"/>
      <c r="AY84" s="149"/>
      <c r="AZ84" s="149"/>
      <c r="BA84" s="149"/>
      <c r="BB84" s="149"/>
      <c r="BC84" s="149"/>
      <c r="BD84" s="149"/>
      <c r="BE84" s="149"/>
      <c r="BF84" s="149"/>
      <c r="BG84" s="149"/>
      <c r="BH84" s="149"/>
      <c r="BI84" s="149"/>
      <c r="BJ84" s="151"/>
      <c r="BK84" s="32" t="str">
        <f t="shared" ref="BK84:BK206"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39" t="str">
        <f t="shared" si="20"/>
        <v>01</v>
      </c>
      <c r="C85" s="140"/>
      <c r="D85" s="140"/>
      <c r="E85" s="140"/>
      <c r="F85" s="141"/>
      <c r="G85" s="142" t="s">
        <v>196</v>
      </c>
      <c r="H85" s="143"/>
      <c r="I85" s="143"/>
      <c r="J85" s="143"/>
      <c r="K85" s="143"/>
      <c r="L85" s="143"/>
      <c r="M85" s="143"/>
      <c r="N85" s="144"/>
      <c r="O85" s="79" t="s">
        <v>3198</v>
      </c>
      <c r="P85" s="145" t="s">
        <v>2875</v>
      </c>
      <c r="Q85" s="146"/>
      <c r="R85" s="146"/>
      <c r="S85" s="146"/>
      <c r="T85" s="146"/>
      <c r="U85" s="146"/>
      <c r="V85" s="146"/>
      <c r="W85" s="146"/>
      <c r="X85" s="146"/>
      <c r="Y85" s="146"/>
      <c r="Z85" s="146"/>
      <c r="AA85" s="146"/>
      <c r="AB85" s="146"/>
      <c r="AC85" s="146"/>
      <c r="AD85" s="147"/>
      <c r="AE85" s="148" t="str">
        <f t="shared" ref="AE85:AE92" ca="1" si="45">IFERROR(INDIRECT(P85&amp;"!D8"),"")</f>
        <v>sny_202310_backup_text_mml_mmlsg_surgery_item</v>
      </c>
      <c r="AF85" s="149"/>
      <c r="AG85" s="149"/>
      <c r="AH85" s="149"/>
      <c r="AI85" s="149"/>
      <c r="AJ85" s="149"/>
      <c r="AK85" s="149"/>
      <c r="AL85" s="150"/>
      <c r="AM85" s="148" t="str">
        <f t="shared" ref="AM85:AM92" ca="1" si="46">IFERROR(INDIRECT(P85&amp;"!D9"),"")</f>
        <v>MML_手術モジュール_手術項目テーブルから組入れ条件の第一条件で絞り込んだ結果を格納するテーブル</v>
      </c>
      <c r="AN85" s="149"/>
      <c r="AO85" s="149"/>
      <c r="AP85" s="149"/>
      <c r="AQ85" s="149"/>
      <c r="AR85" s="149"/>
      <c r="AS85" s="149"/>
      <c r="AT85" s="149"/>
      <c r="AU85" s="149"/>
      <c r="AV85" s="149"/>
      <c r="AW85" s="149"/>
      <c r="AX85" s="149"/>
      <c r="AY85" s="149"/>
      <c r="AZ85" s="149"/>
      <c r="BA85" s="149"/>
      <c r="BB85" s="149"/>
      <c r="BC85" s="149"/>
      <c r="BD85" s="149"/>
      <c r="BE85" s="149"/>
      <c r="BF85" s="149"/>
      <c r="BG85" s="149"/>
      <c r="BH85" s="149"/>
      <c r="BI85" s="149"/>
      <c r="BJ85" s="151"/>
      <c r="BK85" s="32" t="str">
        <f t="shared" si="43"/>
        <v>ENT_01_A6-42_バックアップ_MML_手術モジュール_手術項目.sql</v>
      </c>
    </row>
    <row r="86" spans="1:64" ht="37.5" customHeight="1" outlineLevel="1">
      <c r="A86" s="34" t="str">
        <f t="shared" si="44"/>
        <v>バックアップ_MML_手術モジュール_診療科情報</v>
      </c>
      <c r="B86" s="139" t="str">
        <f t="shared" si="20"/>
        <v>01</v>
      </c>
      <c r="C86" s="140"/>
      <c r="D86" s="140"/>
      <c r="E86" s="140"/>
      <c r="F86" s="141"/>
      <c r="G86" s="142" t="s">
        <v>196</v>
      </c>
      <c r="H86" s="143"/>
      <c r="I86" s="143"/>
      <c r="J86" s="143"/>
      <c r="K86" s="143"/>
      <c r="L86" s="143"/>
      <c r="M86" s="143"/>
      <c r="N86" s="144"/>
      <c r="O86" s="79" t="s">
        <v>3199</v>
      </c>
      <c r="P86" s="145" t="s">
        <v>2894</v>
      </c>
      <c r="Q86" s="146"/>
      <c r="R86" s="146"/>
      <c r="S86" s="146"/>
      <c r="T86" s="146"/>
      <c r="U86" s="146"/>
      <c r="V86" s="146"/>
      <c r="W86" s="146"/>
      <c r="X86" s="146"/>
      <c r="Y86" s="146"/>
      <c r="Z86" s="146"/>
      <c r="AA86" s="146"/>
      <c r="AB86" s="146"/>
      <c r="AC86" s="146"/>
      <c r="AD86" s="147"/>
      <c r="AE86" s="148" t="str">
        <f t="shared" ca="1" si="45"/>
        <v>sny_202310_backup_text_mml_mmlsg_dp</v>
      </c>
      <c r="AF86" s="149"/>
      <c r="AG86" s="149"/>
      <c r="AH86" s="149"/>
      <c r="AI86" s="149"/>
      <c r="AJ86" s="149"/>
      <c r="AK86" s="149"/>
      <c r="AL86" s="150"/>
      <c r="AM86" s="148" t="str">
        <f t="shared" ca="1" si="46"/>
        <v>MML_手術モジュール_診療科情報テーブルから組入れ条件の第一条件で絞り込んだ結果を格納するテーブル</v>
      </c>
      <c r="AN86" s="149"/>
      <c r="AO86" s="149"/>
      <c r="AP86" s="149"/>
      <c r="AQ86" s="149"/>
      <c r="AR86" s="149"/>
      <c r="AS86" s="149"/>
      <c r="AT86" s="149"/>
      <c r="AU86" s="149"/>
      <c r="AV86" s="149"/>
      <c r="AW86" s="149"/>
      <c r="AX86" s="149"/>
      <c r="AY86" s="149"/>
      <c r="AZ86" s="149"/>
      <c r="BA86" s="149"/>
      <c r="BB86" s="149"/>
      <c r="BC86" s="149"/>
      <c r="BD86" s="149"/>
      <c r="BE86" s="149"/>
      <c r="BF86" s="149"/>
      <c r="BG86" s="149"/>
      <c r="BH86" s="149"/>
      <c r="BI86" s="149"/>
      <c r="BJ86" s="151"/>
      <c r="BK86" s="32" t="str">
        <f t="shared" si="43"/>
        <v>ENT_01_A6-43_バックアップ_MML_手術モジュール_診療科情報.sql</v>
      </c>
    </row>
    <row r="87" spans="1:64" ht="37.5" customHeight="1" outlineLevel="1">
      <c r="A87" s="34" t="str">
        <f t="shared" si="44"/>
        <v>バックアップ_MML_手術モジュール_診断履歴情報</v>
      </c>
      <c r="B87" s="139" t="str">
        <f t="shared" si="20"/>
        <v>01</v>
      </c>
      <c r="C87" s="140"/>
      <c r="D87" s="140"/>
      <c r="E87" s="140"/>
      <c r="F87" s="141"/>
      <c r="G87" s="142" t="s">
        <v>196</v>
      </c>
      <c r="H87" s="143"/>
      <c r="I87" s="143"/>
      <c r="J87" s="143"/>
      <c r="K87" s="143"/>
      <c r="L87" s="143"/>
      <c r="M87" s="143"/>
      <c r="N87" s="144"/>
      <c r="O87" s="79" t="s">
        <v>3200</v>
      </c>
      <c r="P87" s="145" t="s">
        <v>2919</v>
      </c>
      <c r="Q87" s="146"/>
      <c r="R87" s="146"/>
      <c r="S87" s="146"/>
      <c r="T87" s="146"/>
      <c r="U87" s="146"/>
      <c r="V87" s="146"/>
      <c r="W87" s="146"/>
      <c r="X87" s="146"/>
      <c r="Y87" s="146"/>
      <c r="Z87" s="146"/>
      <c r="AA87" s="146"/>
      <c r="AB87" s="146"/>
      <c r="AC87" s="146"/>
      <c r="AD87" s="147"/>
      <c r="AE87" s="148" t="str">
        <f t="shared" ca="1" si="45"/>
        <v>sny_202310_backup_text_mml_mmlsg_rd</v>
      </c>
      <c r="AF87" s="149"/>
      <c r="AG87" s="149"/>
      <c r="AH87" s="149"/>
      <c r="AI87" s="149"/>
      <c r="AJ87" s="149"/>
      <c r="AK87" s="149"/>
      <c r="AL87" s="150"/>
      <c r="AM87" s="148" t="str">
        <f t="shared" ca="1" si="46"/>
        <v>MML_手術モジュール_診断履歴情報テーブルから組入れ条件の第一条件で絞り込んだ結果を格納するテーブル</v>
      </c>
      <c r="AN87" s="149"/>
      <c r="AO87" s="149"/>
      <c r="AP87" s="149"/>
      <c r="AQ87" s="149"/>
      <c r="AR87" s="149"/>
      <c r="AS87" s="149"/>
      <c r="AT87" s="149"/>
      <c r="AU87" s="149"/>
      <c r="AV87" s="149"/>
      <c r="AW87" s="149"/>
      <c r="AX87" s="149"/>
      <c r="AY87" s="149"/>
      <c r="AZ87" s="149"/>
      <c r="BA87" s="149"/>
      <c r="BB87" s="149"/>
      <c r="BC87" s="149"/>
      <c r="BD87" s="149"/>
      <c r="BE87" s="149"/>
      <c r="BF87" s="149"/>
      <c r="BG87" s="149"/>
      <c r="BH87" s="149"/>
      <c r="BI87" s="149"/>
      <c r="BJ87" s="151"/>
      <c r="BK87" s="32" t="str">
        <f t="shared" si="43"/>
        <v>ENT_01_A6-44_バックアップ_MML_手術モジュール_診断履歴情報.sql</v>
      </c>
    </row>
    <row r="88" spans="1:64" ht="37.5" customHeight="1" outlineLevel="1">
      <c r="A88" s="34" t="str">
        <f t="shared" si="44"/>
        <v>バックアップ_MML_手術モジュール_病名</v>
      </c>
      <c r="B88" s="139" t="str">
        <f t="shared" si="20"/>
        <v>01</v>
      </c>
      <c r="C88" s="140"/>
      <c r="D88" s="140"/>
      <c r="E88" s="140"/>
      <c r="F88" s="141"/>
      <c r="G88" s="142" t="s">
        <v>196</v>
      </c>
      <c r="H88" s="143"/>
      <c r="I88" s="143"/>
      <c r="J88" s="143"/>
      <c r="K88" s="143"/>
      <c r="L88" s="143"/>
      <c r="M88" s="143"/>
      <c r="N88" s="144"/>
      <c r="O88" s="79" t="s">
        <v>3201</v>
      </c>
      <c r="P88" s="145" t="s">
        <v>2922</v>
      </c>
      <c r="Q88" s="146"/>
      <c r="R88" s="146"/>
      <c r="S88" s="146"/>
      <c r="T88" s="146"/>
      <c r="U88" s="146"/>
      <c r="V88" s="146"/>
      <c r="W88" s="146"/>
      <c r="X88" s="146"/>
      <c r="Y88" s="146"/>
      <c r="Z88" s="146"/>
      <c r="AA88" s="146"/>
      <c r="AB88" s="146"/>
      <c r="AC88" s="146"/>
      <c r="AD88" s="147"/>
      <c r="AE88" s="148" t="str">
        <f t="shared" ca="1" si="45"/>
        <v>sny_202310_backup_text_mml_mmlsg_rd_byomei</v>
      </c>
      <c r="AF88" s="149"/>
      <c r="AG88" s="149"/>
      <c r="AH88" s="149"/>
      <c r="AI88" s="149"/>
      <c r="AJ88" s="149"/>
      <c r="AK88" s="149"/>
      <c r="AL88" s="150"/>
      <c r="AM88" s="148" t="str">
        <f t="shared" ca="1" si="46"/>
        <v>MML_手術モジュール_病名テーブルから組入れ条件の第一条件で絞り込んだ結果を格納するテーブル</v>
      </c>
      <c r="AN88" s="149"/>
      <c r="AO88" s="149"/>
      <c r="AP88" s="149"/>
      <c r="AQ88" s="149"/>
      <c r="AR88" s="149"/>
      <c r="AS88" s="149"/>
      <c r="AT88" s="149"/>
      <c r="AU88" s="149"/>
      <c r="AV88" s="149"/>
      <c r="AW88" s="149"/>
      <c r="AX88" s="149"/>
      <c r="AY88" s="149"/>
      <c r="AZ88" s="149"/>
      <c r="BA88" s="149"/>
      <c r="BB88" s="149"/>
      <c r="BC88" s="149"/>
      <c r="BD88" s="149"/>
      <c r="BE88" s="149"/>
      <c r="BF88" s="149"/>
      <c r="BG88" s="149"/>
      <c r="BH88" s="149"/>
      <c r="BI88" s="149"/>
      <c r="BJ88" s="151"/>
      <c r="BK88" s="32" t="str">
        <f t="shared" si="43"/>
        <v>ENT_01_A6-45_バックアップ_MML_手術モジュール_病名.sql</v>
      </c>
    </row>
    <row r="89" spans="1:64" ht="37.5" customHeight="1" outlineLevel="1">
      <c r="A89" s="34" t="str">
        <f t="shared" si="44"/>
        <v>バックアップ_MML_手術モジュール_カテゴリ名</v>
      </c>
      <c r="B89" s="139" t="str">
        <f t="shared" si="20"/>
        <v>01</v>
      </c>
      <c r="C89" s="140"/>
      <c r="D89" s="140"/>
      <c r="E89" s="140"/>
      <c r="F89" s="141"/>
      <c r="G89" s="142" t="s">
        <v>196</v>
      </c>
      <c r="H89" s="143"/>
      <c r="I89" s="143"/>
      <c r="J89" s="143"/>
      <c r="K89" s="143"/>
      <c r="L89" s="143"/>
      <c r="M89" s="143"/>
      <c r="N89" s="144"/>
      <c r="O89" s="79" t="s">
        <v>3202</v>
      </c>
      <c r="P89" s="145" t="s">
        <v>2923</v>
      </c>
      <c r="Q89" s="146"/>
      <c r="R89" s="146"/>
      <c r="S89" s="146"/>
      <c r="T89" s="146"/>
      <c r="U89" s="146"/>
      <c r="V89" s="146"/>
      <c r="W89" s="146"/>
      <c r="X89" s="146"/>
      <c r="Y89" s="146"/>
      <c r="Z89" s="146"/>
      <c r="AA89" s="146"/>
      <c r="AB89" s="146"/>
      <c r="AC89" s="146"/>
      <c r="AD89" s="147"/>
      <c r="AE89" s="148" t="str">
        <f t="shared" ca="1" si="45"/>
        <v>sny_202310_backup_text_mml_mmlsg_rd_category</v>
      </c>
      <c r="AF89" s="149"/>
      <c r="AG89" s="149"/>
      <c r="AH89" s="149"/>
      <c r="AI89" s="149"/>
      <c r="AJ89" s="149"/>
      <c r="AK89" s="149"/>
      <c r="AL89" s="150"/>
      <c r="AM89" s="148" t="str">
        <f t="shared" ca="1" si="46"/>
        <v>MML_手術モジュール_カテゴリ名テーブルから組入れ条件の第一条件で絞り込んだ結果を格納するテーブル</v>
      </c>
      <c r="AN89" s="149"/>
      <c r="AO89" s="149"/>
      <c r="AP89" s="149"/>
      <c r="AQ89" s="149"/>
      <c r="AR89" s="149"/>
      <c r="AS89" s="149"/>
      <c r="AT89" s="149"/>
      <c r="AU89" s="149"/>
      <c r="AV89" s="149"/>
      <c r="AW89" s="149"/>
      <c r="AX89" s="149"/>
      <c r="AY89" s="149"/>
      <c r="AZ89" s="149"/>
      <c r="BA89" s="149"/>
      <c r="BB89" s="149"/>
      <c r="BC89" s="149"/>
      <c r="BD89" s="149"/>
      <c r="BE89" s="149"/>
      <c r="BF89" s="149"/>
      <c r="BG89" s="149"/>
      <c r="BH89" s="149"/>
      <c r="BI89" s="149"/>
      <c r="BJ89" s="151"/>
      <c r="BK89" s="32" t="str">
        <f t="shared" si="43"/>
        <v>ENT_01_A6-46_バックアップ_MML_手術モジュール_カテゴリ名.sql</v>
      </c>
    </row>
    <row r="90" spans="1:64" ht="37.5" customHeight="1" outlineLevel="1">
      <c r="A90" s="34" t="str">
        <f t="shared" si="44"/>
        <v>バックアップ_MML_手術モジュール_手術法</v>
      </c>
      <c r="B90" s="139" t="str">
        <f t="shared" si="20"/>
        <v>01</v>
      </c>
      <c r="C90" s="140"/>
      <c r="D90" s="140"/>
      <c r="E90" s="140"/>
      <c r="F90" s="141"/>
      <c r="G90" s="142" t="s">
        <v>196</v>
      </c>
      <c r="H90" s="143"/>
      <c r="I90" s="143"/>
      <c r="J90" s="143"/>
      <c r="K90" s="143"/>
      <c r="L90" s="143"/>
      <c r="M90" s="143"/>
      <c r="N90" s="144"/>
      <c r="O90" s="79" t="s">
        <v>3203</v>
      </c>
      <c r="P90" s="145" t="s">
        <v>2924</v>
      </c>
      <c r="Q90" s="146"/>
      <c r="R90" s="146"/>
      <c r="S90" s="146"/>
      <c r="T90" s="146"/>
      <c r="U90" s="146"/>
      <c r="V90" s="146"/>
      <c r="W90" s="146"/>
      <c r="X90" s="146"/>
      <c r="Y90" s="146"/>
      <c r="Z90" s="146"/>
      <c r="AA90" s="146"/>
      <c r="AB90" s="146"/>
      <c r="AC90" s="146"/>
      <c r="AD90" s="147"/>
      <c r="AE90" s="148" t="str">
        <f t="shared" ca="1" si="45"/>
        <v>sny_202310_backup_text_mml_mmlsg_procedure_item</v>
      </c>
      <c r="AF90" s="149"/>
      <c r="AG90" s="149"/>
      <c r="AH90" s="149"/>
      <c r="AI90" s="149"/>
      <c r="AJ90" s="149"/>
      <c r="AK90" s="149"/>
      <c r="AL90" s="150"/>
      <c r="AM90" s="148" t="str">
        <f t="shared" ca="1" si="46"/>
        <v>MML_手術モジュール_手術法テーブルから組入れ条件の第一条件で絞り込んだ結果を格納するテーブル</v>
      </c>
      <c r="AN90" s="149"/>
      <c r="AO90" s="149"/>
      <c r="AP90" s="149"/>
      <c r="AQ90" s="149"/>
      <c r="AR90" s="149"/>
      <c r="AS90" s="149"/>
      <c r="AT90" s="149"/>
      <c r="AU90" s="149"/>
      <c r="AV90" s="149"/>
      <c r="AW90" s="149"/>
      <c r="AX90" s="149"/>
      <c r="AY90" s="149"/>
      <c r="AZ90" s="149"/>
      <c r="BA90" s="149"/>
      <c r="BB90" s="149"/>
      <c r="BC90" s="149"/>
      <c r="BD90" s="149"/>
      <c r="BE90" s="149"/>
      <c r="BF90" s="149"/>
      <c r="BG90" s="149"/>
      <c r="BH90" s="149"/>
      <c r="BI90" s="149"/>
      <c r="BJ90" s="151"/>
      <c r="BK90" s="32" t="str">
        <f t="shared" si="43"/>
        <v>ENT_01_A6-47_バックアップ_MML_手術モジュール_手術法.sql</v>
      </c>
    </row>
    <row r="91" spans="1:64" ht="37.5" customHeight="1" outlineLevel="1">
      <c r="A91" s="34" t="str">
        <f t="shared" si="44"/>
        <v>バックアップ_MML_手術モジュール_手術要素</v>
      </c>
      <c r="B91" s="139" t="str">
        <f t="shared" si="20"/>
        <v>01</v>
      </c>
      <c r="C91" s="140"/>
      <c r="D91" s="140"/>
      <c r="E91" s="140"/>
      <c r="F91" s="141"/>
      <c r="G91" s="142" t="s">
        <v>196</v>
      </c>
      <c r="H91" s="143"/>
      <c r="I91" s="143"/>
      <c r="J91" s="143"/>
      <c r="K91" s="143"/>
      <c r="L91" s="143"/>
      <c r="M91" s="143"/>
      <c r="N91" s="144"/>
      <c r="O91" s="79" t="s">
        <v>3204</v>
      </c>
      <c r="P91" s="145" t="s">
        <v>2933</v>
      </c>
      <c r="Q91" s="146"/>
      <c r="R91" s="146"/>
      <c r="S91" s="146"/>
      <c r="T91" s="146"/>
      <c r="U91" s="146"/>
      <c r="V91" s="146"/>
      <c r="W91" s="146"/>
      <c r="X91" s="146"/>
      <c r="Y91" s="146"/>
      <c r="Z91" s="146"/>
      <c r="AA91" s="146"/>
      <c r="AB91" s="146"/>
      <c r="AC91" s="146"/>
      <c r="AD91" s="147"/>
      <c r="AE91" s="148" t="str">
        <f t="shared" ca="1" si="45"/>
        <v>sny_202310_backup_text_mml_mmlsg_operation_element</v>
      </c>
      <c r="AF91" s="149"/>
      <c r="AG91" s="149"/>
      <c r="AH91" s="149"/>
      <c r="AI91" s="149"/>
      <c r="AJ91" s="149"/>
      <c r="AK91" s="149"/>
      <c r="AL91" s="150"/>
      <c r="AM91" s="148" t="str">
        <f t="shared" ca="1" si="46"/>
        <v>MML_手術モジュール_手術要素テーブルから組入れ条件の第一条件で絞り込んだ結果を格納するテーブル</v>
      </c>
      <c r="AN91" s="149"/>
      <c r="AO91" s="149"/>
      <c r="AP91" s="149"/>
      <c r="AQ91" s="149"/>
      <c r="AR91" s="149"/>
      <c r="AS91" s="149"/>
      <c r="AT91" s="149"/>
      <c r="AU91" s="149"/>
      <c r="AV91" s="149"/>
      <c r="AW91" s="149"/>
      <c r="AX91" s="149"/>
      <c r="AY91" s="149"/>
      <c r="AZ91" s="149"/>
      <c r="BA91" s="149"/>
      <c r="BB91" s="149"/>
      <c r="BC91" s="149"/>
      <c r="BD91" s="149"/>
      <c r="BE91" s="149"/>
      <c r="BF91" s="149"/>
      <c r="BG91" s="149"/>
      <c r="BH91" s="149"/>
      <c r="BI91" s="149"/>
      <c r="BJ91" s="151"/>
      <c r="BK91" s="32" t="str">
        <f t="shared" si="43"/>
        <v>ENT_01_A6-48_バックアップ_MML_手術モジュール_手術要素.sql</v>
      </c>
    </row>
    <row r="92" spans="1:64" ht="37.5" customHeight="1" outlineLevel="1">
      <c r="A92" s="34" t="str">
        <f t="shared" si="44"/>
        <v>バックアップ_MML_手術モジュール_麻酔法</v>
      </c>
      <c r="B92" s="139" t="str">
        <f t="shared" si="20"/>
        <v>01</v>
      </c>
      <c r="C92" s="140"/>
      <c r="D92" s="140"/>
      <c r="E92" s="140"/>
      <c r="F92" s="141"/>
      <c r="G92" s="142" t="s">
        <v>196</v>
      </c>
      <c r="H92" s="143"/>
      <c r="I92" s="143"/>
      <c r="J92" s="143"/>
      <c r="K92" s="143"/>
      <c r="L92" s="143"/>
      <c r="M92" s="143"/>
      <c r="N92" s="144"/>
      <c r="O92" s="79" t="s">
        <v>3205</v>
      </c>
      <c r="P92" s="145" t="s">
        <v>2937</v>
      </c>
      <c r="Q92" s="146"/>
      <c r="R92" s="146"/>
      <c r="S92" s="146"/>
      <c r="T92" s="146"/>
      <c r="U92" s="146"/>
      <c r="V92" s="146"/>
      <c r="W92" s="146"/>
      <c r="X92" s="146"/>
      <c r="Y92" s="146"/>
      <c r="Z92" s="146"/>
      <c r="AA92" s="146"/>
      <c r="AB92" s="146"/>
      <c r="AC92" s="146"/>
      <c r="AD92" s="147"/>
      <c r="AE92" s="148" t="str">
        <f t="shared" ca="1" si="45"/>
        <v>sny_202310_backup_text_mml_mmlsg_anesthesia_procedure</v>
      </c>
      <c r="AF92" s="149"/>
      <c r="AG92" s="149"/>
      <c r="AH92" s="149"/>
      <c r="AI92" s="149"/>
      <c r="AJ92" s="149"/>
      <c r="AK92" s="149"/>
      <c r="AL92" s="150"/>
      <c r="AM92" s="148" t="str">
        <f t="shared" ca="1" si="46"/>
        <v>MML_手術モジュール_麻酔法テーブルから組入れ条件の第一条件で絞り込んだ結果を格納するテーブル</v>
      </c>
      <c r="AN92" s="149"/>
      <c r="AO92" s="149"/>
      <c r="AP92" s="149"/>
      <c r="AQ92" s="149"/>
      <c r="AR92" s="149"/>
      <c r="AS92" s="149"/>
      <c r="AT92" s="149"/>
      <c r="AU92" s="149"/>
      <c r="AV92" s="149"/>
      <c r="AW92" s="149"/>
      <c r="AX92" s="149"/>
      <c r="AY92" s="149"/>
      <c r="AZ92" s="149"/>
      <c r="BA92" s="149"/>
      <c r="BB92" s="149"/>
      <c r="BC92" s="149"/>
      <c r="BD92" s="149"/>
      <c r="BE92" s="149"/>
      <c r="BF92" s="149"/>
      <c r="BG92" s="149"/>
      <c r="BH92" s="149"/>
      <c r="BI92" s="149"/>
      <c r="BJ92" s="151"/>
      <c r="BK92" s="32" t="str">
        <f t="shared" si="43"/>
        <v>ENT_01_A6-49_バックアップ_MML_手術モジュール_麻酔法.sql</v>
      </c>
    </row>
    <row r="93" spans="1:64" ht="37.5" customHeight="1" outlineLevel="1">
      <c r="A93" s="34" t="str">
        <f t="shared" si="36"/>
        <v>バックアップ_MML_報告書情報モジュール_本文</v>
      </c>
      <c r="B93" s="139" t="str">
        <f t="shared" si="20"/>
        <v>01</v>
      </c>
      <c r="C93" s="140"/>
      <c r="D93" s="140"/>
      <c r="E93" s="140"/>
      <c r="F93" s="141"/>
      <c r="G93" s="142" t="s">
        <v>196</v>
      </c>
      <c r="H93" s="143"/>
      <c r="I93" s="143"/>
      <c r="J93" s="143"/>
      <c r="K93" s="143"/>
      <c r="L93" s="143"/>
      <c r="M93" s="143"/>
      <c r="N93" s="144"/>
      <c r="O93" s="79" t="s">
        <v>3206</v>
      </c>
      <c r="P93" s="145" t="s">
        <v>2944</v>
      </c>
      <c r="Q93" s="146"/>
      <c r="R93" s="146"/>
      <c r="S93" s="146"/>
      <c r="T93" s="146"/>
      <c r="U93" s="146"/>
      <c r="V93" s="146"/>
      <c r="W93" s="146"/>
      <c r="X93" s="146"/>
      <c r="Y93" s="146"/>
      <c r="Z93" s="146"/>
      <c r="AA93" s="146"/>
      <c r="AB93" s="146"/>
      <c r="AC93" s="146"/>
      <c r="AD93" s="147"/>
      <c r="AE93" s="148" t="str">
        <f t="shared" ca="1" si="37"/>
        <v>sny_202310_backup_text_mml_mmlrp_body</v>
      </c>
      <c r="AF93" s="149"/>
      <c r="AG93" s="149"/>
      <c r="AH93" s="149"/>
      <c r="AI93" s="149"/>
      <c r="AJ93" s="149"/>
      <c r="AK93" s="149"/>
      <c r="AL93" s="150"/>
      <c r="AM93" s="148" t="str">
        <f t="shared" ca="1" si="38"/>
        <v>MML_報告書情報モジュール_本文テーブルから組入れ条件の第一条件で絞り込んだ結果を格納するテーブル</v>
      </c>
      <c r="AN93" s="149"/>
      <c r="AO93" s="149"/>
      <c r="AP93" s="149"/>
      <c r="AQ93" s="149"/>
      <c r="AR93" s="149"/>
      <c r="AS93" s="149"/>
      <c r="AT93" s="149"/>
      <c r="AU93" s="149"/>
      <c r="AV93" s="149"/>
      <c r="AW93" s="149"/>
      <c r="AX93" s="149"/>
      <c r="AY93" s="149"/>
      <c r="AZ93" s="149"/>
      <c r="BA93" s="149"/>
      <c r="BB93" s="149"/>
      <c r="BC93" s="149"/>
      <c r="BD93" s="149"/>
      <c r="BE93" s="149"/>
      <c r="BF93" s="149"/>
      <c r="BG93" s="149"/>
      <c r="BH93" s="149"/>
      <c r="BI93" s="149"/>
      <c r="BJ93" s="151"/>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39" t="str">
        <f t="shared" si="20"/>
        <v>01</v>
      </c>
      <c r="C94" s="140"/>
      <c r="D94" s="140"/>
      <c r="E94" s="140"/>
      <c r="F94" s="141"/>
      <c r="G94" s="142" t="s">
        <v>196</v>
      </c>
      <c r="H94" s="143"/>
      <c r="I94" s="143"/>
      <c r="J94" s="143"/>
      <c r="K94" s="143"/>
      <c r="L94" s="143"/>
      <c r="M94" s="143"/>
      <c r="N94" s="144"/>
      <c r="O94" s="79" t="s">
        <v>3207</v>
      </c>
      <c r="P94" s="145" t="s">
        <v>3002</v>
      </c>
      <c r="Q94" s="146"/>
      <c r="R94" s="146"/>
      <c r="S94" s="146"/>
      <c r="T94" s="146"/>
      <c r="U94" s="146"/>
      <c r="V94" s="146"/>
      <c r="W94" s="146"/>
      <c r="X94" s="146"/>
      <c r="Y94" s="146"/>
      <c r="Z94" s="146"/>
      <c r="AA94" s="146"/>
      <c r="AB94" s="146"/>
      <c r="AC94" s="146"/>
      <c r="AD94" s="147"/>
      <c r="AE94" s="148" t="str">
        <f t="shared" ca="1" si="37"/>
        <v>sny_202310_backup_text_mml_mmlrp_test_memo</v>
      </c>
      <c r="AF94" s="149"/>
      <c r="AG94" s="149"/>
      <c r="AH94" s="149"/>
      <c r="AI94" s="149"/>
      <c r="AJ94" s="149"/>
      <c r="AK94" s="149"/>
      <c r="AL94" s="150"/>
      <c r="AM94" s="148" t="str">
        <f t="shared" ca="1" si="38"/>
        <v>MML_報告書情報モジュール_検査コメントテーブルから組入れ条件の第一条件で絞り込んだ結果を格納するテーブル</v>
      </c>
      <c r="AN94" s="149"/>
      <c r="AO94" s="149"/>
      <c r="AP94" s="149"/>
      <c r="AQ94" s="149"/>
      <c r="AR94" s="149"/>
      <c r="AS94" s="149"/>
      <c r="AT94" s="149"/>
      <c r="AU94" s="149"/>
      <c r="AV94" s="149"/>
      <c r="AW94" s="149"/>
      <c r="AX94" s="149"/>
      <c r="AY94" s="149"/>
      <c r="AZ94" s="149"/>
      <c r="BA94" s="149"/>
      <c r="BB94" s="149"/>
      <c r="BC94" s="149"/>
      <c r="BD94" s="149"/>
      <c r="BE94" s="149"/>
      <c r="BF94" s="149"/>
      <c r="BG94" s="149"/>
      <c r="BH94" s="149"/>
      <c r="BI94" s="149"/>
      <c r="BJ94" s="151"/>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39" t="str">
        <f t="shared" si="20"/>
        <v>01</v>
      </c>
      <c r="C95" s="140"/>
      <c r="D95" s="140"/>
      <c r="E95" s="140"/>
      <c r="F95" s="141"/>
      <c r="G95" s="142" t="s">
        <v>196</v>
      </c>
      <c r="H95" s="143"/>
      <c r="I95" s="143"/>
      <c r="J95" s="143"/>
      <c r="K95" s="143"/>
      <c r="L95" s="143"/>
      <c r="M95" s="143"/>
      <c r="N95" s="144"/>
      <c r="O95" s="79" t="s">
        <v>3208</v>
      </c>
      <c r="P95" s="145" t="s">
        <v>3220</v>
      </c>
      <c r="Q95" s="146"/>
      <c r="R95" s="146"/>
      <c r="S95" s="146"/>
      <c r="T95" s="146"/>
      <c r="U95" s="146"/>
      <c r="V95" s="146"/>
      <c r="W95" s="146"/>
      <c r="X95" s="146"/>
      <c r="Y95" s="146"/>
      <c r="Z95" s="146"/>
      <c r="AA95" s="146"/>
      <c r="AB95" s="146"/>
      <c r="AC95" s="146"/>
      <c r="AD95" s="147"/>
      <c r="AE95" s="148" t="str">
        <f t="shared" ref="AE95:AE103" ca="1" si="48">IFERROR(INDIRECT(P95&amp;"!D8"),"")</f>
        <v>sny_202310_backup_text_mml_mmlls_body</v>
      </c>
      <c r="AF95" s="149"/>
      <c r="AG95" s="149"/>
      <c r="AH95" s="149"/>
      <c r="AI95" s="149"/>
      <c r="AJ95" s="149"/>
      <c r="AK95" s="149"/>
      <c r="AL95" s="150"/>
      <c r="AM95" s="148" t="str">
        <f t="shared" ref="AM95:AM103" ca="1" si="49">IFERROR(INDIRECT(P95&amp;"!D9"),"")</f>
        <v>MML_生活習慣情報モジュール_本文テーブルから組入れ条件の第一条件で絞り込んだ結果を格納するテーブル</v>
      </c>
      <c r="AN95" s="149"/>
      <c r="AO95" s="149"/>
      <c r="AP95" s="149"/>
      <c r="AQ95" s="149"/>
      <c r="AR95" s="149"/>
      <c r="AS95" s="149"/>
      <c r="AT95" s="149"/>
      <c r="AU95" s="149"/>
      <c r="AV95" s="149"/>
      <c r="AW95" s="149"/>
      <c r="AX95" s="149"/>
      <c r="AY95" s="149"/>
      <c r="AZ95" s="149"/>
      <c r="BA95" s="149"/>
      <c r="BB95" s="149"/>
      <c r="BC95" s="149"/>
      <c r="BD95" s="149"/>
      <c r="BE95" s="149"/>
      <c r="BF95" s="149"/>
      <c r="BG95" s="149"/>
      <c r="BH95" s="149"/>
      <c r="BI95" s="149"/>
      <c r="BJ95" s="151"/>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39" t="str">
        <f t="shared" si="20"/>
        <v>01</v>
      </c>
      <c r="C96" s="140"/>
      <c r="D96" s="140"/>
      <c r="E96" s="140"/>
      <c r="F96" s="141"/>
      <c r="G96" s="142" t="s">
        <v>196</v>
      </c>
      <c r="H96" s="143"/>
      <c r="I96" s="143"/>
      <c r="J96" s="143"/>
      <c r="K96" s="143"/>
      <c r="L96" s="143"/>
      <c r="M96" s="143"/>
      <c r="N96" s="144"/>
      <c r="O96" s="79" t="s">
        <v>3209</v>
      </c>
      <c r="P96" s="145" t="s">
        <v>3013</v>
      </c>
      <c r="Q96" s="146"/>
      <c r="R96" s="146"/>
      <c r="S96" s="146"/>
      <c r="T96" s="146"/>
      <c r="U96" s="146"/>
      <c r="V96" s="146"/>
      <c r="W96" s="146"/>
      <c r="X96" s="146"/>
      <c r="Y96" s="146"/>
      <c r="Z96" s="146"/>
      <c r="AA96" s="146"/>
      <c r="AB96" s="146"/>
      <c r="AC96" s="146"/>
      <c r="AD96" s="147"/>
      <c r="AE96" s="148" t="str">
        <f t="shared" ref="AE96" ca="1" si="51">IFERROR(INDIRECT(P96&amp;"!D8"),"")</f>
        <v>sny_202310_backup_text_mml_mmlre_body</v>
      </c>
      <c r="AF96" s="149"/>
      <c r="AG96" s="149"/>
      <c r="AH96" s="149"/>
      <c r="AI96" s="149"/>
      <c r="AJ96" s="149"/>
      <c r="AK96" s="149"/>
      <c r="AL96" s="150"/>
      <c r="AM96" s="148" t="str">
        <f t="shared" ref="AM96" ca="1" si="52">IFERROR(INDIRECT(P96&amp;"!D9"),"")</f>
        <v>MML_紹介状モジュール_本文テーブルから組入れ条件の第一条件で絞り込んだ結果を格納するテーブル</v>
      </c>
      <c r="AN96" s="149"/>
      <c r="AO96" s="149"/>
      <c r="AP96" s="149"/>
      <c r="AQ96" s="149"/>
      <c r="AR96" s="149"/>
      <c r="AS96" s="149"/>
      <c r="AT96" s="149"/>
      <c r="AU96" s="149"/>
      <c r="AV96" s="149"/>
      <c r="AW96" s="149"/>
      <c r="AX96" s="149"/>
      <c r="AY96" s="149"/>
      <c r="AZ96" s="149"/>
      <c r="BA96" s="149"/>
      <c r="BB96" s="149"/>
      <c r="BC96" s="149"/>
      <c r="BD96" s="149"/>
      <c r="BE96" s="149"/>
      <c r="BF96" s="149"/>
      <c r="BG96" s="149"/>
      <c r="BH96" s="149"/>
      <c r="BI96" s="149"/>
      <c r="BJ96" s="151"/>
      <c r="BK96" s="32" t="str">
        <f t="shared" si="43"/>
        <v>ENT_01_A6-53_バックアップ_MML_紹介状モジュール_本文.sql</v>
      </c>
    </row>
    <row r="97" spans="1:64" ht="37.5" customHeight="1" outlineLevel="1">
      <c r="A97" s="34" t="str">
        <f t="shared" ref="A97" si="53">P97</f>
        <v>バックアップ_MML_紹介状モジュール_注射記録</v>
      </c>
      <c r="B97" s="139" t="str">
        <f t="shared" si="20"/>
        <v>01</v>
      </c>
      <c r="C97" s="140"/>
      <c r="D97" s="140"/>
      <c r="E97" s="140"/>
      <c r="F97" s="141"/>
      <c r="G97" s="142" t="s">
        <v>196</v>
      </c>
      <c r="H97" s="143"/>
      <c r="I97" s="143"/>
      <c r="J97" s="143"/>
      <c r="K97" s="143"/>
      <c r="L97" s="143"/>
      <c r="M97" s="143"/>
      <c r="N97" s="144"/>
      <c r="O97" s="79" t="s">
        <v>3210</v>
      </c>
      <c r="P97" s="145" t="s">
        <v>3042</v>
      </c>
      <c r="Q97" s="146"/>
      <c r="R97" s="146"/>
      <c r="S97" s="146"/>
      <c r="T97" s="146"/>
      <c r="U97" s="146"/>
      <c r="V97" s="146"/>
      <c r="W97" s="146"/>
      <c r="X97" s="146"/>
      <c r="Y97" s="146"/>
      <c r="Z97" s="146"/>
      <c r="AA97" s="146"/>
      <c r="AB97" s="146"/>
      <c r="AC97" s="146"/>
      <c r="AD97" s="147"/>
      <c r="AE97" s="148" t="str">
        <f t="shared" ref="AE97" ca="1" si="54">IFERROR(INDIRECT(P97&amp;"!D8"),"")</f>
        <v>sny_202310_backup_text_mml_mmlre_inj</v>
      </c>
      <c r="AF97" s="149"/>
      <c r="AG97" s="149"/>
      <c r="AH97" s="149"/>
      <c r="AI97" s="149"/>
      <c r="AJ97" s="149"/>
      <c r="AK97" s="149"/>
      <c r="AL97" s="150"/>
      <c r="AM97" s="148" t="str">
        <f t="shared" ref="AM97" ca="1" si="55">IFERROR(INDIRECT(P97&amp;"!D9"),"")</f>
        <v>MML_紹介状モジュール_注射記録テーブルから組入れ条件の第一条件で絞り込んだ結果を格納するテーブル</v>
      </c>
      <c r="AN97" s="149"/>
      <c r="AO97" s="149"/>
      <c r="AP97" s="149"/>
      <c r="AQ97" s="149"/>
      <c r="AR97" s="149"/>
      <c r="AS97" s="149"/>
      <c r="AT97" s="149"/>
      <c r="AU97" s="149"/>
      <c r="AV97" s="149"/>
      <c r="AW97" s="149"/>
      <c r="AX97" s="149"/>
      <c r="AY97" s="149"/>
      <c r="AZ97" s="149"/>
      <c r="BA97" s="149"/>
      <c r="BB97" s="149"/>
      <c r="BC97" s="149"/>
      <c r="BD97" s="149"/>
      <c r="BE97" s="149"/>
      <c r="BF97" s="149"/>
      <c r="BG97" s="149"/>
      <c r="BH97" s="149"/>
      <c r="BI97" s="149"/>
      <c r="BJ97" s="151"/>
      <c r="BK97" s="32" t="str">
        <f t="shared" si="43"/>
        <v>ENT_01_A6-54_バックアップ_MML_紹介状モジュール_注射記録.sql</v>
      </c>
    </row>
    <row r="98" spans="1:64" ht="37.5" customHeight="1" outlineLevel="1">
      <c r="A98" s="34" t="str">
        <f t="shared" si="47"/>
        <v>バックアップ_MML_紹介状モジュール_注射記録投薬</v>
      </c>
      <c r="B98" s="139" t="str">
        <f t="shared" si="20"/>
        <v>01</v>
      </c>
      <c r="C98" s="140"/>
      <c r="D98" s="140"/>
      <c r="E98" s="140"/>
      <c r="F98" s="141"/>
      <c r="G98" s="142" t="s">
        <v>196</v>
      </c>
      <c r="H98" s="143"/>
      <c r="I98" s="143"/>
      <c r="J98" s="143"/>
      <c r="K98" s="143"/>
      <c r="L98" s="143"/>
      <c r="M98" s="143"/>
      <c r="N98" s="144"/>
      <c r="O98" s="79" t="s">
        <v>3211</v>
      </c>
      <c r="P98" s="145" t="s">
        <v>3043</v>
      </c>
      <c r="Q98" s="146"/>
      <c r="R98" s="146"/>
      <c r="S98" s="146"/>
      <c r="T98" s="146"/>
      <c r="U98" s="146"/>
      <c r="V98" s="146"/>
      <c r="W98" s="146"/>
      <c r="X98" s="146"/>
      <c r="Y98" s="146"/>
      <c r="Z98" s="146"/>
      <c r="AA98" s="146"/>
      <c r="AB98" s="146"/>
      <c r="AC98" s="146"/>
      <c r="AD98" s="147"/>
      <c r="AE98" s="148" t="str">
        <f t="shared" ca="1" si="48"/>
        <v>sny_202310_backup_text_mml_mmlre_inj_medication</v>
      </c>
      <c r="AF98" s="149"/>
      <c r="AG98" s="149"/>
      <c r="AH98" s="149"/>
      <c r="AI98" s="149"/>
      <c r="AJ98" s="149"/>
      <c r="AK98" s="149"/>
      <c r="AL98" s="150"/>
      <c r="AM98" s="148" t="str">
        <f t="shared" ca="1" si="49"/>
        <v>MML_紹介状モジュール_注射記録投薬テーブルから組入れ条件の第一条件で絞り込んだ結果を格納するテーブル</v>
      </c>
      <c r="AN98" s="149"/>
      <c r="AO98" s="149"/>
      <c r="AP98" s="149"/>
      <c r="AQ98" s="149"/>
      <c r="AR98" s="149"/>
      <c r="AS98" s="149"/>
      <c r="AT98" s="149"/>
      <c r="AU98" s="149"/>
      <c r="AV98" s="149"/>
      <c r="AW98" s="149"/>
      <c r="AX98" s="149"/>
      <c r="AY98" s="149"/>
      <c r="AZ98" s="149"/>
      <c r="BA98" s="149"/>
      <c r="BB98" s="149"/>
      <c r="BC98" s="149"/>
      <c r="BD98" s="149"/>
      <c r="BE98" s="149"/>
      <c r="BF98" s="149"/>
      <c r="BG98" s="149"/>
      <c r="BH98" s="149"/>
      <c r="BI98" s="149"/>
      <c r="BJ98" s="151"/>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39" t="str">
        <f t="shared" si="20"/>
        <v>01</v>
      </c>
      <c r="C99" s="140"/>
      <c r="D99" s="140"/>
      <c r="E99" s="140"/>
      <c r="F99" s="141"/>
      <c r="G99" s="142" t="s">
        <v>196</v>
      </c>
      <c r="H99" s="143"/>
      <c r="I99" s="143"/>
      <c r="J99" s="143"/>
      <c r="K99" s="143"/>
      <c r="L99" s="143"/>
      <c r="M99" s="143"/>
      <c r="N99" s="144"/>
      <c r="O99" s="79" t="s">
        <v>3212</v>
      </c>
      <c r="P99" s="145" t="s">
        <v>3046</v>
      </c>
      <c r="Q99" s="146"/>
      <c r="R99" s="146"/>
      <c r="S99" s="146"/>
      <c r="T99" s="146"/>
      <c r="U99" s="146"/>
      <c r="V99" s="146"/>
      <c r="W99" s="146"/>
      <c r="X99" s="146"/>
      <c r="Y99" s="146"/>
      <c r="Z99" s="146"/>
      <c r="AA99" s="146"/>
      <c r="AB99" s="146"/>
      <c r="AC99" s="146"/>
      <c r="AD99" s="147"/>
      <c r="AE99" s="148" t="str">
        <f t="shared" ca="1" si="48"/>
        <v>sny_202310_backup_text_mml_mmlre_inj_medicine</v>
      </c>
      <c r="AF99" s="149"/>
      <c r="AG99" s="149"/>
      <c r="AH99" s="149"/>
      <c r="AI99" s="149"/>
      <c r="AJ99" s="149"/>
      <c r="AK99" s="149"/>
      <c r="AL99" s="150"/>
      <c r="AM99" s="148" t="str">
        <f t="shared" ca="1" si="49"/>
        <v>MML_紹介状モジュール_注射記録薬剤テーブルから組入れ条件の第一条件で絞り込んだ結果を格納するテーブル</v>
      </c>
      <c r="AN99" s="149"/>
      <c r="AO99" s="149"/>
      <c r="AP99" s="149"/>
      <c r="AQ99" s="149"/>
      <c r="AR99" s="149"/>
      <c r="AS99" s="149"/>
      <c r="AT99" s="149"/>
      <c r="AU99" s="149"/>
      <c r="AV99" s="149"/>
      <c r="AW99" s="149"/>
      <c r="AX99" s="149"/>
      <c r="AY99" s="149"/>
      <c r="AZ99" s="149"/>
      <c r="BA99" s="149"/>
      <c r="BB99" s="149"/>
      <c r="BC99" s="149"/>
      <c r="BD99" s="149"/>
      <c r="BE99" s="149"/>
      <c r="BF99" s="149"/>
      <c r="BG99" s="149"/>
      <c r="BH99" s="149"/>
      <c r="BI99" s="149"/>
      <c r="BJ99" s="151"/>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39" t="str">
        <f t="shared" si="20"/>
        <v>01</v>
      </c>
      <c r="C100" s="140"/>
      <c r="D100" s="140"/>
      <c r="E100" s="140"/>
      <c r="F100" s="141"/>
      <c r="G100" s="142" t="s">
        <v>196</v>
      </c>
      <c r="H100" s="143"/>
      <c r="I100" s="143"/>
      <c r="J100" s="143"/>
      <c r="K100" s="143"/>
      <c r="L100" s="143"/>
      <c r="M100" s="143"/>
      <c r="N100" s="144"/>
      <c r="O100" s="79" t="s">
        <v>3213</v>
      </c>
      <c r="P100" s="145" t="s">
        <v>3047</v>
      </c>
      <c r="Q100" s="146"/>
      <c r="R100" s="146"/>
      <c r="S100" s="146"/>
      <c r="T100" s="146"/>
      <c r="U100" s="146"/>
      <c r="V100" s="146"/>
      <c r="W100" s="146"/>
      <c r="X100" s="146"/>
      <c r="Y100" s="146"/>
      <c r="Z100" s="146"/>
      <c r="AA100" s="146"/>
      <c r="AB100" s="146"/>
      <c r="AC100" s="146"/>
      <c r="AD100" s="147"/>
      <c r="AE100" s="148" t="str">
        <f t="shared" ca="1" si="48"/>
        <v>sny_202310_backup_text_mml_mmlre_pi</v>
      </c>
      <c r="AF100" s="149"/>
      <c r="AG100" s="149"/>
      <c r="AH100" s="149"/>
      <c r="AI100" s="149"/>
      <c r="AJ100" s="149"/>
      <c r="AK100" s="149"/>
      <c r="AL100" s="150"/>
      <c r="AM100" s="148" t="str">
        <f t="shared" ca="1" si="49"/>
        <v>MML_紹介状モジュール_患者情報テーブルから組入れ条件の第一条件で絞り込んだ結果を格納するテーブル</v>
      </c>
      <c r="AN100" s="149"/>
      <c r="AO100" s="149"/>
      <c r="AP100" s="149"/>
      <c r="AQ100" s="149"/>
      <c r="AR100" s="149"/>
      <c r="AS100" s="149"/>
      <c r="AT100" s="149"/>
      <c r="AU100" s="149"/>
      <c r="AV100" s="149"/>
      <c r="AW100" s="149"/>
      <c r="AX100" s="149"/>
      <c r="AY100" s="149"/>
      <c r="AZ100" s="149"/>
      <c r="BA100" s="149"/>
      <c r="BB100" s="149"/>
      <c r="BC100" s="149"/>
      <c r="BD100" s="149"/>
      <c r="BE100" s="149"/>
      <c r="BF100" s="149"/>
      <c r="BG100" s="149"/>
      <c r="BH100" s="149"/>
      <c r="BI100" s="149"/>
      <c r="BJ100" s="151"/>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39" t="str">
        <f t="shared" si="20"/>
        <v>01</v>
      </c>
      <c r="C101" s="140"/>
      <c r="D101" s="140"/>
      <c r="E101" s="140"/>
      <c r="F101" s="141"/>
      <c r="G101" s="142" t="s">
        <v>196</v>
      </c>
      <c r="H101" s="143"/>
      <c r="I101" s="143"/>
      <c r="J101" s="143"/>
      <c r="K101" s="143"/>
      <c r="L101" s="143"/>
      <c r="M101" s="143"/>
      <c r="N101" s="144"/>
      <c r="O101" s="79" t="s">
        <v>3214</v>
      </c>
      <c r="P101" s="145" t="s">
        <v>3057</v>
      </c>
      <c r="Q101" s="146"/>
      <c r="R101" s="146"/>
      <c r="S101" s="146"/>
      <c r="T101" s="146"/>
      <c r="U101" s="146"/>
      <c r="V101" s="146"/>
      <c r="W101" s="146"/>
      <c r="X101" s="146"/>
      <c r="Y101" s="146"/>
      <c r="Z101" s="146"/>
      <c r="AA101" s="146"/>
      <c r="AB101" s="146"/>
      <c r="AC101" s="146"/>
      <c r="AD101" s="147"/>
      <c r="AE101" s="148" t="str">
        <f t="shared" ca="1" si="48"/>
        <v>sny_202310_backup_text_mml_mmlre_pi_address</v>
      </c>
      <c r="AF101" s="149"/>
      <c r="AG101" s="149"/>
      <c r="AH101" s="149"/>
      <c r="AI101" s="149"/>
      <c r="AJ101" s="149"/>
      <c r="AK101" s="149"/>
      <c r="AL101" s="150"/>
      <c r="AM101" s="148" t="str">
        <f t="shared" ca="1" si="49"/>
        <v>MML_紹介状モジュール_患者情報住所テーブルから組入れ条件の第一条件で絞り込んだ結果を格納するテーブル</v>
      </c>
      <c r="AN101" s="149"/>
      <c r="AO101" s="149"/>
      <c r="AP101" s="149"/>
      <c r="AQ101" s="149"/>
      <c r="AR101" s="149"/>
      <c r="AS101" s="149"/>
      <c r="AT101" s="149"/>
      <c r="AU101" s="149"/>
      <c r="AV101" s="149"/>
      <c r="AW101" s="149"/>
      <c r="AX101" s="149"/>
      <c r="AY101" s="149"/>
      <c r="AZ101" s="149"/>
      <c r="BA101" s="149"/>
      <c r="BB101" s="149"/>
      <c r="BC101" s="149"/>
      <c r="BD101" s="149"/>
      <c r="BE101" s="149"/>
      <c r="BF101" s="149"/>
      <c r="BG101" s="149"/>
      <c r="BH101" s="149"/>
      <c r="BI101" s="149"/>
      <c r="BJ101" s="151"/>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39" t="str">
        <f t="shared" si="20"/>
        <v>01</v>
      </c>
      <c r="C102" s="140"/>
      <c r="D102" s="140"/>
      <c r="E102" s="140"/>
      <c r="F102" s="141"/>
      <c r="G102" s="142" t="s">
        <v>196</v>
      </c>
      <c r="H102" s="143"/>
      <c r="I102" s="143"/>
      <c r="J102" s="143"/>
      <c r="K102" s="143"/>
      <c r="L102" s="143"/>
      <c r="M102" s="143"/>
      <c r="N102" s="144"/>
      <c r="O102" s="79" t="s">
        <v>3215</v>
      </c>
      <c r="P102" s="145" t="s">
        <v>3075</v>
      </c>
      <c r="Q102" s="146"/>
      <c r="R102" s="146"/>
      <c r="S102" s="146"/>
      <c r="T102" s="146"/>
      <c r="U102" s="146"/>
      <c r="V102" s="146"/>
      <c r="W102" s="146"/>
      <c r="X102" s="146"/>
      <c r="Y102" s="146"/>
      <c r="Z102" s="146"/>
      <c r="AA102" s="146"/>
      <c r="AB102" s="146"/>
      <c r="AC102" s="146"/>
      <c r="AD102" s="147"/>
      <c r="AE102" s="148" t="str">
        <f t="shared" ca="1" si="48"/>
        <v>sny_202310_backup_text_mml_mmlre_ps</v>
      </c>
      <c r="AF102" s="149"/>
      <c r="AG102" s="149"/>
      <c r="AH102" s="149"/>
      <c r="AI102" s="149"/>
      <c r="AJ102" s="149"/>
      <c r="AK102" s="149"/>
      <c r="AL102" s="150"/>
      <c r="AM102" s="148" t="str">
        <f t="shared" ca="1" si="49"/>
        <v>MML_紹介状モジュール_処方箋テーブルから組入れ条件の第一条件で絞り込んだ結果を格納するテーブル</v>
      </c>
      <c r="AN102" s="149"/>
      <c r="AO102" s="149"/>
      <c r="AP102" s="149"/>
      <c r="AQ102" s="149"/>
      <c r="AR102" s="149"/>
      <c r="AS102" s="149"/>
      <c r="AT102" s="149"/>
      <c r="AU102" s="149"/>
      <c r="AV102" s="149"/>
      <c r="AW102" s="149"/>
      <c r="AX102" s="149"/>
      <c r="AY102" s="149"/>
      <c r="AZ102" s="149"/>
      <c r="BA102" s="149"/>
      <c r="BB102" s="149"/>
      <c r="BC102" s="149"/>
      <c r="BD102" s="149"/>
      <c r="BE102" s="149"/>
      <c r="BF102" s="149"/>
      <c r="BG102" s="149"/>
      <c r="BH102" s="149"/>
      <c r="BI102" s="149"/>
      <c r="BJ102" s="151"/>
      <c r="BK102" s="32" t="str">
        <f t="shared" si="43"/>
        <v>ENT_01_A6-59_バックアップ_MML_紹介状モジュール_処方箋.sql</v>
      </c>
    </row>
    <row r="103" spans="1:64" ht="37.5" customHeight="1" outlineLevel="1">
      <c r="A103" s="34" t="str">
        <f t="shared" si="47"/>
        <v>バックアップ_MML_紹介状モジュール_処方箋投薬</v>
      </c>
      <c r="B103" s="139" t="str">
        <f t="shared" si="20"/>
        <v>01</v>
      </c>
      <c r="C103" s="140"/>
      <c r="D103" s="140"/>
      <c r="E103" s="140"/>
      <c r="F103" s="141"/>
      <c r="G103" s="142" t="s">
        <v>196</v>
      </c>
      <c r="H103" s="143"/>
      <c r="I103" s="143"/>
      <c r="J103" s="143"/>
      <c r="K103" s="143"/>
      <c r="L103" s="143"/>
      <c r="M103" s="143"/>
      <c r="N103" s="144"/>
      <c r="O103" s="79" t="s">
        <v>3216</v>
      </c>
      <c r="P103" s="145" t="s">
        <v>3076</v>
      </c>
      <c r="Q103" s="146"/>
      <c r="R103" s="146"/>
      <c r="S103" s="146"/>
      <c r="T103" s="146"/>
      <c r="U103" s="146"/>
      <c r="V103" s="146"/>
      <c r="W103" s="146"/>
      <c r="X103" s="146"/>
      <c r="Y103" s="146"/>
      <c r="Z103" s="146"/>
      <c r="AA103" s="146"/>
      <c r="AB103" s="146"/>
      <c r="AC103" s="146"/>
      <c r="AD103" s="147"/>
      <c r="AE103" s="148" t="str">
        <f t="shared" ca="1" si="48"/>
        <v>sny_202310_backup_text_mml_mmlre_ps_medication</v>
      </c>
      <c r="AF103" s="149"/>
      <c r="AG103" s="149"/>
      <c r="AH103" s="149"/>
      <c r="AI103" s="149"/>
      <c r="AJ103" s="149"/>
      <c r="AK103" s="149"/>
      <c r="AL103" s="150"/>
      <c r="AM103" s="148" t="str">
        <f t="shared" ca="1" si="49"/>
        <v>MML_紹介状モジュール_処方箋投薬テーブルから組入れ条件の第一条件で絞り込んだ結果を格納するテーブル</v>
      </c>
      <c r="AN103" s="149"/>
      <c r="AO103" s="149"/>
      <c r="AP103" s="149"/>
      <c r="AQ103" s="149"/>
      <c r="AR103" s="149"/>
      <c r="AS103" s="149"/>
      <c r="AT103" s="149"/>
      <c r="AU103" s="149"/>
      <c r="AV103" s="149"/>
      <c r="AW103" s="149"/>
      <c r="AX103" s="149"/>
      <c r="AY103" s="149"/>
      <c r="AZ103" s="149"/>
      <c r="BA103" s="149"/>
      <c r="BB103" s="149"/>
      <c r="BC103" s="149"/>
      <c r="BD103" s="149"/>
      <c r="BE103" s="149"/>
      <c r="BF103" s="149"/>
      <c r="BG103" s="149"/>
      <c r="BH103" s="149"/>
      <c r="BI103" s="149"/>
      <c r="BJ103" s="151"/>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39" t="str">
        <f t="shared" si="20"/>
        <v>01</v>
      </c>
      <c r="C104" s="140"/>
      <c r="D104" s="140"/>
      <c r="E104" s="140"/>
      <c r="F104" s="141"/>
      <c r="G104" s="142" t="s">
        <v>196</v>
      </c>
      <c r="H104" s="143"/>
      <c r="I104" s="143"/>
      <c r="J104" s="143"/>
      <c r="K104" s="143"/>
      <c r="L104" s="143"/>
      <c r="M104" s="143"/>
      <c r="N104" s="144"/>
      <c r="O104" s="79" t="s">
        <v>3217</v>
      </c>
      <c r="P104" s="145" t="s">
        <v>3077</v>
      </c>
      <c r="Q104" s="146"/>
      <c r="R104" s="146"/>
      <c r="S104" s="146"/>
      <c r="T104" s="146"/>
      <c r="U104" s="146"/>
      <c r="V104" s="146"/>
      <c r="W104" s="146"/>
      <c r="X104" s="146"/>
      <c r="Y104" s="146"/>
      <c r="Z104" s="146"/>
      <c r="AA104" s="146"/>
      <c r="AB104" s="146"/>
      <c r="AC104" s="146"/>
      <c r="AD104" s="147"/>
      <c r="AE104" s="148" t="str">
        <f t="shared" ca="1" si="37"/>
        <v>sny_202310_backup_text_mml_mmlre_ps_medicine</v>
      </c>
      <c r="AF104" s="149"/>
      <c r="AG104" s="149"/>
      <c r="AH104" s="149"/>
      <c r="AI104" s="149"/>
      <c r="AJ104" s="149"/>
      <c r="AK104" s="149"/>
      <c r="AL104" s="150"/>
      <c r="AM104" s="148" t="str">
        <f t="shared" ca="1" si="38"/>
        <v>MML_紹介状モジュール_処方箋薬剤テーブルから組入れ条件の第一条件で絞り込んだ結果を格納するテーブル</v>
      </c>
      <c r="AN104" s="149"/>
      <c r="AO104" s="149"/>
      <c r="AP104" s="149"/>
      <c r="AQ104" s="149"/>
      <c r="AR104" s="149"/>
      <c r="AS104" s="149"/>
      <c r="AT104" s="149"/>
      <c r="AU104" s="149"/>
      <c r="AV104" s="149"/>
      <c r="AW104" s="149"/>
      <c r="AX104" s="149"/>
      <c r="AY104" s="149"/>
      <c r="AZ104" s="149"/>
      <c r="BA104" s="149"/>
      <c r="BB104" s="149"/>
      <c r="BC104" s="149"/>
      <c r="BD104" s="149"/>
      <c r="BE104" s="149"/>
      <c r="BF104" s="149"/>
      <c r="BG104" s="149"/>
      <c r="BH104" s="149"/>
      <c r="BI104" s="149"/>
      <c r="BJ104" s="151"/>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39" t="str">
        <f t="shared" si="20"/>
        <v>01</v>
      </c>
      <c r="C105" s="140"/>
      <c r="D105" s="140"/>
      <c r="E105" s="140"/>
      <c r="F105" s="141"/>
      <c r="G105" s="142" t="s">
        <v>196</v>
      </c>
      <c r="H105" s="143"/>
      <c r="I105" s="143"/>
      <c r="J105" s="143"/>
      <c r="K105" s="143"/>
      <c r="L105" s="143"/>
      <c r="M105" s="143"/>
      <c r="N105" s="144"/>
      <c r="O105" s="79" t="s">
        <v>3218</v>
      </c>
      <c r="P105" s="145" t="s">
        <v>3078</v>
      </c>
      <c r="Q105" s="146"/>
      <c r="R105" s="146"/>
      <c r="S105" s="146"/>
      <c r="T105" s="146"/>
      <c r="U105" s="146"/>
      <c r="V105" s="146"/>
      <c r="W105" s="146"/>
      <c r="X105" s="146"/>
      <c r="Y105" s="146"/>
      <c r="Z105" s="146"/>
      <c r="AA105" s="146"/>
      <c r="AB105" s="146"/>
      <c r="AC105" s="146"/>
      <c r="AD105" s="147"/>
      <c r="AE105" s="148" t="s">
        <v>3087</v>
      </c>
      <c r="AF105" s="149"/>
      <c r="AG105" s="149"/>
      <c r="AH105" s="149"/>
      <c r="AI105" s="149"/>
      <c r="AJ105" s="149"/>
      <c r="AK105" s="149"/>
      <c r="AL105" s="150"/>
      <c r="AM105" s="148" t="s">
        <v>3088</v>
      </c>
      <c r="AN105" s="149"/>
      <c r="AO105" s="149"/>
      <c r="AP105" s="149"/>
      <c r="AQ105" s="149"/>
      <c r="AR105" s="149"/>
      <c r="AS105" s="149"/>
      <c r="AT105" s="149"/>
      <c r="AU105" s="149"/>
      <c r="AV105" s="149"/>
      <c r="AW105" s="149"/>
      <c r="AX105" s="149"/>
      <c r="AY105" s="149"/>
      <c r="AZ105" s="149"/>
      <c r="BA105" s="149"/>
      <c r="BB105" s="149"/>
      <c r="BC105" s="149"/>
      <c r="BD105" s="149"/>
      <c r="BE105" s="149"/>
      <c r="BF105" s="149"/>
      <c r="BG105" s="149"/>
      <c r="BH105" s="149"/>
      <c r="BI105" s="149"/>
      <c r="BJ105" s="151"/>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39" t="str">
        <f t="shared" si="20"/>
        <v>01</v>
      </c>
      <c r="C106" s="140"/>
      <c r="D106" s="140"/>
      <c r="E106" s="140"/>
      <c r="F106" s="141"/>
      <c r="G106" s="142" t="s">
        <v>196</v>
      </c>
      <c r="H106" s="143"/>
      <c r="I106" s="143"/>
      <c r="J106" s="143"/>
      <c r="K106" s="143"/>
      <c r="L106" s="143"/>
      <c r="M106" s="143"/>
      <c r="N106" s="144"/>
      <c r="O106" s="79" t="s">
        <v>3219</v>
      </c>
      <c r="P106" s="145" t="s">
        <v>3089</v>
      </c>
      <c r="Q106" s="146"/>
      <c r="R106" s="146"/>
      <c r="S106" s="146"/>
      <c r="T106" s="146"/>
      <c r="U106" s="146"/>
      <c r="V106" s="146"/>
      <c r="W106" s="146"/>
      <c r="X106" s="146"/>
      <c r="Y106" s="146"/>
      <c r="Z106" s="146"/>
      <c r="AA106" s="146"/>
      <c r="AB106" s="146"/>
      <c r="AC106" s="146"/>
      <c r="AD106" s="147"/>
      <c r="AE106" s="148" t="str">
        <f t="shared" ref="AE106" ca="1" si="58">IFERROR(INDIRECT(P106&amp;"!D8"),"")</f>
        <v>sny_202310_backup_text_mml_mmlre_dp</v>
      </c>
      <c r="AF106" s="149"/>
      <c r="AG106" s="149"/>
      <c r="AH106" s="149"/>
      <c r="AI106" s="149"/>
      <c r="AJ106" s="149"/>
      <c r="AK106" s="149"/>
      <c r="AL106" s="150"/>
      <c r="AM106" s="148" t="str">
        <f t="shared" ref="AM106" ca="1" si="59">IFERROR(INDIRECT(P106&amp;"!D9"),"")</f>
        <v>MML_紹介状モジュール_診療科情報テーブルから組入れ条件の第一条件で絞り込んだ結果を格納するテーブル</v>
      </c>
      <c r="AN106" s="149"/>
      <c r="AO106" s="149"/>
      <c r="AP106" s="149"/>
      <c r="AQ106" s="149"/>
      <c r="AR106" s="149"/>
      <c r="AS106" s="149"/>
      <c r="AT106" s="149"/>
      <c r="AU106" s="149"/>
      <c r="AV106" s="149"/>
      <c r="AW106" s="149"/>
      <c r="AX106" s="149"/>
      <c r="AY106" s="149"/>
      <c r="AZ106" s="149"/>
      <c r="BA106" s="149"/>
      <c r="BB106" s="149"/>
      <c r="BC106" s="149"/>
      <c r="BD106" s="149"/>
      <c r="BE106" s="149"/>
      <c r="BF106" s="149"/>
      <c r="BG106" s="149"/>
      <c r="BH106" s="149"/>
      <c r="BI106" s="149"/>
      <c r="BJ106" s="151"/>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39" t="str">
        <f>TEXT(1,"00")</f>
        <v>01</v>
      </c>
      <c r="C107" s="140"/>
      <c r="D107" s="140"/>
      <c r="E107" s="140"/>
      <c r="F107" s="141"/>
      <c r="G107" s="142" t="s">
        <v>196</v>
      </c>
      <c r="H107" s="143"/>
      <c r="I107" s="143"/>
      <c r="J107" s="143"/>
      <c r="K107" s="143"/>
      <c r="L107" s="143"/>
      <c r="M107" s="143"/>
      <c r="N107" s="144"/>
      <c r="O107" s="90" t="s">
        <v>3090</v>
      </c>
      <c r="P107" s="180" t="s">
        <v>191</v>
      </c>
      <c r="Q107" s="181"/>
      <c r="R107" s="181"/>
      <c r="S107" s="181"/>
      <c r="T107" s="181"/>
      <c r="U107" s="181"/>
      <c r="V107" s="181"/>
      <c r="W107" s="181"/>
      <c r="X107" s="181"/>
      <c r="Y107" s="181"/>
      <c r="Z107" s="181"/>
      <c r="AA107" s="181"/>
      <c r="AB107" s="181"/>
      <c r="AC107" s="181"/>
      <c r="AD107" s="182"/>
      <c r="AE107" s="177" t="str">
        <f t="shared" ref="AE107:AE112" ca="1" si="61">IFERROR(INDIRECT(P107&amp;"!D8"),"")</f>
        <v>sny_202310_backup_merge_dpc_dn</v>
      </c>
      <c r="AF107" s="178"/>
      <c r="AG107" s="178"/>
      <c r="AH107" s="178"/>
      <c r="AI107" s="178"/>
      <c r="AJ107" s="178"/>
      <c r="AK107" s="178"/>
      <c r="AL107" s="183"/>
      <c r="AM107" s="177" t="str">
        <f t="shared" ref="AM107:AM112" ca="1" si="62">IFERROR(INDIRECT(P107&amp;"!D9"),"")</f>
        <v>DPC調査データ_Dファイルテーブルから組入れ条件の第一条件で絞り込んだ結果を格納するテーブル</v>
      </c>
      <c r="AN107" s="178"/>
      <c r="AO107" s="178"/>
      <c r="AP107" s="178"/>
      <c r="AQ107" s="178"/>
      <c r="AR107" s="178"/>
      <c r="AS107" s="178"/>
      <c r="AT107" s="178"/>
      <c r="AU107" s="178"/>
      <c r="AV107" s="178"/>
      <c r="AW107" s="178"/>
      <c r="AX107" s="178"/>
      <c r="AY107" s="178"/>
      <c r="AZ107" s="178"/>
      <c r="BA107" s="178"/>
      <c r="BB107" s="178"/>
      <c r="BC107" s="178"/>
      <c r="BD107" s="178"/>
      <c r="BE107" s="178"/>
      <c r="BF107" s="178"/>
      <c r="BG107" s="178"/>
      <c r="BH107" s="178"/>
      <c r="BI107" s="178"/>
      <c r="BJ107" s="179"/>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39" t="str">
        <f>TEXT(1,"00")</f>
        <v>01</v>
      </c>
      <c r="C108" s="140"/>
      <c r="D108" s="140"/>
      <c r="E108" s="140"/>
      <c r="F108" s="141"/>
      <c r="G108" s="142" t="s">
        <v>196</v>
      </c>
      <c r="H108" s="143"/>
      <c r="I108" s="143"/>
      <c r="J108" s="143"/>
      <c r="K108" s="143"/>
      <c r="L108" s="143"/>
      <c r="M108" s="143"/>
      <c r="N108" s="144"/>
      <c r="O108" s="79" t="s">
        <v>3091</v>
      </c>
      <c r="P108" s="145" t="s">
        <v>192</v>
      </c>
      <c r="Q108" s="146"/>
      <c r="R108" s="146"/>
      <c r="S108" s="146"/>
      <c r="T108" s="146"/>
      <c r="U108" s="146"/>
      <c r="V108" s="146"/>
      <c r="W108" s="146"/>
      <c r="X108" s="146"/>
      <c r="Y108" s="146"/>
      <c r="Z108" s="146"/>
      <c r="AA108" s="146"/>
      <c r="AB108" s="146"/>
      <c r="AC108" s="146"/>
      <c r="AD108" s="147"/>
      <c r="AE108" s="148" t="str">
        <f t="shared" ca="1" si="61"/>
        <v>sny_202310_backup_merge_dpc_efn</v>
      </c>
      <c r="AF108" s="149"/>
      <c r="AG108" s="149"/>
      <c r="AH108" s="149"/>
      <c r="AI108" s="149"/>
      <c r="AJ108" s="149"/>
      <c r="AK108" s="149"/>
      <c r="AL108" s="150"/>
      <c r="AM108" s="148" t="str">
        <f t="shared" ca="1" si="62"/>
        <v>DPC調査データ_入院EF統合ファイルテーブルから組入れ条件の第一条件で絞り込んだ結果を格納するテーブル</v>
      </c>
      <c r="AN108" s="149"/>
      <c r="AO108" s="149"/>
      <c r="AP108" s="149"/>
      <c r="AQ108" s="149"/>
      <c r="AR108" s="149"/>
      <c r="AS108" s="149"/>
      <c r="AT108" s="149"/>
      <c r="AU108" s="149"/>
      <c r="AV108" s="149"/>
      <c r="AW108" s="149"/>
      <c r="AX108" s="149"/>
      <c r="AY108" s="149"/>
      <c r="AZ108" s="149"/>
      <c r="BA108" s="149"/>
      <c r="BB108" s="149"/>
      <c r="BC108" s="149"/>
      <c r="BD108" s="149"/>
      <c r="BE108" s="149"/>
      <c r="BF108" s="149"/>
      <c r="BG108" s="149"/>
      <c r="BH108" s="149"/>
      <c r="BI108" s="149"/>
      <c r="BJ108" s="151"/>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39" t="str">
        <f t="shared" ref="B109:B112" si="64">TEXT(1,"00")</f>
        <v>01</v>
      </c>
      <c r="C109" s="140"/>
      <c r="D109" s="140"/>
      <c r="E109" s="140"/>
      <c r="F109" s="141"/>
      <c r="G109" s="142" t="s">
        <v>196</v>
      </c>
      <c r="H109" s="143"/>
      <c r="I109" s="143"/>
      <c r="J109" s="143"/>
      <c r="K109" s="143"/>
      <c r="L109" s="143"/>
      <c r="M109" s="143"/>
      <c r="N109" s="144"/>
      <c r="O109" s="79" t="s">
        <v>3092</v>
      </c>
      <c r="P109" s="145" t="s">
        <v>193</v>
      </c>
      <c r="Q109" s="146"/>
      <c r="R109" s="146"/>
      <c r="S109" s="146"/>
      <c r="T109" s="146"/>
      <c r="U109" s="146"/>
      <c r="V109" s="146"/>
      <c r="W109" s="146"/>
      <c r="X109" s="146"/>
      <c r="Y109" s="146"/>
      <c r="Z109" s="146"/>
      <c r="AA109" s="146"/>
      <c r="AB109" s="146"/>
      <c r="AC109" s="146"/>
      <c r="AD109" s="147"/>
      <c r="AE109" s="148" t="str">
        <f t="shared" ca="1" si="61"/>
        <v>sny_202310_backup_merge_dpc_efg</v>
      </c>
      <c r="AF109" s="149"/>
      <c r="AG109" s="149"/>
      <c r="AH109" s="149"/>
      <c r="AI109" s="149"/>
      <c r="AJ109" s="149"/>
      <c r="AK109" s="149"/>
      <c r="AL109" s="150"/>
      <c r="AM109" s="148" t="str">
        <f t="shared" ca="1" si="62"/>
        <v>DPC調査データ_外来EF統合ファイルテーブルから組入れ条件の第一条件で絞り込んだ結果を格納するテーブル</v>
      </c>
      <c r="AN109" s="149"/>
      <c r="AO109" s="149"/>
      <c r="AP109" s="149"/>
      <c r="AQ109" s="149"/>
      <c r="AR109" s="149"/>
      <c r="AS109" s="149"/>
      <c r="AT109" s="149"/>
      <c r="AU109" s="149"/>
      <c r="AV109" s="149"/>
      <c r="AW109" s="149"/>
      <c r="AX109" s="149"/>
      <c r="AY109" s="149"/>
      <c r="AZ109" s="149"/>
      <c r="BA109" s="149"/>
      <c r="BB109" s="149"/>
      <c r="BC109" s="149"/>
      <c r="BD109" s="149"/>
      <c r="BE109" s="149"/>
      <c r="BF109" s="149"/>
      <c r="BG109" s="149"/>
      <c r="BH109" s="149"/>
      <c r="BI109" s="149"/>
      <c r="BJ109" s="151"/>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39" t="str">
        <f t="shared" si="64"/>
        <v>01</v>
      </c>
      <c r="C110" s="140"/>
      <c r="D110" s="140"/>
      <c r="E110" s="140"/>
      <c r="F110" s="141"/>
      <c r="G110" s="142" t="s">
        <v>196</v>
      </c>
      <c r="H110" s="143"/>
      <c r="I110" s="143"/>
      <c r="J110" s="143"/>
      <c r="K110" s="143"/>
      <c r="L110" s="143"/>
      <c r="M110" s="143"/>
      <c r="N110" s="144"/>
      <c r="O110" s="79" t="s">
        <v>3093</v>
      </c>
      <c r="P110" s="145" t="s">
        <v>194</v>
      </c>
      <c r="Q110" s="146"/>
      <c r="R110" s="146"/>
      <c r="S110" s="146"/>
      <c r="T110" s="146"/>
      <c r="U110" s="146"/>
      <c r="V110" s="146"/>
      <c r="W110" s="146"/>
      <c r="X110" s="146"/>
      <c r="Y110" s="146"/>
      <c r="Z110" s="146"/>
      <c r="AA110" s="146"/>
      <c r="AB110" s="146"/>
      <c r="AC110" s="146"/>
      <c r="AD110" s="147"/>
      <c r="AE110" s="148" t="str">
        <f t="shared" ca="1" si="61"/>
        <v>sny_202310_backup_merge_dpc_hn</v>
      </c>
      <c r="AF110" s="149"/>
      <c r="AG110" s="149"/>
      <c r="AH110" s="149"/>
      <c r="AI110" s="149"/>
      <c r="AJ110" s="149"/>
      <c r="AK110" s="149"/>
      <c r="AL110" s="150"/>
      <c r="AM110" s="148" t="str">
        <f t="shared" ca="1" si="62"/>
        <v>DPC調査データ_Hファイルテーブルから組入れ条件の第一条件で絞り込んだ結果を格納するテーブル</v>
      </c>
      <c r="AN110" s="149"/>
      <c r="AO110" s="149"/>
      <c r="AP110" s="149"/>
      <c r="AQ110" s="149"/>
      <c r="AR110" s="149"/>
      <c r="AS110" s="149"/>
      <c r="AT110" s="149"/>
      <c r="AU110" s="149"/>
      <c r="AV110" s="149"/>
      <c r="AW110" s="149"/>
      <c r="AX110" s="149"/>
      <c r="AY110" s="149"/>
      <c r="AZ110" s="149"/>
      <c r="BA110" s="149"/>
      <c r="BB110" s="149"/>
      <c r="BC110" s="149"/>
      <c r="BD110" s="149"/>
      <c r="BE110" s="149"/>
      <c r="BF110" s="149"/>
      <c r="BG110" s="149"/>
      <c r="BH110" s="149"/>
      <c r="BI110" s="149"/>
      <c r="BJ110" s="151"/>
      <c r="BK110" s="32" t="str">
        <f t="shared" si="63"/>
        <v>ENT_01_C1-04_バックアップ_DPC調査データ_Hファイル.sql</v>
      </c>
    </row>
    <row r="111" spans="1:64" ht="37.5" customHeight="1" outlineLevel="1">
      <c r="A111" s="34" t="str">
        <f t="shared" si="60"/>
        <v>バックアップ_DPC調査データ_様式1</v>
      </c>
      <c r="B111" s="139" t="str">
        <f t="shared" si="64"/>
        <v>01</v>
      </c>
      <c r="C111" s="140"/>
      <c r="D111" s="140"/>
      <c r="E111" s="140"/>
      <c r="F111" s="141"/>
      <c r="G111" s="142" t="s">
        <v>196</v>
      </c>
      <c r="H111" s="143"/>
      <c r="I111" s="143"/>
      <c r="J111" s="143"/>
      <c r="K111" s="143"/>
      <c r="L111" s="143"/>
      <c r="M111" s="143"/>
      <c r="N111" s="144"/>
      <c r="O111" s="79" t="s">
        <v>3094</v>
      </c>
      <c r="P111" s="145" t="s">
        <v>195</v>
      </c>
      <c r="Q111" s="146"/>
      <c r="R111" s="146"/>
      <c r="S111" s="146"/>
      <c r="T111" s="146"/>
      <c r="U111" s="146"/>
      <c r="V111" s="146"/>
      <c r="W111" s="146"/>
      <c r="X111" s="146"/>
      <c r="Y111" s="146"/>
      <c r="Z111" s="146"/>
      <c r="AA111" s="146"/>
      <c r="AB111" s="146"/>
      <c r="AC111" s="146"/>
      <c r="AD111" s="147"/>
      <c r="AE111" s="148" t="str">
        <f t="shared" ca="1" si="61"/>
        <v>sny_202310_backup_merge_dpc_ff1</v>
      </c>
      <c r="AF111" s="149"/>
      <c r="AG111" s="149"/>
      <c r="AH111" s="149"/>
      <c r="AI111" s="149"/>
      <c r="AJ111" s="149"/>
      <c r="AK111" s="149"/>
      <c r="AL111" s="150"/>
      <c r="AM111" s="148" t="str">
        <f t="shared" ca="1" si="62"/>
        <v>DPC調査データ_様式1テーブルから組入れ条件の第一条件で絞り込んだ結果を格納するテーブル</v>
      </c>
      <c r="AN111" s="149"/>
      <c r="AO111" s="149"/>
      <c r="AP111" s="149"/>
      <c r="AQ111" s="149"/>
      <c r="AR111" s="149"/>
      <c r="AS111" s="149"/>
      <c r="AT111" s="149"/>
      <c r="AU111" s="149"/>
      <c r="AV111" s="149"/>
      <c r="AW111" s="149"/>
      <c r="AX111" s="149"/>
      <c r="AY111" s="149"/>
      <c r="AZ111" s="149"/>
      <c r="BA111" s="149"/>
      <c r="BB111" s="149"/>
      <c r="BC111" s="149"/>
      <c r="BD111" s="149"/>
      <c r="BE111" s="149"/>
      <c r="BF111" s="149"/>
      <c r="BG111" s="149"/>
      <c r="BH111" s="149"/>
      <c r="BI111" s="149"/>
      <c r="BJ111" s="151"/>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39" t="str">
        <f t="shared" si="64"/>
        <v>01</v>
      </c>
      <c r="C112" s="140"/>
      <c r="D112" s="140"/>
      <c r="E112" s="140"/>
      <c r="F112" s="141"/>
      <c r="G112" s="142" t="s">
        <v>196</v>
      </c>
      <c r="H112" s="143"/>
      <c r="I112" s="143"/>
      <c r="J112" s="143"/>
      <c r="K112" s="143"/>
      <c r="L112" s="143"/>
      <c r="M112" s="143"/>
      <c r="N112" s="144"/>
      <c r="O112" s="79" t="s">
        <v>3095</v>
      </c>
      <c r="P112" s="145" t="s">
        <v>314</v>
      </c>
      <c r="Q112" s="146"/>
      <c r="R112" s="146"/>
      <c r="S112" s="146"/>
      <c r="T112" s="146"/>
      <c r="U112" s="146"/>
      <c r="V112" s="146"/>
      <c r="W112" s="146"/>
      <c r="X112" s="146"/>
      <c r="Y112" s="146"/>
      <c r="Z112" s="146"/>
      <c r="AA112" s="146"/>
      <c r="AB112" s="146"/>
      <c r="AC112" s="146"/>
      <c r="AD112" s="147"/>
      <c r="AE112" s="148" t="str">
        <f t="shared" ca="1" si="61"/>
        <v>sny_202310_backup_merge_dpc_ff1_a006040</v>
      </c>
      <c r="AF112" s="149"/>
      <c r="AG112" s="149"/>
      <c r="AH112" s="149"/>
      <c r="AI112" s="149"/>
      <c r="AJ112" s="149"/>
      <c r="AK112" s="149"/>
      <c r="AL112" s="150"/>
      <c r="AM112" s="148" t="str">
        <f t="shared" ca="1" si="62"/>
        <v>DPC調査データ_様式1_診断情報_併存症テーブルから組入れ条件の第一条件で絞り込んだ結果を格納するテーブル</v>
      </c>
      <c r="AN112" s="149"/>
      <c r="AO112" s="149"/>
      <c r="AP112" s="149"/>
      <c r="AQ112" s="149"/>
      <c r="AR112" s="149"/>
      <c r="AS112" s="149"/>
      <c r="AT112" s="149"/>
      <c r="AU112" s="149"/>
      <c r="AV112" s="149"/>
      <c r="AW112" s="149"/>
      <c r="AX112" s="149"/>
      <c r="AY112" s="149"/>
      <c r="AZ112" s="149"/>
      <c r="BA112" s="149"/>
      <c r="BB112" s="149"/>
      <c r="BC112" s="149"/>
      <c r="BD112" s="149"/>
      <c r="BE112" s="149"/>
      <c r="BF112" s="149"/>
      <c r="BG112" s="149"/>
      <c r="BH112" s="149"/>
      <c r="BI112" s="149"/>
      <c r="BJ112" s="151"/>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39" t="str">
        <f>TEXT(1,"00")</f>
        <v>01</v>
      </c>
      <c r="C113" s="140"/>
      <c r="D113" s="140"/>
      <c r="E113" s="140"/>
      <c r="F113" s="141"/>
      <c r="G113" s="142" t="s">
        <v>196</v>
      </c>
      <c r="H113" s="143"/>
      <c r="I113" s="143"/>
      <c r="J113" s="143"/>
      <c r="K113" s="143"/>
      <c r="L113" s="143"/>
      <c r="M113" s="143"/>
      <c r="N113" s="144"/>
      <c r="O113" s="79" t="s">
        <v>3096</v>
      </c>
      <c r="P113" s="145" t="s">
        <v>315</v>
      </c>
      <c r="Q113" s="146"/>
      <c r="R113" s="146"/>
      <c r="S113" s="146"/>
      <c r="T113" s="146"/>
      <c r="U113" s="146"/>
      <c r="V113" s="146"/>
      <c r="W113" s="146"/>
      <c r="X113" s="146"/>
      <c r="Y113" s="146"/>
      <c r="Z113" s="146"/>
      <c r="AA113" s="146"/>
      <c r="AB113" s="146"/>
      <c r="AC113" s="146"/>
      <c r="AD113" s="147"/>
      <c r="AE113" s="148" t="str">
        <f t="shared" ref="AE113" ca="1" si="65">IFERROR(INDIRECT(P113&amp;"!D8"),"")</f>
        <v>sny_202310_backup_merge_dpc_ff1_a006050</v>
      </c>
      <c r="AF113" s="149"/>
      <c r="AG113" s="149"/>
      <c r="AH113" s="149"/>
      <c r="AI113" s="149"/>
      <c r="AJ113" s="149"/>
      <c r="AK113" s="149"/>
      <c r="AL113" s="150"/>
      <c r="AM113" s="148" t="str">
        <f t="shared" ref="AM113" ca="1" si="66">IFERROR(INDIRECT(P113&amp;"!D9"),"")</f>
        <v>DPC調査データ_様式1_診断情報_続発症テーブルから組入れ条件の第一条件で絞り込んだ結果を格納するテーブル</v>
      </c>
      <c r="AN113" s="149"/>
      <c r="AO113" s="149"/>
      <c r="AP113" s="149"/>
      <c r="AQ113" s="149"/>
      <c r="AR113" s="149"/>
      <c r="AS113" s="149"/>
      <c r="AT113" s="149"/>
      <c r="AU113" s="149"/>
      <c r="AV113" s="149"/>
      <c r="AW113" s="149"/>
      <c r="AX113" s="149"/>
      <c r="AY113" s="149"/>
      <c r="AZ113" s="149"/>
      <c r="BA113" s="149"/>
      <c r="BB113" s="149"/>
      <c r="BC113" s="149"/>
      <c r="BD113" s="149"/>
      <c r="BE113" s="149"/>
      <c r="BF113" s="149"/>
      <c r="BG113" s="149"/>
      <c r="BH113" s="149"/>
      <c r="BI113" s="149"/>
      <c r="BJ113" s="151"/>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39" t="str">
        <f t="shared" ref="B114:B118" si="67">TEXT(1,"00")</f>
        <v>01</v>
      </c>
      <c r="C114" s="140"/>
      <c r="D114" s="140"/>
      <c r="E114" s="140"/>
      <c r="F114" s="141"/>
      <c r="G114" s="142" t="s">
        <v>196</v>
      </c>
      <c r="H114" s="143"/>
      <c r="I114" s="143"/>
      <c r="J114" s="143"/>
      <c r="K114" s="143"/>
      <c r="L114" s="143"/>
      <c r="M114" s="143"/>
      <c r="N114" s="144"/>
      <c r="O114" s="79" t="s">
        <v>3097</v>
      </c>
      <c r="P114" s="145" t="s">
        <v>907</v>
      </c>
      <c r="Q114" s="146"/>
      <c r="R114" s="146"/>
      <c r="S114" s="146"/>
      <c r="T114" s="146"/>
      <c r="U114" s="146"/>
      <c r="V114" s="146"/>
      <c r="W114" s="146"/>
      <c r="X114" s="146"/>
      <c r="Y114" s="146"/>
      <c r="Z114" s="146"/>
      <c r="AA114" s="146"/>
      <c r="AB114" s="146"/>
      <c r="AC114" s="146"/>
      <c r="AD114" s="147"/>
      <c r="AE114" s="148" t="str">
        <f t="shared" ref="AE114:AE152" ca="1" si="68">IFERROR(INDIRECT(P114&amp;"!D8"),"")</f>
        <v>sny_202310_backup_merge_receiptc_ir</v>
      </c>
      <c r="AF114" s="149"/>
      <c r="AG114" s="149"/>
      <c r="AH114" s="149"/>
      <c r="AI114" s="149"/>
      <c r="AJ114" s="149"/>
      <c r="AK114" s="149"/>
      <c r="AL114" s="150"/>
      <c r="AM114" s="148" t="str">
        <f t="shared" ref="AM114:AM152" ca="1" si="69">IFERROR(INDIRECT(P114&amp;"!D9"),"")</f>
        <v>医科レセプト_医療機関情報レコードテーブルから組入れ条件の第一条件で絞り込んだ結果を格納するテーブル</v>
      </c>
      <c r="AN114" s="149"/>
      <c r="AO114" s="149"/>
      <c r="AP114" s="149"/>
      <c r="AQ114" s="149"/>
      <c r="AR114" s="149"/>
      <c r="AS114" s="149"/>
      <c r="AT114" s="149"/>
      <c r="AU114" s="149"/>
      <c r="AV114" s="149"/>
      <c r="AW114" s="149"/>
      <c r="AX114" s="149"/>
      <c r="AY114" s="149"/>
      <c r="AZ114" s="149"/>
      <c r="BA114" s="149"/>
      <c r="BB114" s="149"/>
      <c r="BC114" s="149"/>
      <c r="BD114" s="149"/>
      <c r="BE114" s="149"/>
      <c r="BF114" s="149"/>
      <c r="BG114" s="149"/>
      <c r="BH114" s="149"/>
      <c r="BI114" s="149"/>
      <c r="BJ114" s="151"/>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39" t="str">
        <f t="shared" si="67"/>
        <v>01</v>
      </c>
      <c r="C115" s="140"/>
      <c r="D115" s="140"/>
      <c r="E115" s="140"/>
      <c r="F115" s="141"/>
      <c r="G115" s="142" t="s">
        <v>196</v>
      </c>
      <c r="H115" s="143"/>
      <c r="I115" s="143"/>
      <c r="J115" s="143"/>
      <c r="K115" s="143"/>
      <c r="L115" s="143"/>
      <c r="M115" s="143"/>
      <c r="N115" s="144"/>
      <c r="O115" s="79" t="s">
        <v>3098</v>
      </c>
      <c r="P115" s="145" t="s">
        <v>942</v>
      </c>
      <c r="Q115" s="146"/>
      <c r="R115" s="146"/>
      <c r="S115" s="146"/>
      <c r="T115" s="146"/>
      <c r="U115" s="146"/>
      <c r="V115" s="146"/>
      <c r="W115" s="146"/>
      <c r="X115" s="146"/>
      <c r="Y115" s="146"/>
      <c r="Z115" s="146"/>
      <c r="AA115" s="146"/>
      <c r="AB115" s="146"/>
      <c r="AC115" s="146"/>
      <c r="AD115" s="147"/>
      <c r="AE115" s="148" t="str">
        <f t="shared" ca="1" si="68"/>
        <v>sny_202310_backup_merge_receiptc_re</v>
      </c>
      <c r="AF115" s="149"/>
      <c r="AG115" s="149"/>
      <c r="AH115" s="149"/>
      <c r="AI115" s="149"/>
      <c r="AJ115" s="149"/>
      <c r="AK115" s="149"/>
      <c r="AL115" s="150"/>
      <c r="AM115" s="148" t="str">
        <f t="shared" ca="1" si="69"/>
        <v>医科レセプト_レセプト共通レコードテーブルから組入れ条件の第一条件で絞り込んだ結果を格納するテーブル</v>
      </c>
      <c r="AN115" s="149"/>
      <c r="AO115" s="149"/>
      <c r="AP115" s="149"/>
      <c r="AQ115" s="149"/>
      <c r="AR115" s="149"/>
      <c r="AS115" s="149"/>
      <c r="AT115" s="149"/>
      <c r="AU115" s="149"/>
      <c r="AV115" s="149"/>
      <c r="AW115" s="149"/>
      <c r="AX115" s="149"/>
      <c r="AY115" s="149"/>
      <c r="AZ115" s="149"/>
      <c r="BA115" s="149"/>
      <c r="BB115" s="149"/>
      <c r="BC115" s="149"/>
      <c r="BD115" s="149"/>
      <c r="BE115" s="149"/>
      <c r="BF115" s="149"/>
      <c r="BG115" s="149"/>
      <c r="BH115" s="149"/>
      <c r="BI115" s="149"/>
      <c r="BJ115" s="151"/>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39" t="str">
        <f t="shared" si="67"/>
        <v>01</v>
      </c>
      <c r="C116" s="140"/>
      <c r="D116" s="140"/>
      <c r="E116" s="140"/>
      <c r="F116" s="141"/>
      <c r="G116" s="142" t="s">
        <v>196</v>
      </c>
      <c r="H116" s="143"/>
      <c r="I116" s="143"/>
      <c r="J116" s="143"/>
      <c r="K116" s="143"/>
      <c r="L116" s="143"/>
      <c r="M116" s="143"/>
      <c r="N116" s="144"/>
      <c r="O116" s="79" t="s">
        <v>3099</v>
      </c>
      <c r="P116" s="145" t="s">
        <v>1074</v>
      </c>
      <c r="Q116" s="146"/>
      <c r="R116" s="146"/>
      <c r="S116" s="146"/>
      <c r="T116" s="146"/>
      <c r="U116" s="146"/>
      <c r="V116" s="146"/>
      <c r="W116" s="146"/>
      <c r="X116" s="146"/>
      <c r="Y116" s="146"/>
      <c r="Z116" s="146"/>
      <c r="AA116" s="146"/>
      <c r="AB116" s="146"/>
      <c r="AC116" s="146"/>
      <c r="AD116" s="147"/>
      <c r="AE116" s="148" t="str">
        <f t="shared" ca="1" si="68"/>
        <v>sny_202310_backup_merge_receiptc_sy</v>
      </c>
      <c r="AF116" s="149"/>
      <c r="AG116" s="149"/>
      <c r="AH116" s="149"/>
      <c r="AI116" s="149"/>
      <c r="AJ116" s="149"/>
      <c r="AK116" s="149"/>
      <c r="AL116" s="150"/>
      <c r="AM116" s="148" t="str">
        <f t="shared" ca="1" si="69"/>
        <v>医科レセプト_傷病名レコードテーブルから組入れ条件の第一条件で絞り込んだ結果を格納するテーブル</v>
      </c>
      <c r="AN116" s="149"/>
      <c r="AO116" s="149"/>
      <c r="AP116" s="149"/>
      <c r="AQ116" s="149"/>
      <c r="AR116" s="149"/>
      <c r="AS116" s="149"/>
      <c r="AT116" s="149"/>
      <c r="AU116" s="149"/>
      <c r="AV116" s="149"/>
      <c r="AW116" s="149"/>
      <c r="AX116" s="149"/>
      <c r="AY116" s="149"/>
      <c r="AZ116" s="149"/>
      <c r="BA116" s="149"/>
      <c r="BB116" s="149"/>
      <c r="BC116" s="149"/>
      <c r="BD116" s="149"/>
      <c r="BE116" s="149"/>
      <c r="BF116" s="149"/>
      <c r="BG116" s="149"/>
      <c r="BH116" s="149"/>
      <c r="BI116" s="149"/>
      <c r="BJ116" s="151"/>
      <c r="BK116" s="32" t="str">
        <f t="shared" si="63"/>
        <v>ENT_01_C2-06_バックアップ_医科レセプト_傷病名レコード.sql</v>
      </c>
    </row>
    <row r="117" spans="1:64" ht="37.5" customHeight="1" outlineLevel="1">
      <c r="A117" s="34" t="str">
        <f t="shared" si="60"/>
        <v>バックアップ_医科レセプト_診療行為レコード</v>
      </c>
      <c r="B117" s="139" t="str">
        <f t="shared" si="67"/>
        <v>01</v>
      </c>
      <c r="C117" s="140"/>
      <c r="D117" s="140"/>
      <c r="E117" s="140"/>
      <c r="F117" s="141"/>
      <c r="G117" s="142" t="s">
        <v>196</v>
      </c>
      <c r="H117" s="143"/>
      <c r="I117" s="143"/>
      <c r="J117" s="143"/>
      <c r="K117" s="143"/>
      <c r="L117" s="143"/>
      <c r="M117" s="143"/>
      <c r="N117" s="144"/>
      <c r="O117" s="79" t="s">
        <v>3100</v>
      </c>
      <c r="P117" s="145" t="s">
        <v>1123</v>
      </c>
      <c r="Q117" s="146"/>
      <c r="R117" s="146"/>
      <c r="S117" s="146"/>
      <c r="T117" s="146"/>
      <c r="U117" s="146"/>
      <c r="V117" s="146"/>
      <c r="W117" s="146"/>
      <c r="X117" s="146"/>
      <c r="Y117" s="146"/>
      <c r="Z117" s="146"/>
      <c r="AA117" s="146"/>
      <c r="AB117" s="146"/>
      <c r="AC117" s="146"/>
      <c r="AD117" s="147"/>
      <c r="AE117" s="148" t="str">
        <f t="shared" ca="1" si="68"/>
        <v>sny_202310_backup_merge_receiptc_si</v>
      </c>
      <c r="AF117" s="149"/>
      <c r="AG117" s="149"/>
      <c r="AH117" s="149"/>
      <c r="AI117" s="149"/>
      <c r="AJ117" s="149"/>
      <c r="AK117" s="149"/>
      <c r="AL117" s="150"/>
      <c r="AM117" s="148" t="str">
        <f t="shared" ca="1" si="69"/>
        <v>医科レセプト_診療行為レコードテーブルから組入れ条件の第一条件で絞り込んだ結果を格納するテーブル</v>
      </c>
      <c r="AN117" s="149"/>
      <c r="AO117" s="149"/>
      <c r="AP117" s="149"/>
      <c r="AQ117" s="149"/>
      <c r="AR117" s="149"/>
      <c r="AS117" s="149"/>
      <c r="AT117" s="149"/>
      <c r="AU117" s="149"/>
      <c r="AV117" s="149"/>
      <c r="AW117" s="149"/>
      <c r="AX117" s="149"/>
      <c r="AY117" s="149"/>
      <c r="AZ117" s="149"/>
      <c r="BA117" s="149"/>
      <c r="BB117" s="149"/>
      <c r="BC117" s="149"/>
      <c r="BD117" s="149"/>
      <c r="BE117" s="149"/>
      <c r="BF117" s="149"/>
      <c r="BG117" s="149"/>
      <c r="BH117" s="149"/>
      <c r="BI117" s="149"/>
      <c r="BJ117" s="151"/>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39" t="str">
        <f t="shared" si="67"/>
        <v>01</v>
      </c>
      <c r="C118" s="140"/>
      <c r="D118" s="140"/>
      <c r="E118" s="140"/>
      <c r="F118" s="141"/>
      <c r="G118" s="142" t="s">
        <v>196</v>
      </c>
      <c r="H118" s="143"/>
      <c r="I118" s="143"/>
      <c r="J118" s="143"/>
      <c r="K118" s="143"/>
      <c r="L118" s="143"/>
      <c r="M118" s="143"/>
      <c r="N118" s="144"/>
      <c r="O118" s="79" t="s">
        <v>3101</v>
      </c>
      <c r="P118" s="145" t="s">
        <v>1151</v>
      </c>
      <c r="Q118" s="146"/>
      <c r="R118" s="146"/>
      <c r="S118" s="146"/>
      <c r="T118" s="146"/>
      <c r="U118" s="146"/>
      <c r="V118" s="146"/>
      <c r="W118" s="146"/>
      <c r="X118" s="146"/>
      <c r="Y118" s="146"/>
      <c r="Z118" s="146"/>
      <c r="AA118" s="146"/>
      <c r="AB118" s="146"/>
      <c r="AC118" s="146"/>
      <c r="AD118" s="147"/>
      <c r="AE118" s="148" t="str">
        <f t="shared" ca="1" si="68"/>
        <v>sny_202310_backup_merge_receiptc_si_day</v>
      </c>
      <c r="AF118" s="149"/>
      <c r="AG118" s="149"/>
      <c r="AH118" s="149"/>
      <c r="AI118" s="149"/>
      <c r="AJ118" s="149"/>
      <c r="AK118" s="149"/>
      <c r="AL118" s="150"/>
      <c r="AM118" s="148" t="str">
        <f t="shared" ca="1" si="69"/>
        <v>医科レセプト_診療行為レコード_算定日情報テーブルから組入れ条件の第一条件で絞り込んだ結果を格納するテーブル</v>
      </c>
      <c r="AN118" s="149"/>
      <c r="AO118" s="149"/>
      <c r="AP118" s="149"/>
      <c r="AQ118" s="149"/>
      <c r="AR118" s="149"/>
      <c r="AS118" s="149"/>
      <c r="AT118" s="149"/>
      <c r="AU118" s="149"/>
      <c r="AV118" s="149"/>
      <c r="AW118" s="149"/>
      <c r="AX118" s="149"/>
      <c r="AY118" s="149"/>
      <c r="AZ118" s="149"/>
      <c r="BA118" s="149"/>
      <c r="BB118" s="149"/>
      <c r="BC118" s="149"/>
      <c r="BD118" s="149"/>
      <c r="BE118" s="149"/>
      <c r="BF118" s="149"/>
      <c r="BG118" s="149"/>
      <c r="BH118" s="149"/>
      <c r="BI118" s="149"/>
      <c r="BJ118" s="151"/>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39" t="str">
        <f t="shared" si="8"/>
        <v>01</v>
      </c>
      <c r="C119" s="140"/>
      <c r="D119" s="140"/>
      <c r="E119" s="140"/>
      <c r="F119" s="141"/>
      <c r="G119" s="142" t="s">
        <v>196</v>
      </c>
      <c r="H119" s="143"/>
      <c r="I119" s="143"/>
      <c r="J119" s="143"/>
      <c r="K119" s="143"/>
      <c r="L119" s="143"/>
      <c r="M119" s="143"/>
      <c r="N119" s="144"/>
      <c r="O119" s="79" t="s">
        <v>3102</v>
      </c>
      <c r="P119" s="145" t="s">
        <v>1157</v>
      </c>
      <c r="Q119" s="146"/>
      <c r="R119" s="146"/>
      <c r="S119" s="146"/>
      <c r="T119" s="146"/>
      <c r="U119" s="146"/>
      <c r="V119" s="146"/>
      <c r="W119" s="146"/>
      <c r="X119" s="146"/>
      <c r="Y119" s="146"/>
      <c r="Z119" s="146"/>
      <c r="AA119" s="146"/>
      <c r="AB119" s="146"/>
      <c r="AC119" s="146"/>
      <c r="AD119" s="147"/>
      <c r="AE119" s="148" t="str">
        <f t="shared" ca="1" si="68"/>
        <v>sny_202310_backup_merge_receiptc_iy</v>
      </c>
      <c r="AF119" s="149"/>
      <c r="AG119" s="149"/>
      <c r="AH119" s="149"/>
      <c r="AI119" s="149"/>
      <c r="AJ119" s="149"/>
      <c r="AK119" s="149"/>
      <c r="AL119" s="150"/>
      <c r="AM119" s="148" t="str">
        <f t="shared" ca="1" si="69"/>
        <v>医科レセプト_医薬品レコードテーブルから組入れ条件の第一条件で絞り込んだ結果を格納するテーブル</v>
      </c>
      <c r="AN119" s="149"/>
      <c r="AO119" s="149"/>
      <c r="AP119" s="149"/>
      <c r="AQ119" s="149"/>
      <c r="AR119" s="149"/>
      <c r="AS119" s="149"/>
      <c r="AT119" s="149"/>
      <c r="AU119" s="149"/>
      <c r="AV119" s="149"/>
      <c r="AW119" s="149"/>
      <c r="AX119" s="149"/>
      <c r="AY119" s="149"/>
      <c r="AZ119" s="149"/>
      <c r="BA119" s="149"/>
      <c r="BB119" s="149"/>
      <c r="BC119" s="149"/>
      <c r="BD119" s="149"/>
      <c r="BE119" s="149"/>
      <c r="BF119" s="149"/>
      <c r="BG119" s="149"/>
      <c r="BH119" s="149"/>
      <c r="BI119" s="149"/>
      <c r="BJ119" s="151"/>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39" t="str">
        <f t="shared" si="8"/>
        <v>01</v>
      </c>
      <c r="C120" s="140"/>
      <c r="D120" s="140"/>
      <c r="E120" s="140"/>
      <c r="F120" s="141"/>
      <c r="G120" s="142" t="s">
        <v>196</v>
      </c>
      <c r="H120" s="143"/>
      <c r="I120" s="143"/>
      <c r="J120" s="143"/>
      <c r="K120" s="143"/>
      <c r="L120" s="143"/>
      <c r="M120" s="143"/>
      <c r="N120" s="144"/>
      <c r="O120" s="79" t="s">
        <v>3103</v>
      </c>
      <c r="P120" s="145" t="s">
        <v>1158</v>
      </c>
      <c r="Q120" s="146"/>
      <c r="R120" s="146"/>
      <c r="S120" s="146"/>
      <c r="T120" s="146"/>
      <c r="U120" s="146"/>
      <c r="V120" s="146"/>
      <c r="W120" s="146"/>
      <c r="X120" s="146"/>
      <c r="Y120" s="146"/>
      <c r="Z120" s="146"/>
      <c r="AA120" s="146"/>
      <c r="AB120" s="146"/>
      <c r="AC120" s="146"/>
      <c r="AD120" s="147"/>
      <c r="AE120" s="148" t="str">
        <f t="shared" ca="1" si="68"/>
        <v>sny_202310_backup_merge_receiptc_iy_day</v>
      </c>
      <c r="AF120" s="149"/>
      <c r="AG120" s="149"/>
      <c r="AH120" s="149"/>
      <c r="AI120" s="149"/>
      <c r="AJ120" s="149"/>
      <c r="AK120" s="149"/>
      <c r="AL120" s="150"/>
      <c r="AM120" s="148" t="str">
        <f t="shared" ca="1" si="69"/>
        <v>医科レセプト_医薬品レコード_算定日情報テーブルから組入れ条件の第一条件で絞り込んだ結果を格納するテーブル</v>
      </c>
      <c r="AN120" s="149"/>
      <c r="AO120" s="149"/>
      <c r="AP120" s="149"/>
      <c r="AQ120" s="149"/>
      <c r="AR120" s="149"/>
      <c r="AS120" s="149"/>
      <c r="AT120" s="149"/>
      <c r="AU120" s="149"/>
      <c r="AV120" s="149"/>
      <c r="AW120" s="149"/>
      <c r="AX120" s="149"/>
      <c r="AY120" s="149"/>
      <c r="AZ120" s="149"/>
      <c r="BA120" s="149"/>
      <c r="BB120" s="149"/>
      <c r="BC120" s="149"/>
      <c r="BD120" s="149"/>
      <c r="BE120" s="149"/>
      <c r="BF120" s="149"/>
      <c r="BG120" s="149"/>
      <c r="BH120" s="149"/>
      <c r="BI120" s="149"/>
      <c r="BJ120" s="151"/>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39" t="str">
        <f t="shared" si="8"/>
        <v>01</v>
      </c>
      <c r="C121" s="140"/>
      <c r="D121" s="140"/>
      <c r="E121" s="140"/>
      <c r="F121" s="141"/>
      <c r="G121" s="142" t="s">
        <v>196</v>
      </c>
      <c r="H121" s="143"/>
      <c r="I121" s="143"/>
      <c r="J121" s="143"/>
      <c r="K121" s="143"/>
      <c r="L121" s="143"/>
      <c r="M121" s="143"/>
      <c r="N121" s="144"/>
      <c r="O121" s="79" t="s">
        <v>3104</v>
      </c>
      <c r="P121" s="145" t="s">
        <v>1159</v>
      </c>
      <c r="Q121" s="146"/>
      <c r="R121" s="146"/>
      <c r="S121" s="146"/>
      <c r="T121" s="146"/>
      <c r="U121" s="146"/>
      <c r="V121" s="146"/>
      <c r="W121" s="146"/>
      <c r="X121" s="146"/>
      <c r="Y121" s="146"/>
      <c r="Z121" s="146"/>
      <c r="AA121" s="146"/>
      <c r="AB121" s="146"/>
      <c r="AC121" s="146"/>
      <c r="AD121" s="147"/>
      <c r="AE121" s="148" t="str">
        <f t="shared" ca="1" si="68"/>
        <v>sny_202310_backup_merge_receiptc_tr</v>
      </c>
      <c r="AF121" s="149"/>
      <c r="AG121" s="149"/>
      <c r="AH121" s="149"/>
      <c r="AI121" s="149"/>
      <c r="AJ121" s="149"/>
      <c r="AK121" s="149"/>
      <c r="AL121" s="150"/>
      <c r="AM121" s="148" t="str">
        <f t="shared" ca="1" si="69"/>
        <v>医科レセプト_臓器提供者レセプト情報レコードテーブルから組入れ条件の第一条件で絞り込んだ結果を格納するテーブル</v>
      </c>
      <c r="AN121" s="149"/>
      <c r="AO121" s="149"/>
      <c r="AP121" s="149"/>
      <c r="AQ121" s="149"/>
      <c r="AR121" s="149"/>
      <c r="AS121" s="149"/>
      <c r="AT121" s="149"/>
      <c r="AU121" s="149"/>
      <c r="AV121" s="149"/>
      <c r="AW121" s="149"/>
      <c r="AX121" s="149"/>
      <c r="AY121" s="149"/>
      <c r="AZ121" s="149"/>
      <c r="BA121" s="149"/>
      <c r="BB121" s="149"/>
      <c r="BC121" s="149"/>
      <c r="BD121" s="149"/>
      <c r="BE121" s="149"/>
      <c r="BF121" s="149"/>
      <c r="BG121" s="149"/>
      <c r="BH121" s="149"/>
      <c r="BI121" s="149"/>
      <c r="BJ121" s="151"/>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39" t="str">
        <f t="shared" si="8"/>
        <v>01</v>
      </c>
      <c r="C122" s="140"/>
      <c r="D122" s="140"/>
      <c r="E122" s="140"/>
      <c r="F122" s="141"/>
      <c r="G122" s="142" t="s">
        <v>196</v>
      </c>
      <c r="H122" s="143"/>
      <c r="I122" s="143"/>
      <c r="J122" s="143"/>
      <c r="K122" s="143"/>
      <c r="L122" s="143"/>
      <c r="M122" s="143"/>
      <c r="N122" s="144"/>
      <c r="O122" s="79" t="s">
        <v>3105</v>
      </c>
      <c r="P122" s="145" t="s">
        <v>1200</v>
      </c>
      <c r="Q122" s="146"/>
      <c r="R122" s="146"/>
      <c r="S122" s="146"/>
      <c r="T122" s="146"/>
      <c r="U122" s="146"/>
      <c r="V122" s="146"/>
      <c r="W122" s="146"/>
      <c r="X122" s="146"/>
      <c r="Y122" s="146"/>
      <c r="Z122" s="146"/>
      <c r="AA122" s="146"/>
      <c r="AB122" s="146"/>
      <c r="AC122" s="146"/>
      <c r="AD122" s="147"/>
      <c r="AE122" s="148" t="str">
        <f t="shared" ref="AE122:AE130" ca="1" si="71">IFERROR(INDIRECT(P122&amp;"!D8"),"")</f>
        <v>sny_202310_backup_merge_receiptd_ir</v>
      </c>
      <c r="AF122" s="149"/>
      <c r="AG122" s="149"/>
      <c r="AH122" s="149"/>
      <c r="AI122" s="149"/>
      <c r="AJ122" s="149"/>
      <c r="AK122" s="149"/>
      <c r="AL122" s="150"/>
      <c r="AM122" s="148" t="str">
        <f t="shared" ref="AM122:AM130" ca="1" si="72">IFERROR(INDIRECT(P122&amp;"!D9"),"")</f>
        <v>DPCレセプト_医療機関情報レコードテーブルから組入れ条件の第一条件で絞り込んだ結果を格納するテーブル</v>
      </c>
      <c r="AN122" s="149"/>
      <c r="AO122" s="149"/>
      <c r="AP122" s="149"/>
      <c r="AQ122" s="149"/>
      <c r="AR122" s="149"/>
      <c r="AS122" s="149"/>
      <c r="AT122" s="149"/>
      <c r="AU122" s="149"/>
      <c r="AV122" s="149"/>
      <c r="AW122" s="149"/>
      <c r="AX122" s="149"/>
      <c r="AY122" s="149"/>
      <c r="AZ122" s="149"/>
      <c r="BA122" s="149"/>
      <c r="BB122" s="149"/>
      <c r="BC122" s="149"/>
      <c r="BD122" s="149"/>
      <c r="BE122" s="149"/>
      <c r="BF122" s="149"/>
      <c r="BG122" s="149"/>
      <c r="BH122" s="149"/>
      <c r="BI122" s="149"/>
      <c r="BJ122" s="151"/>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39" t="str">
        <f t="shared" si="8"/>
        <v>01</v>
      </c>
      <c r="C123" s="140"/>
      <c r="D123" s="140"/>
      <c r="E123" s="140"/>
      <c r="F123" s="141"/>
      <c r="G123" s="142" t="s">
        <v>196</v>
      </c>
      <c r="H123" s="143"/>
      <c r="I123" s="143"/>
      <c r="J123" s="143"/>
      <c r="K123" s="143"/>
      <c r="L123" s="143"/>
      <c r="M123" s="143"/>
      <c r="N123" s="144"/>
      <c r="O123" s="79" t="s">
        <v>3106</v>
      </c>
      <c r="P123" s="145" t="s">
        <v>1205</v>
      </c>
      <c r="Q123" s="146"/>
      <c r="R123" s="146"/>
      <c r="S123" s="146"/>
      <c r="T123" s="146"/>
      <c r="U123" s="146"/>
      <c r="V123" s="146"/>
      <c r="W123" s="146"/>
      <c r="X123" s="146"/>
      <c r="Y123" s="146"/>
      <c r="Z123" s="146"/>
      <c r="AA123" s="146"/>
      <c r="AB123" s="146"/>
      <c r="AC123" s="146"/>
      <c r="AD123" s="147"/>
      <c r="AE123" s="148" t="str">
        <f t="shared" ca="1" si="71"/>
        <v>sny_202310_backup_merge_receiptd_re</v>
      </c>
      <c r="AF123" s="149"/>
      <c r="AG123" s="149"/>
      <c r="AH123" s="149"/>
      <c r="AI123" s="149"/>
      <c r="AJ123" s="149"/>
      <c r="AK123" s="149"/>
      <c r="AL123" s="150"/>
      <c r="AM123" s="148" t="str">
        <f t="shared" ca="1" si="72"/>
        <v>DPCレセプト_レセプト共通レコードテーブルから組入れ条件の第一条件で絞り込んだ結果を格納するテーブル</v>
      </c>
      <c r="AN123" s="149"/>
      <c r="AO123" s="149"/>
      <c r="AP123" s="149"/>
      <c r="AQ123" s="149"/>
      <c r="AR123" s="149"/>
      <c r="AS123" s="149"/>
      <c r="AT123" s="149"/>
      <c r="AU123" s="149"/>
      <c r="AV123" s="149"/>
      <c r="AW123" s="149"/>
      <c r="AX123" s="149"/>
      <c r="AY123" s="149"/>
      <c r="AZ123" s="149"/>
      <c r="BA123" s="149"/>
      <c r="BB123" s="149"/>
      <c r="BC123" s="149"/>
      <c r="BD123" s="149"/>
      <c r="BE123" s="149"/>
      <c r="BF123" s="149"/>
      <c r="BG123" s="149"/>
      <c r="BH123" s="149"/>
      <c r="BI123" s="149"/>
      <c r="BJ123" s="151"/>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39" t="str">
        <f t="shared" si="8"/>
        <v>01</v>
      </c>
      <c r="C124" s="140"/>
      <c r="D124" s="140"/>
      <c r="E124" s="140"/>
      <c r="F124" s="141"/>
      <c r="G124" s="142" t="s">
        <v>196</v>
      </c>
      <c r="H124" s="143"/>
      <c r="I124" s="143"/>
      <c r="J124" s="143"/>
      <c r="K124" s="143"/>
      <c r="L124" s="143"/>
      <c r="M124" s="143"/>
      <c r="N124" s="144"/>
      <c r="O124" s="79" t="s">
        <v>3107</v>
      </c>
      <c r="P124" s="145" t="s">
        <v>1210</v>
      </c>
      <c r="Q124" s="146"/>
      <c r="R124" s="146"/>
      <c r="S124" s="146"/>
      <c r="T124" s="146"/>
      <c r="U124" s="146"/>
      <c r="V124" s="146"/>
      <c r="W124" s="146"/>
      <c r="X124" s="146"/>
      <c r="Y124" s="146"/>
      <c r="Z124" s="146"/>
      <c r="AA124" s="146"/>
      <c r="AB124" s="146"/>
      <c r="AC124" s="146"/>
      <c r="AD124" s="147"/>
      <c r="AE124" s="148" t="str">
        <f t="shared" ca="1" si="71"/>
        <v>sny_202310_backup_merge_receiptd_bu</v>
      </c>
      <c r="AF124" s="149"/>
      <c r="AG124" s="149"/>
      <c r="AH124" s="149"/>
      <c r="AI124" s="149"/>
      <c r="AJ124" s="149"/>
      <c r="AK124" s="149"/>
      <c r="AL124" s="150"/>
      <c r="AM124" s="148" t="str">
        <f t="shared" ca="1" si="72"/>
        <v>DPCレセプト_診断群分類レコードテーブルから組入れ条件の第一条件で絞り込んだ結果を格納するテーブル</v>
      </c>
      <c r="AN124" s="149"/>
      <c r="AO124" s="149"/>
      <c r="AP124" s="149"/>
      <c r="AQ124" s="149"/>
      <c r="AR124" s="149"/>
      <c r="AS124" s="149"/>
      <c r="AT124" s="149"/>
      <c r="AU124" s="149"/>
      <c r="AV124" s="149"/>
      <c r="AW124" s="149"/>
      <c r="AX124" s="149"/>
      <c r="AY124" s="149"/>
      <c r="AZ124" s="149"/>
      <c r="BA124" s="149"/>
      <c r="BB124" s="149"/>
      <c r="BC124" s="149"/>
      <c r="BD124" s="149"/>
      <c r="BE124" s="149"/>
      <c r="BF124" s="149"/>
      <c r="BG124" s="149"/>
      <c r="BH124" s="149"/>
      <c r="BI124" s="149"/>
      <c r="BJ124" s="151"/>
      <c r="BK124" s="32" t="str">
        <f t="shared" si="63"/>
        <v>ENT_01_C3-08_バックアップ_DPCレセプト_診断群分類レコード.sql</v>
      </c>
    </row>
    <row r="125" spans="1:64" ht="37.5" customHeight="1" outlineLevel="1">
      <c r="A125" s="34" t="str">
        <f t="shared" si="70"/>
        <v>バックアップ_DPCレセプト_傷病レコード</v>
      </c>
      <c r="B125" s="139" t="str">
        <f t="shared" si="8"/>
        <v>01</v>
      </c>
      <c r="C125" s="140"/>
      <c r="D125" s="140"/>
      <c r="E125" s="140"/>
      <c r="F125" s="141"/>
      <c r="G125" s="142" t="s">
        <v>196</v>
      </c>
      <c r="H125" s="143"/>
      <c r="I125" s="143"/>
      <c r="J125" s="143"/>
      <c r="K125" s="143"/>
      <c r="L125" s="143"/>
      <c r="M125" s="143"/>
      <c r="N125" s="144"/>
      <c r="O125" s="79" t="s">
        <v>3108</v>
      </c>
      <c r="P125" s="145" t="s">
        <v>1225</v>
      </c>
      <c r="Q125" s="146"/>
      <c r="R125" s="146"/>
      <c r="S125" s="146"/>
      <c r="T125" s="146"/>
      <c r="U125" s="146"/>
      <c r="V125" s="146"/>
      <c r="W125" s="146"/>
      <c r="X125" s="146"/>
      <c r="Y125" s="146"/>
      <c r="Z125" s="146"/>
      <c r="AA125" s="146"/>
      <c r="AB125" s="146"/>
      <c r="AC125" s="146"/>
      <c r="AD125" s="147"/>
      <c r="AE125" s="148" t="str">
        <f t="shared" ca="1" si="71"/>
        <v>sny_202310_backup_merge_receiptd_sb</v>
      </c>
      <c r="AF125" s="149"/>
      <c r="AG125" s="149"/>
      <c r="AH125" s="149"/>
      <c r="AI125" s="149"/>
      <c r="AJ125" s="149"/>
      <c r="AK125" s="149"/>
      <c r="AL125" s="150"/>
      <c r="AM125" s="148" t="str">
        <f t="shared" ca="1" si="72"/>
        <v>DPCレセプト_傷病レコードテーブルから組入れ条件の第一条件で絞り込んだ結果を格納するテーブル</v>
      </c>
      <c r="AN125" s="149"/>
      <c r="AO125" s="149"/>
      <c r="AP125" s="149"/>
      <c r="AQ125" s="149"/>
      <c r="AR125" s="149"/>
      <c r="AS125" s="149"/>
      <c r="AT125" s="149"/>
      <c r="AU125" s="149"/>
      <c r="AV125" s="149"/>
      <c r="AW125" s="149"/>
      <c r="AX125" s="149"/>
      <c r="AY125" s="149"/>
      <c r="AZ125" s="149"/>
      <c r="BA125" s="149"/>
      <c r="BB125" s="149"/>
      <c r="BC125" s="149"/>
      <c r="BD125" s="149"/>
      <c r="BE125" s="149"/>
      <c r="BF125" s="149"/>
      <c r="BG125" s="149"/>
      <c r="BH125" s="149"/>
      <c r="BI125" s="149"/>
      <c r="BJ125" s="151"/>
      <c r="BK125" s="32" t="str">
        <f t="shared" si="63"/>
        <v>ENT_01_C3-09_バックアップ_DPCレセプト_傷病レコード.sql</v>
      </c>
    </row>
    <row r="126" spans="1:64" ht="37.5" customHeight="1" outlineLevel="1">
      <c r="A126" s="34" t="str">
        <f t="shared" si="70"/>
        <v>バックアップ_DPCレセプト_傷病名レコード</v>
      </c>
      <c r="B126" s="139" t="str">
        <f t="shared" si="8"/>
        <v>01</v>
      </c>
      <c r="C126" s="140"/>
      <c r="D126" s="140"/>
      <c r="E126" s="140"/>
      <c r="F126" s="141"/>
      <c r="G126" s="142" t="s">
        <v>196</v>
      </c>
      <c r="H126" s="143"/>
      <c r="I126" s="143"/>
      <c r="J126" s="143"/>
      <c r="K126" s="143"/>
      <c r="L126" s="143"/>
      <c r="M126" s="143"/>
      <c r="N126" s="144"/>
      <c r="O126" s="79" t="s">
        <v>3109</v>
      </c>
      <c r="P126" s="145" t="s">
        <v>1231</v>
      </c>
      <c r="Q126" s="146"/>
      <c r="R126" s="146"/>
      <c r="S126" s="146"/>
      <c r="T126" s="146"/>
      <c r="U126" s="146"/>
      <c r="V126" s="146"/>
      <c r="W126" s="146"/>
      <c r="X126" s="146"/>
      <c r="Y126" s="146"/>
      <c r="Z126" s="146"/>
      <c r="AA126" s="146"/>
      <c r="AB126" s="146"/>
      <c r="AC126" s="146"/>
      <c r="AD126" s="147"/>
      <c r="AE126" s="148" t="str">
        <f t="shared" ca="1" si="71"/>
        <v>sny_202310_backup_merge_receiptd_sy</v>
      </c>
      <c r="AF126" s="149"/>
      <c r="AG126" s="149"/>
      <c r="AH126" s="149"/>
      <c r="AI126" s="149"/>
      <c r="AJ126" s="149"/>
      <c r="AK126" s="149"/>
      <c r="AL126" s="150"/>
      <c r="AM126" s="148" t="str">
        <f t="shared" ca="1" si="72"/>
        <v>DPCレセプト_傷病名レコードテーブルから組入れ条件の第一条件で絞り込んだ結果を格納するテーブル</v>
      </c>
      <c r="AN126" s="149"/>
      <c r="AO126" s="149"/>
      <c r="AP126" s="149"/>
      <c r="AQ126" s="149"/>
      <c r="AR126" s="149"/>
      <c r="AS126" s="149"/>
      <c r="AT126" s="149"/>
      <c r="AU126" s="149"/>
      <c r="AV126" s="149"/>
      <c r="AW126" s="149"/>
      <c r="AX126" s="149"/>
      <c r="AY126" s="149"/>
      <c r="AZ126" s="149"/>
      <c r="BA126" s="149"/>
      <c r="BB126" s="149"/>
      <c r="BC126" s="149"/>
      <c r="BD126" s="149"/>
      <c r="BE126" s="149"/>
      <c r="BF126" s="149"/>
      <c r="BG126" s="149"/>
      <c r="BH126" s="149"/>
      <c r="BI126" s="149"/>
      <c r="BJ126" s="151"/>
      <c r="BK126" s="32" t="str">
        <f t="shared" si="63"/>
        <v>ENT_01_C3-10_バックアップ_DPCレセプト_傷病名レコード.sql</v>
      </c>
    </row>
    <row r="127" spans="1:64" ht="37.5" customHeight="1" outlineLevel="1">
      <c r="A127" s="34" t="str">
        <f t="shared" si="70"/>
        <v>バックアップ_DPCレセプト_診療行為レコード</v>
      </c>
      <c r="B127" s="139" t="str">
        <f t="shared" si="8"/>
        <v>01</v>
      </c>
      <c r="C127" s="140"/>
      <c r="D127" s="140"/>
      <c r="E127" s="140"/>
      <c r="F127" s="141"/>
      <c r="G127" s="142" t="s">
        <v>196</v>
      </c>
      <c r="H127" s="143"/>
      <c r="I127" s="143"/>
      <c r="J127" s="143"/>
      <c r="K127" s="143"/>
      <c r="L127" s="143"/>
      <c r="M127" s="143"/>
      <c r="N127" s="144"/>
      <c r="O127" s="79" t="s">
        <v>3110</v>
      </c>
      <c r="P127" s="145" t="s">
        <v>1233</v>
      </c>
      <c r="Q127" s="146"/>
      <c r="R127" s="146"/>
      <c r="S127" s="146"/>
      <c r="T127" s="146"/>
      <c r="U127" s="146"/>
      <c r="V127" s="146"/>
      <c r="W127" s="146"/>
      <c r="X127" s="146"/>
      <c r="Y127" s="146"/>
      <c r="Z127" s="146"/>
      <c r="AA127" s="146"/>
      <c r="AB127" s="146"/>
      <c r="AC127" s="146"/>
      <c r="AD127" s="147"/>
      <c r="AE127" s="148" t="str">
        <f t="shared" ca="1" si="71"/>
        <v>sny_202310_backup_merge_receiptd_si</v>
      </c>
      <c r="AF127" s="149"/>
      <c r="AG127" s="149"/>
      <c r="AH127" s="149"/>
      <c r="AI127" s="149"/>
      <c r="AJ127" s="149"/>
      <c r="AK127" s="149"/>
      <c r="AL127" s="150"/>
      <c r="AM127" s="148" t="str">
        <f t="shared" ca="1" si="72"/>
        <v>DPCレセプト_診療行為レコードテーブルから組入れ条件の第一条件で絞り込んだ結果を格納するテーブル</v>
      </c>
      <c r="AN127" s="149"/>
      <c r="AO127" s="149"/>
      <c r="AP127" s="149"/>
      <c r="AQ127" s="149"/>
      <c r="AR127" s="149"/>
      <c r="AS127" s="149"/>
      <c r="AT127" s="149"/>
      <c r="AU127" s="149"/>
      <c r="AV127" s="149"/>
      <c r="AW127" s="149"/>
      <c r="AX127" s="149"/>
      <c r="AY127" s="149"/>
      <c r="AZ127" s="149"/>
      <c r="BA127" s="149"/>
      <c r="BB127" s="149"/>
      <c r="BC127" s="149"/>
      <c r="BD127" s="149"/>
      <c r="BE127" s="149"/>
      <c r="BF127" s="149"/>
      <c r="BG127" s="149"/>
      <c r="BH127" s="149"/>
      <c r="BI127" s="149"/>
      <c r="BJ127" s="151"/>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39" t="str">
        <f t="shared" si="8"/>
        <v>01</v>
      </c>
      <c r="C128" s="140"/>
      <c r="D128" s="140"/>
      <c r="E128" s="140"/>
      <c r="F128" s="141"/>
      <c r="G128" s="142" t="s">
        <v>196</v>
      </c>
      <c r="H128" s="143"/>
      <c r="I128" s="143"/>
      <c r="J128" s="143"/>
      <c r="K128" s="143"/>
      <c r="L128" s="143"/>
      <c r="M128" s="143"/>
      <c r="N128" s="144"/>
      <c r="O128" s="79" t="s">
        <v>3111</v>
      </c>
      <c r="P128" s="145" t="s">
        <v>1235</v>
      </c>
      <c r="Q128" s="146"/>
      <c r="R128" s="146"/>
      <c r="S128" s="146"/>
      <c r="T128" s="146"/>
      <c r="U128" s="146"/>
      <c r="V128" s="146"/>
      <c r="W128" s="146"/>
      <c r="X128" s="146"/>
      <c r="Y128" s="146"/>
      <c r="Z128" s="146"/>
      <c r="AA128" s="146"/>
      <c r="AB128" s="146"/>
      <c r="AC128" s="146"/>
      <c r="AD128" s="147"/>
      <c r="AE128" s="148" t="str">
        <f t="shared" ca="1" si="71"/>
        <v>sny_202310_backup_merge_receiptd_si_day</v>
      </c>
      <c r="AF128" s="149"/>
      <c r="AG128" s="149"/>
      <c r="AH128" s="149"/>
      <c r="AI128" s="149"/>
      <c r="AJ128" s="149"/>
      <c r="AK128" s="149"/>
      <c r="AL128" s="150"/>
      <c r="AM128" s="148" t="str">
        <f t="shared" ca="1" si="72"/>
        <v>DPCレセプト_診療行為レコード_算定日情報テーブルから組入れ条件の第一条件で絞り込んだ結果を格納するテーブル</v>
      </c>
      <c r="AN128" s="149"/>
      <c r="AO128" s="149"/>
      <c r="AP128" s="149"/>
      <c r="AQ128" s="149"/>
      <c r="AR128" s="149"/>
      <c r="AS128" s="149"/>
      <c r="AT128" s="149"/>
      <c r="AU128" s="149"/>
      <c r="AV128" s="149"/>
      <c r="AW128" s="149"/>
      <c r="AX128" s="149"/>
      <c r="AY128" s="149"/>
      <c r="AZ128" s="149"/>
      <c r="BA128" s="149"/>
      <c r="BB128" s="149"/>
      <c r="BC128" s="149"/>
      <c r="BD128" s="149"/>
      <c r="BE128" s="149"/>
      <c r="BF128" s="149"/>
      <c r="BG128" s="149"/>
      <c r="BH128" s="149"/>
      <c r="BI128" s="149"/>
      <c r="BJ128" s="151"/>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39" t="str">
        <f t="shared" si="8"/>
        <v>01</v>
      </c>
      <c r="C129" s="140"/>
      <c r="D129" s="140"/>
      <c r="E129" s="140"/>
      <c r="F129" s="141"/>
      <c r="G129" s="142" t="s">
        <v>196</v>
      </c>
      <c r="H129" s="143"/>
      <c r="I129" s="143"/>
      <c r="J129" s="143"/>
      <c r="K129" s="143"/>
      <c r="L129" s="143"/>
      <c r="M129" s="143"/>
      <c r="N129" s="144"/>
      <c r="O129" s="79" t="s">
        <v>3112</v>
      </c>
      <c r="P129" s="145" t="s">
        <v>1238</v>
      </c>
      <c r="Q129" s="146"/>
      <c r="R129" s="146"/>
      <c r="S129" s="146"/>
      <c r="T129" s="146"/>
      <c r="U129" s="146"/>
      <c r="V129" s="146"/>
      <c r="W129" s="146"/>
      <c r="X129" s="146"/>
      <c r="Y129" s="146"/>
      <c r="Z129" s="146"/>
      <c r="AA129" s="146"/>
      <c r="AB129" s="146"/>
      <c r="AC129" s="146"/>
      <c r="AD129" s="147"/>
      <c r="AE129" s="148" t="str">
        <f t="shared" ca="1" si="71"/>
        <v>sny_202310_backup_merge_receiptd_iy</v>
      </c>
      <c r="AF129" s="149"/>
      <c r="AG129" s="149"/>
      <c r="AH129" s="149"/>
      <c r="AI129" s="149"/>
      <c r="AJ129" s="149"/>
      <c r="AK129" s="149"/>
      <c r="AL129" s="150"/>
      <c r="AM129" s="148" t="str">
        <f t="shared" ca="1" si="72"/>
        <v>DPCレセプト_医薬品レコードテーブルから組入れ条件の第一条件で絞り込んだ結果を格納するテーブル</v>
      </c>
      <c r="AN129" s="149"/>
      <c r="AO129" s="149"/>
      <c r="AP129" s="149"/>
      <c r="AQ129" s="149"/>
      <c r="AR129" s="149"/>
      <c r="AS129" s="149"/>
      <c r="AT129" s="149"/>
      <c r="AU129" s="149"/>
      <c r="AV129" s="149"/>
      <c r="AW129" s="149"/>
      <c r="AX129" s="149"/>
      <c r="AY129" s="149"/>
      <c r="AZ129" s="149"/>
      <c r="BA129" s="149"/>
      <c r="BB129" s="149"/>
      <c r="BC129" s="149"/>
      <c r="BD129" s="149"/>
      <c r="BE129" s="149"/>
      <c r="BF129" s="149"/>
      <c r="BG129" s="149"/>
      <c r="BH129" s="149"/>
      <c r="BI129" s="149"/>
      <c r="BJ129" s="151"/>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39" t="str">
        <f t="shared" si="8"/>
        <v>01</v>
      </c>
      <c r="C130" s="140"/>
      <c r="D130" s="140"/>
      <c r="E130" s="140"/>
      <c r="F130" s="141"/>
      <c r="G130" s="142" t="s">
        <v>196</v>
      </c>
      <c r="H130" s="143"/>
      <c r="I130" s="143"/>
      <c r="J130" s="143"/>
      <c r="K130" s="143"/>
      <c r="L130" s="143"/>
      <c r="M130" s="143"/>
      <c r="N130" s="144"/>
      <c r="O130" s="79" t="s">
        <v>3113</v>
      </c>
      <c r="P130" s="145" t="s">
        <v>1240</v>
      </c>
      <c r="Q130" s="146"/>
      <c r="R130" s="146"/>
      <c r="S130" s="146"/>
      <c r="T130" s="146"/>
      <c r="U130" s="146"/>
      <c r="V130" s="146"/>
      <c r="W130" s="146"/>
      <c r="X130" s="146"/>
      <c r="Y130" s="146"/>
      <c r="Z130" s="146"/>
      <c r="AA130" s="146"/>
      <c r="AB130" s="146"/>
      <c r="AC130" s="146"/>
      <c r="AD130" s="147"/>
      <c r="AE130" s="148" t="str">
        <f t="shared" ca="1" si="71"/>
        <v>sny_202310_backup_merge_receiptd_iy_day</v>
      </c>
      <c r="AF130" s="149"/>
      <c r="AG130" s="149"/>
      <c r="AH130" s="149"/>
      <c r="AI130" s="149"/>
      <c r="AJ130" s="149"/>
      <c r="AK130" s="149"/>
      <c r="AL130" s="150"/>
      <c r="AM130" s="148" t="str">
        <f t="shared" ca="1" si="72"/>
        <v>DPCレセプト_医薬品レコード_算定日情報テーブルから組入れ条件の第一条件で絞り込んだ結果を格納するテーブル</v>
      </c>
      <c r="AN130" s="149"/>
      <c r="AO130" s="149"/>
      <c r="AP130" s="149"/>
      <c r="AQ130" s="149"/>
      <c r="AR130" s="149"/>
      <c r="AS130" s="149"/>
      <c r="AT130" s="149"/>
      <c r="AU130" s="149"/>
      <c r="AV130" s="149"/>
      <c r="AW130" s="149"/>
      <c r="AX130" s="149"/>
      <c r="AY130" s="149"/>
      <c r="AZ130" s="149"/>
      <c r="BA130" s="149"/>
      <c r="BB130" s="149"/>
      <c r="BC130" s="149"/>
      <c r="BD130" s="149"/>
      <c r="BE130" s="149"/>
      <c r="BF130" s="149"/>
      <c r="BG130" s="149"/>
      <c r="BH130" s="149"/>
      <c r="BI130" s="149"/>
      <c r="BJ130" s="151"/>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39" t="str">
        <f t="shared" si="8"/>
        <v>01</v>
      </c>
      <c r="C131" s="140"/>
      <c r="D131" s="140"/>
      <c r="E131" s="140"/>
      <c r="F131" s="141"/>
      <c r="G131" s="142" t="s">
        <v>196</v>
      </c>
      <c r="H131" s="143"/>
      <c r="I131" s="143"/>
      <c r="J131" s="143"/>
      <c r="K131" s="143"/>
      <c r="L131" s="143"/>
      <c r="M131" s="143"/>
      <c r="N131" s="144"/>
      <c r="O131" s="79" t="s">
        <v>3114</v>
      </c>
      <c r="P131" s="145" t="s">
        <v>1242</v>
      </c>
      <c r="Q131" s="146"/>
      <c r="R131" s="146"/>
      <c r="S131" s="146"/>
      <c r="T131" s="146"/>
      <c r="U131" s="146"/>
      <c r="V131" s="146"/>
      <c r="W131" s="146"/>
      <c r="X131" s="146"/>
      <c r="Y131" s="146"/>
      <c r="Z131" s="146"/>
      <c r="AA131" s="146"/>
      <c r="AB131" s="146"/>
      <c r="AC131" s="146"/>
      <c r="AD131" s="147"/>
      <c r="AE131" s="148" t="str">
        <f t="shared" ca="1" si="68"/>
        <v>sny_202310_backup_merge_receiptd_tr</v>
      </c>
      <c r="AF131" s="149"/>
      <c r="AG131" s="149"/>
      <c r="AH131" s="149"/>
      <c r="AI131" s="149"/>
      <c r="AJ131" s="149"/>
      <c r="AK131" s="149"/>
      <c r="AL131" s="150"/>
      <c r="AM131" s="148" t="str">
        <f t="shared" ca="1" si="69"/>
        <v>DPCレセプト_臓器提供者レセプト情報レコードテーブルから組入れ条件の第一条件で絞り込んだ結果を格納するテーブル</v>
      </c>
      <c r="AN131" s="149"/>
      <c r="AO131" s="149"/>
      <c r="AP131" s="149"/>
      <c r="AQ131" s="149"/>
      <c r="AR131" s="149"/>
      <c r="AS131" s="149"/>
      <c r="AT131" s="149"/>
      <c r="AU131" s="149"/>
      <c r="AV131" s="149"/>
      <c r="AW131" s="149"/>
      <c r="AX131" s="149"/>
      <c r="AY131" s="149"/>
      <c r="AZ131" s="149"/>
      <c r="BA131" s="149"/>
      <c r="BB131" s="149"/>
      <c r="BC131" s="149"/>
      <c r="BD131" s="149"/>
      <c r="BE131" s="149"/>
      <c r="BF131" s="149"/>
      <c r="BG131" s="149"/>
      <c r="BH131" s="149"/>
      <c r="BI131" s="149"/>
      <c r="BJ131" s="151"/>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39" t="str">
        <f t="shared" si="8"/>
        <v>01</v>
      </c>
      <c r="C132" s="140"/>
      <c r="D132" s="140"/>
      <c r="E132" s="140"/>
      <c r="F132" s="141"/>
      <c r="G132" s="142" t="s">
        <v>196</v>
      </c>
      <c r="H132" s="143"/>
      <c r="I132" s="143"/>
      <c r="J132" s="143"/>
      <c r="K132" s="143"/>
      <c r="L132" s="143"/>
      <c r="M132" s="143"/>
      <c r="N132" s="144"/>
      <c r="O132" s="79" t="s">
        <v>3115</v>
      </c>
      <c r="P132" s="145" t="s">
        <v>1244</v>
      </c>
      <c r="Q132" s="146"/>
      <c r="R132" s="146"/>
      <c r="S132" s="146"/>
      <c r="T132" s="146"/>
      <c r="U132" s="146"/>
      <c r="V132" s="146"/>
      <c r="W132" s="146"/>
      <c r="X132" s="146"/>
      <c r="Y132" s="146"/>
      <c r="Z132" s="146"/>
      <c r="AA132" s="146"/>
      <c r="AB132" s="146"/>
      <c r="AC132" s="146"/>
      <c r="AD132" s="147"/>
      <c r="AE132" s="148" t="str">
        <f t="shared" ca="1" si="68"/>
        <v>sny_202310_backup_merge_mml_pi_master</v>
      </c>
      <c r="AF132" s="149"/>
      <c r="AG132" s="149"/>
      <c r="AH132" s="149"/>
      <c r="AI132" s="149"/>
      <c r="AJ132" s="149"/>
      <c r="AK132" s="149"/>
      <c r="AL132" s="150"/>
      <c r="AM132" s="148" t="str">
        <f t="shared" ca="1" si="69"/>
        <v>患者情報モジュール_患者情報テーブルから組入れ条件の第一条件で絞り込んだ結果を格納するテーブル</v>
      </c>
      <c r="AN132" s="149"/>
      <c r="AO132" s="149"/>
      <c r="AP132" s="149"/>
      <c r="AQ132" s="149"/>
      <c r="AR132" s="149"/>
      <c r="AS132" s="149"/>
      <c r="AT132" s="149"/>
      <c r="AU132" s="149"/>
      <c r="AV132" s="149"/>
      <c r="AW132" s="149"/>
      <c r="AX132" s="149"/>
      <c r="AY132" s="149"/>
      <c r="AZ132" s="149"/>
      <c r="BA132" s="149"/>
      <c r="BB132" s="149"/>
      <c r="BC132" s="149"/>
      <c r="BD132" s="149"/>
      <c r="BE132" s="149"/>
      <c r="BF132" s="149"/>
      <c r="BG132" s="149"/>
      <c r="BH132" s="149"/>
      <c r="BI132" s="149"/>
      <c r="BJ132" s="151"/>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39" t="str">
        <f t="shared" si="8"/>
        <v>01</v>
      </c>
      <c r="C133" s="140"/>
      <c r="D133" s="140"/>
      <c r="E133" s="140"/>
      <c r="F133" s="141"/>
      <c r="G133" s="142" t="s">
        <v>196</v>
      </c>
      <c r="H133" s="143"/>
      <c r="I133" s="143"/>
      <c r="J133" s="143"/>
      <c r="K133" s="143"/>
      <c r="L133" s="143"/>
      <c r="M133" s="143"/>
      <c r="N133" s="144"/>
      <c r="O133" s="79" t="s">
        <v>3116</v>
      </c>
      <c r="P133" s="145" t="s">
        <v>1302</v>
      </c>
      <c r="Q133" s="146"/>
      <c r="R133" s="146"/>
      <c r="S133" s="146"/>
      <c r="T133" s="146"/>
      <c r="U133" s="146"/>
      <c r="V133" s="146"/>
      <c r="W133" s="146"/>
      <c r="X133" s="146"/>
      <c r="Y133" s="146"/>
      <c r="Z133" s="146"/>
      <c r="AA133" s="146"/>
      <c r="AB133" s="146"/>
      <c r="AC133" s="146"/>
      <c r="AD133" s="147"/>
      <c r="AE133" s="148" t="str">
        <f t="shared" ca="1" si="68"/>
        <v>sny_202310_backup_merge_mml_rd_register</v>
      </c>
      <c r="AF133" s="149"/>
      <c r="AG133" s="149"/>
      <c r="AH133" s="149"/>
      <c r="AI133" s="149"/>
      <c r="AJ133" s="149"/>
      <c r="AK133" s="149"/>
      <c r="AL133" s="150"/>
      <c r="AM133" s="148" t="str">
        <f t="shared" ca="1" si="69"/>
        <v>診断履歴情報モジュール_診断履歴情報レコードテーブルから組入れ条件の第一条件で絞り込んだ結果を格納するテーブル</v>
      </c>
      <c r="AN133" s="149"/>
      <c r="AO133" s="149"/>
      <c r="AP133" s="149"/>
      <c r="AQ133" s="149"/>
      <c r="AR133" s="149"/>
      <c r="AS133" s="149"/>
      <c r="AT133" s="149"/>
      <c r="AU133" s="149"/>
      <c r="AV133" s="149"/>
      <c r="AW133" s="149"/>
      <c r="AX133" s="149"/>
      <c r="AY133" s="149"/>
      <c r="AZ133" s="149"/>
      <c r="BA133" s="149"/>
      <c r="BB133" s="149"/>
      <c r="BC133" s="149"/>
      <c r="BD133" s="149"/>
      <c r="BE133" s="149"/>
      <c r="BF133" s="149"/>
      <c r="BG133" s="149"/>
      <c r="BH133" s="149"/>
      <c r="BI133" s="149"/>
      <c r="BJ133" s="151"/>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39" t="str">
        <f t="shared" si="8"/>
        <v>01</v>
      </c>
      <c r="C134" s="140"/>
      <c r="D134" s="140"/>
      <c r="E134" s="140"/>
      <c r="F134" s="141"/>
      <c r="G134" s="142" t="s">
        <v>196</v>
      </c>
      <c r="H134" s="143"/>
      <c r="I134" s="143"/>
      <c r="J134" s="143"/>
      <c r="K134" s="143"/>
      <c r="L134" s="143"/>
      <c r="M134" s="143"/>
      <c r="N134" s="144"/>
      <c r="O134" s="79" t="s">
        <v>3117</v>
      </c>
      <c r="P134" s="145" t="s">
        <v>1321</v>
      </c>
      <c r="Q134" s="146"/>
      <c r="R134" s="146"/>
      <c r="S134" s="146"/>
      <c r="T134" s="146"/>
      <c r="U134" s="146"/>
      <c r="V134" s="146"/>
      <c r="W134" s="146"/>
      <c r="X134" s="146"/>
      <c r="Y134" s="146"/>
      <c r="Z134" s="146"/>
      <c r="AA134" s="146"/>
      <c r="AB134" s="146"/>
      <c r="AC134" s="146"/>
      <c r="AD134" s="147"/>
      <c r="AE134" s="148" t="str">
        <f t="shared" ca="1" si="68"/>
        <v>sny_202310_backup_merge_mml_rd_byomei</v>
      </c>
      <c r="AF134" s="149"/>
      <c r="AG134" s="149"/>
      <c r="AH134" s="149"/>
      <c r="AI134" s="149"/>
      <c r="AJ134" s="149"/>
      <c r="AK134" s="149"/>
      <c r="AL134" s="150"/>
      <c r="AM134" s="148" t="str">
        <f t="shared" ca="1" si="69"/>
        <v>診断履歴情報モジュール_診断病名レコードテーブルから組入れ条件の第一条件で絞り込んだ結果を格納するテーブル</v>
      </c>
      <c r="AN134" s="149"/>
      <c r="AO134" s="149"/>
      <c r="AP134" s="149"/>
      <c r="AQ134" s="149"/>
      <c r="AR134" s="149"/>
      <c r="AS134" s="149"/>
      <c r="AT134" s="149"/>
      <c r="AU134" s="149"/>
      <c r="AV134" s="149"/>
      <c r="AW134" s="149"/>
      <c r="AX134" s="149"/>
      <c r="AY134" s="149"/>
      <c r="AZ134" s="149"/>
      <c r="BA134" s="149"/>
      <c r="BB134" s="149"/>
      <c r="BC134" s="149"/>
      <c r="BD134" s="149"/>
      <c r="BE134" s="149"/>
      <c r="BF134" s="149"/>
      <c r="BG134" s="149"/>
      <c r="BH134" s="149"/>
      <c r="BI134" s="149"/>
      <c r="BJ134" s="151"/>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39" t="str">
        <f t="shared" si="8"/>
        <v>01</v>
      </c>
      <c r="C135" s="140"/>
      <c r="D135" s="140"/>
      <c r="E135" s="140"/>
      <c r="F135" s="141"/>
      <c r="G135" s="142" t="s">
        <v>196</v>
      </c>
      <c r="H135" s="143"/>
      <c r="I135" s="143"/>
      <c r="J135" s="143"/>
      <c r="K135" s="143"/>
      <c r="L135" s="143"/>
      <c r="M135" s="143"/>
      <c r="N135" s="144"/>
      <c r="O135" s="79" t="s">
        <v>3118</v>
      </c>
      <c r="P135" s="145" t="s">
        <v>1335</v>
      </c>
      <c r="Q135" s="146"/>
      <c r="R135" s="146"/>
      <c r="S135" s="146"/>
      <c r="T135" s="146"/>
      <c r="U135" s="146"/>
      <c r="V135" s="146"/>
      <c r="W135" s="146"/>
      <c r="X135" s="146"/>
      <c r="Y135" s="146"/>
      <c r="Z135" s="146"/>
      <c r="AA135" s="146"/>
      <c r="AB135" s="146"/>
      <c r="AC135" s="146"/>
      <c r="AD135" s="147"/>
      <c r="AE135" s="148" t="str">
        <f t="shared" ca="1" si="68"/>
        <v>sny_202310_backup_merge_mml_rd_category</v>
      </c>
      <c r="AF135" s="149"/>
      <c r="AG135" s="149"/>
      <c r="AH135" s="149"/>
      <c r="AI135" s="149"/>
      <c r="AJ135" s="149"/>
      <c r="AK135" s="149"/>
      <c r="AL135" s="150"/>
      <c r="AM135" s="148" t="str">
        <f t="shared" ca="1" si="69"/>
        <v>診断履歴情報モジュール_診断分類レコードテーブルから組入れ条件の第一条件で絞り込んだ結果を格納するテーブル</v>
      </c>
      <c r="AN135" s="149"/>
      <c r="AO135" s="149"/>
      <c r="AP135" s="149"/>
      <c r="AQ135" s="149"/>
      <c r="AR135" s="149"/>
      <c r="AS135" s="149"/>
      <c r="AT135" s="149"/>
      <c r="AU135" s="149"/>
      <c r="AV135" s="149"/>
      <c r="AW135" s="149"/>
      <c r="AX135" s="149"/>
      <c r="AY135" s="149"/>
      <c r="AZ135" s="149"/>
      <c r="BA135" s="149"/>
      <c r="BB135" s="149"/>
      <c r="BC135" s="149"/>
      <c r="BD135" s="149"/>
      <c r="BE135" s="149"/>
      <c r="BF135" s="149"/>
      <c r="BG135" s="149"/>
      <c r="BH135" s="149"/>
      <c r="BI135" s="149"/>
      <c r="BJ135" s="151"/>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39" t="str">
        <f t="shared" si="8"/>
        <v>01</v>
      </c>
      <c r="C136" s="140"/>
      <c r="D136" s="140"/>
      <c r="E136" s="140"/>
      <c r="F136" s="141"/>
      <c r="G136" s="142" t="s">
        <v>196</v>
      </c>
      <c r="H136" s="143"/>
      <c r="I136" s="143"/>
      <c r="J136" s="143"/>
      <c r="K136" s="143"/>
      <c r="L136" s="143"/>
      <c r="M136" s="143"/>
      <c r="N136" s="144"/>
      <c r="O136" s="79" t="s">
        <v>3119</v>
      </c>
      <c r="P136" s="145" t="s">
        <v>1346</v>
      </c>
      <c r="Q136" s="146"/>
      <c r="R136" s="146"/>
      <c r="S136" s="146"/>
      <c r="T136" s="146"/>
      <c r="U136" s="146"/>
      <c r="V136" s="146"/>
      <c r="W136" s="146"/>
      <c r="X136" s="146"/>
      <c r="Y136" s="146"/>
      <c r="Z136" s="146"/>
      <c r="AA136" s="146"/>
      <c r="AB136" s="146"/>
      <c r="AC136" s="146"/>
      <c r="AD136" s="147"/>
      <c r="AE136" s="148" t="str">
        <f t="shared" ca="1" si="68"/>
        <v>sny_202310_backup_merge_mml_pc_progress_course</v>
      </c>
      <c r="AF136" s="149"/>
      <c r="AG136" s="149"/>
      <c r="AH136" s="149"/>
      <c r="AI136" s="149"/>
      <c r="AJ136" s="149"/>
      <c r="AK136" s="149"/>
      <c r="AL136" s="150"/>
      <c r="AM136" s="148" t="str">
        <f t="shared" ca="1" si="69"/>
        <v>経過記録情報モジュール_経過記録情報レコードテーブルから組入れ条件の第一条件で絞り込んだ結果を格納するテーブル</v>
      </c>
      <c r="AN136" s="149"/>
      <c r="AO136" s="149"/>
      <c r="AP136" s="149"/>
      <c r="AQ136" s="149"/>
      <c r="AR136" s="149"/>
      <c r="AS136" s="149"/>
      <c r="AT136" s="149"/>
      <c r="AU136" s="149"/>
      <c r="AV136" s="149"/>
      <c r="AW136" s="149"/>
      <c r="AX136" s="149"/>
      <c r="AY136" s="149"/>
      <c r="AZ136" s="149"/>
      <c r="BA136" s="149"/>
      <c r="BB136" s="149"/>
      <c r="BC136" s="149"/>
      <c r="BD136" s="149"/>
      <c r="BE136" s="149"/>
      <c r="BF136" s="149"/>
      <c r="BG136" s="149"/>
      <c r="BH136" s="149"/>
      <c r="BI136" s="149"/>
      <c r="BJ136" s="151"/>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39" t="str">
        <f t="shared" si="8"/>
        <v>01</v>
      </c>
      <c r="C137" s="140"/>
      <c r="D137" s="140"/>
      <c r="E137" s="140"/>
      <c r="F137" s="141"/>
      <c r="G137" s="142" t="s">
        <v>196</v>
      </c>
      <c r="H137" s="143"/>
      <c r="I137" s="143"/>
      <c r="J137" s="143"/>
      <c r="K137" s="143"/>
      <c r="L137" s="143"/>
      <c r="M137" s="143"/>
      <c r="N137" s="144"/>
      <c r="O137" s="79" t="s">
        <v>3120</v>
      </c>
      <c r="P137" s="145" t="s">
        <v>1354</v>
      </c>
      <c r="Q137" s="146"/>
      <c r="R137" s="146"/>
      <c r="S137" s="146"/>
      <c r="T137" s="146"/>
      <c r="U137" s="146"/>
      <c r="V137" s="146"/>
      <c r="W137" s="146"/>
      <c r="X137" s="146"/>
      <c r="Y137" s="146"/>
      <c r="Z137" s="146"/>
      <c r="AA137" s="146"/>
      <c r="AB137" s="146"/>
      <c r="AC137" s="146"/>
      <c r="AD137" s="147"/>
      <c r="AE137" s="148" t="str">
        <f t="shared" ca="1" si="68"/>
        <v>sny_202310_backup_merge_mml_pc_problem</v>
      </c>
      <c r="AF137" s="149"/>
      <c r="AG137" s="149"/>
      <c r="AH137" s="149"/>
      <c r="AI137" s="149"/>
      <c r="AJ137" s="149"/>
      <c r="AK137" s="149"/>
      <c r="AL137" s="150"/>
      <c r="AM137" s="148" t="str">
        <f t="shared" ca="1" si="69"/>
        <v>経過記録情報モジュール_プロブレムレコードテーブルから組入れ条件の第一条件で絞り込んだ結果を格納するテーブル</v>
      </c>
      <c r="AN137" s="149"/>
      <c r="AO137" s="149"/>
      <c r="AP137" s="149"/>
      <c r="AQ137" s="149"/>
      <c r="AR137" s="149"/>
      <c r="AS137" s="149"/>
      <c r="AT137" s="149"/>
      <c r="AU137" s="149"/>
      <c r="AV137" s="149"/>
      <c r="AW137" s="149"/>
      <c r="AX137" s="149"/>
      <c r="AY137" s="149"/>
      <c r="AZ137" s="149"/>
      <c r="BA137" s="149"/>
      <c r="BB137" s="149"/>
      <c r="BC137" s="149"/>
      <c r="BD137" s="149"/>
      <c r="BE137" s="149"/>
      <c r="BF137" s="149"/>
      <c r="BG137" s="149"/>
      <c r="BH137" s="149"/>
      <c r="BI137" s="149"/>
      <c r="BJ137" s="151"/>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39" t="str">
        <f t="shared" si="8"/>
        <v>01</v>
      </c>
      <c r="C138" s="140"/>
      <c r="D138" s="140"/>
      <c r="E138" s="140"/>
      <c r="F138" s="141"/>
      <c r="G138" s="142" t="s">
        <v>196</v>
      </c>
      <c r="H138" s="143"/>
      <c r="I138" s="143"/>
      <c r="J138" s="143"/>
      <c r="K138" s="143"/>
      <c r="L138" s="143"/>
      <c r="M138" s="143"/>
      <c r="N138" s="144"/>
      <c r="O138" s="79" t="s">
        <v>3121</v>
      </c>
      <c r="P138" s="145" t="s">
        <v>1392</v>
      </c>
      <c r="Q138" s="146"/>
      <c r="R138" s="146"/>
      <c r="S138" s="146"/>
      <c r="T138" s="146"/>
      <c r="U138" s="146"/>
      <c r="V138" s="146"/>
      <c r="W138" s="146"/>
      <c r="X138" s="146"/>
      <c r="Y138" s="146"/>
      <c r="Z138" s="146"/>
      <c r="AA138" s="146"/>
      <c r="AB138" s="146"/>
      <c r="AC138" s="146"/>
      <c r="AD138" s="147"/>
      <c r="AE138" s="148" t="str">
        <f t="shared" ca="1" si="68"/>
        <v>sny_202310_backup_merge_mml_pc_physical_exam</v>
      </c>
      <c r="AF138" s="149"/>
      <c r="AG138" s="149"/>
      <c r="AH138" s="149"/>
      <c r="AI138" s="149"/>
      <c r="AJ138" s="149"/>
      <c r="AK138" s="149"/>
      <c r="AL138" s="150"/>
      <c r="AM138" s="148" t="str">
        <f t="shared" ca="1" si="69"/>
        <v>経過記録情報モジュール_身体所見レコードテーブルから組入れ条件の第一条件で絞り込んだ結果を格納するテーブル</v>
      </c>
      <c r="AN138" s="149"/>
      <c r="AO138" s="149"/>
      <c r="AP138" s="149"/>
      <c r="AQ138" s="149"/>
      <c r="AR138" s="149"/>
      <c r="AS138" s="149"/>
      <c r="AT138" s="149"/>
      <c r="AU138" s="149"/>
      <c r="AV138" s="149"/>
      <c r="AW138" s="149"/>
      <c r="AX138" s="149"/>
      <c r="AY138" s="149"/>
      <c r="AZ138" s="149"/>
      <c r="BA138" s="149"/>
      <c r="BB138" s="149"/>
      <c r="BC138" s="149"/>
      <c r="BD138" s="149"/>
      <c r="BE138" s="149"/>
      <c r="BF138" s="149"/>
      <c r="BG138" s="149"/>
      <c r="BH138" s="149"/>
      <c r="BI138" s="149"/>
      <c r="BJ138" s="151"/>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39" t="str">
        <f t="shared" si="8"/>
        <v>01</v>
      </c>
      <c r="C139" s="140"/>
      <c r="D139" s="140"/>
      <c r="E139" s="140"/>
      <c r="F139" s="141"/>
      <c r="G139" s="142" t="s">
        <v>196</v>
      </c>
      <c r="H139" s="143"/>
      <c r="I139" s="143"/>
      <c r="J139" s="143"/>
      <c r="K139" s="143"/>
      <c r="L139" s="143"/>
      <c r="M139" s="143"/>
      <c r="N139" s="144"/>
      <c r="O139" s="79" t="s">
        <v>3122</v>
      </c>
      <c r="P139" s="145" t="s">
        <v>1406</v>
      </c>
      <c r="Q139" s="146"/>
      <c r="R139" s="146"/>
      <c r="S139" s="146"/>
      <c r="T139" s="146"/>
      <c r="U139" s="146"/>
      <c r="V139" s="146"/>
      <c r="W139" s="146"/>
      <c r="X139" s="146"/>
      <c r="Y139" s="146"/>
      <c r="Z139" s="146"/>
      <c r="AA139" s="146"/>
      <c r="AB139" s="146"/>
      <c r="AC139" s="146"/>
      <c r="AD139" s="147"/>
      <c r="AE139" s="148" t="str">
        <f t="shared" ca="1" si="68"/>
        <v>sny_202310_backup_merge_mml_pc_assessment</v>
      </c>
      <c r="AF139" s="149"/>
      <c r="AG139" s="149"/>
      <c r="AH139" s="149"/>
      <c r="AI139" s="149"/>
      <c r="AJ139" s="149"/>
      <c r="AK139" s="149"/>
      <c r="AL139" s="150"/>
      <c r="AM139" s="148" t="str">
        <f t="shared" ca="1" si="69"/>
        <v>経過記録情報モジュール_アセスメントレコードテーブルから組入れ条件の第一条件で絞り込んだ結果を格納するテーブル</v>
      </c>
      <c r="AN139" s="149"/>
      <c r="AO139" s="149"/>
      <c r="AP139" s="149"/>
      <c r="AQ139" s="149"/>
      <c r="AR139" s="149"/>
      <c r="AS139" s="149"/>
      <c r="AT139" s="149"/>
      <c r="AU139" s="149"/>
      <c r="AV139" s="149"/>
      <c r="AW139" s="149"/>
      <c r="AX139" s="149"/>
      <c r="AY139" s="149"/>
      <c r="AZ139" s="149"/>
      <c r="BA139" s="149"/>
      <c r="BB139" s="149"/>
      <c r="BC139" s="149"/>
      <c r="BD139" s="149"/>
      <c r="BE139" s="149"/>
      <c r="BF139" s="149"/>
      <c r="BG139" s="149"/>
      <c r="BH139" s="149"/>
      <c r="BI139" s="149"/>
      <c r="BJ139" s="151"/>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39" t="str">
        <f t="shared" si="8"/>
        <v>01</v>
      </c>
      <c r="C140" s="140"/>
      <c r="D140" s="140"/>
      <c r="E140" s="140"/>
      <c r="F140" s="141"/>
      <c r="G140" s="142" t="s">
        <v>196</v>
      </c>
      <c r="H140" s="143"/>
      <c r="I140" s="143"/>
      <c r="J140" s="143"/>
      <c r="K140" s="143"/>
      <c r="L140" s="143"/>
      <c r="M140" s="143"/>
      <c r="N140" s="144"/>
      <c r="O140" s="79" t="s">
        <v>3123</v>
      </c>
      <c r="P140" s="145" t="s">
        <v>1414</v>
      </c>
      <c r="Q140" s="146"/>
      <c r="R140" s="146"/>
      <c r="S140" s="146"/>
      <c r="T140" s="146"/>
      <c r="U140" s="146"/>
      <c r="V140" s="146"/>
      <c r="W140" s="146"/>
      <c r="X140" s="146"/>
      <c r="Y140" s="146"/>
      <c r="Z140" s="146"/>
      <c r="AA140" s="146"/>
      <c r="AB140" s="146"/>
      <c r="AC140" s="146"/>
      <c r="AD140" s="147"/>
      <c r="AE140" s="148" t="str">
        <f t="shared" ca="1" si="68"/>
        <v>sny_202310_backup_merge_mml_pc_external_reference</v>
      </c>
      <c r="AF140" s="149"/>
      <c r="AG140" s="149"/>
      <c r="AH140" s="149"/>
      <c r="AI140" s="149"/>
      <c r="AJ140" s="149"/>
      <c r="AK140" s="149"/>
      <c r="AL140" s="150"/>
      <c r="AM140" s="148" t="str">
        <f t="shared" ca="1" si="69"/>
        <v>経過記録情報モジュール_外部参照レコードテーブルから組入れ条件の第一条件で絞り込んだ結果を格納するテーブル</v>
      </c>
      <c r="AN140" s="149"/>
      <c r="AO140" s="149"/>
      <c r="AP140" s="149"/>
      <c r="AQ140" s="149"/>
      <c r="AR140" s="149"/>
      <c r="AS140" s="149"/>
      <c r="AT140" s="149"/>
      <c r="AU140" s="149"/>
      <c r="AV140" s="149"/>
      <c r="AW140" s="149"/>
      <c r="AX140" s="149"/>
      <c r="AY140" s="149"/>
      <c r="AZ140" s="149"/>
      <c r="BA140" s="149"/>
      <c r="BB140" s="149"/>
      <c r="BC140" s="149"/>
      <c r="BD140" s="149"/>
      <c r="BE140" s="149"/>
      <c r="BF140" s="149"/>
      <c r="BG140" s="149"/>
      <c r="BH140" s="149"/>
      <c r="BI140" s="149"/>
      <c r="BJ140" s="151"/>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39" t="str">
        <f t="shared" si="8"/>
        <v>01</v>
      </c>
      <c r="C141" s="140"/>
      <c r="D141" s="140"/>
      <c r="E141" s="140"/>
      <c r="F141" s="141"/>
      <c r="G141" s="142" t="s">
        <v>196</v>
      </c>
      <c r="H141" s="143"/>
      <c r="I141" s="143"/>
      <c r="J141" s="143"/>
      <c r="K141" s="143"/>
      <c r="L141" s="143"/>
      <c r="M141" s="143"/>
      <c r="N141" s="144"/>
      <c r="O141" s="79" t="s">
        <v>3124</v>
      </c>
      <c r="P141" s="145" t="s">
        <v>1437</v>
      </c>
      <c r="Q141" s="146"/>
      <c r="R141" s="146"/>
      <c r="S141" s="146"/>
      <c r="T141" s="146"/>
      <c r="U141" s="146"/>
      <c r="V141" s="146"/>
      <c r="W141" s="146"/>
      <c r="X141" s="146"/>
      <c r="Y141" s="146"/>
      <c r="Z141" s="146"/>
      <c r="AA141" s="146"/>
      <c r="AB141" s="146"/>
      <c r="AC141" s="146"/>
      <c r="AD141" s="147"/>
      <c r="AE141" s="148" t="str">
        <f t="shared" ca="1" si="68"/>
        <v>sny_202310_backup_merge_mml_sm_summary</v>
      </c>
      <c r="AF141" s="149"/>
      <c r="AG141" s="149"/>
      <c r="AH141" s="149"/>
      <c r="AI141" s="149"/>
      <c r="AJ141" s="149"/>
      <c r="AK141" s="149"/>
      <c r="AL141" s="150"/>
      <c r="AM141" s="148" t="str">
        <f t="shared" ca="1" si="69"/>
        <v>臨床サマリーモジュール_臨床サマリー情報レコードテーブルから組入れ条件の第一条件で絞り込んだ結果を格納するテーブル</v>
      </c>
      <c r="AN141" s="149"/>
      <c r="AO141" s="149"/>
      <c r="AP141" s="149"/>
      <c r="AQ141" s="149"/>
      <c r="AR141" s="149"/>
      <c r="AS141" s="149"/>
      <c r="AT141" s="149"/>
      <c r="AU141" s="149"/>
      <c r="AV141" s="149"/>
      <c r="AW141" s="149"/>
      <c r="AX141" s="149"/>
      <c r="AY141" s="149"/>
      <c r="AZ141" s="149"/>
      <c r="BA141" s="149"/>
      <c r="BB141" s="149"/>
      <c r="BC141" s="149"/>
      <c r="BD141" s="149"/>
      <c r="BE141" s="149"/>
      <c r="BF141" s="149"/>
      <c r="BG141" s="149"/>
      <c r="BH141" s="149"/>
      <c r="BI141" s="149"/>
      <c r="BJ141" s="151"/>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39" t="str">
        <f t="shared" si="8"/>
        <v>01</v>
      </c>
      <c r="C142" s="140"/>
      <c r="D142" s="140"/>
      <c r="E142" s="140"/>
      <c r="F142" s="141"/>
      <c r="G142" s="142" t="s">
        <v>196</v>
      </c>
      <c r="H142" s="143"/>
      <c r="I142" s="143"/>
      <c r="J142" s="143"/>
      <c r="K142" s="143"/>
      <c r="L142" s="143"/>
      <c r="M142" s="143"/>
      <c r="N142" s="144"/>
      <c r="O142" s="79" t="s">
        <v>3125</v>
      </c>
      <c r="P142" s="145" t="s">
        <v>1479</v>
      </c>
      <c r="Q142" s="146"/>
      <c r="R142" s="146"/>
      <c r="S142" s="146"/>
      <c r="T142" s="146"/>
      <c r="U142" s="146"/>
      <c r="V142" s="146"/>
      <c r="W142" s="146"/>
      <c r="X142" s="146"/>
      <c r="Y142" s="146"/>
      <c r="Z142" s="146"/>
      <c r="AA142" s="146"/>
      <c r="AB142" s="146"/>
      <c r="AC142" s="146"/>
      <c r="AD142" s="147"/>
      <c r="AE142" s="148" t="str">
        <f t="shared" ca="1" si="68"/>
        <v>sny_202310_backup_merge_mml_sm_out_patient</v>
      </c>
      <c r="AF142" s="149"/>
      <c r="AG142" s="149"/>
      <c r="AH142" s="149"/>
      <c r="AI142" s="149"/>
      <c r="AJ142" s="149"/>
      <c r="AK142" s="149"/>
      <c r="AL142" s="150"/>
      <c r="AM142" s="148" t="str">
        <f t="shared" ca="1" si="69"/>
        <v>臨床サマリーモジュール_外来受診レコードテーブルから組入れ条件の第一条件で絞り込んだ結果を格納するテーブル</v>
      </c>
      <c r="AN142" s="149"/>
      <c r="AO142" s="149"/>
      <c r="AP142" s="149"/>
      <c r="AQ142" s="149"/>
      <c r="AR142" s="149"/>
      <c r="AS142" s="149"/>
      <c r="AT142" s="149"/>
      <c r="AU142" s="149"/>
      <c r="AV142" s="149"/>
      <c r="AW142" s="149"/>
      <c r="AX142" s="149"/>
      <c r="AY142" s="149"/>
      <c r="AZ142" s="149"/>
      <c r="BA142" s="149"/>
      <c r="BB142" s="149"/>
      <c r="BC142" s="149"/>
      <c r="BD142" s="149"/>
      <c r="BE142" s="149"/>
      <c r="BF142" s="149"/>
      <c r="BG142" s="149"/>
      <c r="BH142" s="149"/>
      <c r="BI142" s="149"/>
      <c r="BJ142" s="151"/>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39" t="str">
        <f t="shared" si="8"/>
        <v>01</v>
      </c>
      <c r="C143" s="140"/>
      <c r="D143" s="140"/>
      <c r="E143" s="140"/>
      <c r="F143" s="141"/>
      <c r="G143" s="142" t="s">
        <v>196</v>
      </c>
      <c r="H143" s="143"/>
      <c r="I143" s="143"/>
      <c r="J143" s="143"/>
      <c r="K143" s="143"/>
      <c r="L143" s="143"/>
      <c r="M143" s="143"/>
      <c r="N143" s="144"/>
      <c r="O143" s="79" t="s">
        <v>3126</v>
      </c>
      <c r="P143" s="145" t="s">
        <v>1496</v>
      </c>
      <c r="Q143" s="146"/>
      <c r="R143" s="146"/>
      <c r="S143" s="146"/>
      <c r="T143" s="146"/>
      <c r="U143" s="146"/>
      <c r="V143" s="146"/>
      <c r="W143" s="146"/>
      <c r="X143" s="146"/>
      <c r="Y143" s="146"/>
      <c r="Z143" s="146"/>
      <c r="AA143" s="146"/>
      <c r="AB143" s="146"/>
      <c r="AC143" s="146"/>
      <c r="AD143" s="147"/>
      <c r="AE143" s="148" t="str">
        <f t="shared" ca="1" si="68"/>
        <v>sny_202310_backup_merge_mml_sm_in_patient</v>
      </c>
      <c r="AF143" s="149"/>
      <c r="AG143" s="149"/>
      <c r="AH143" s="149"/>
      <c r="AI143" s="149"/>
      <c r="AJ143" s="149"/>
      <c r="AK143" s="149"/>
      <c r="AL143" s="150"/>
      <c r="AM143" s="148" t="str">
        <f t="shared" ca="1" si="69"/>
        <v>臨床サマリーモジュール_入院レコードテーブルから組入れ条件の第一条件で絞り込んだ結果を格納するテーブル</v>
      </c>
      <c r="AN143" s="149"/>
      <c r="AO143" s="149"/>
      <c r="AP143" s="149"/>
      <c r="AQ143" s="149"/>
      <c r="AR143" s="149"/>
      <c r="AS143" s="149"/>
      <c r="AT143" s="149"/>
      <c r="AU143" s="149"/>
      <c r="AV143" s="149"/>
      <c r="AW143" s="149"/>
      <c r="AX143" s="149"/>
      <c r="AY143" s="149"/>
      <c r="AZ143" s="149"/>
      <c r="BA143" s="149"/>
      <c r="BB143" s="149"/>
      <c r="BC143" s="149"/>
      <c r="BD143" s="149"/>
      <c r="BE143" s="149"/>
      <c r="BF143" s="149"/>
      <c r="BG143" s="149"/>
      <c r="BH143" s="149"/>
      <c r="BI143" s="149"/>
      <c r="BJ143" s="151"/>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39" t="str">
        <f t="shared" si="8"/>
        <v>01</v>
      </c>
      <c r="C144" s="140"/>
      <c r="D144" s="140"/>
      <c r="E144" s="140"/>
      <c r="F144" s="141"/>
      <c r="G144" s="142" t="s">
        <v>196</v>
      </c>
      <c r="H144" s="143"/>
      <c r="I144" s="143"/>
      <c r="J144" s="143"/>
      <c r="K144" s="143"/>
      <c r="L144" s="143"/>
      <c r="M144" s="143"/>
      <c r="N144" s="144"/>
      <c r="O144" s="79" t="s">
        <v>3127</v>
      </c>
      <c r="P144" s="145" t="s">
        <v>1522</v>
      </c>
      <c r="Q144" s="146"/>
      <c r="R144" s="146"/>
      <c r="S144" s="146"/>
      <c r="T144" s="146"/>
      <c r="U144" s="146"/>
      <c r="V144" s="146"/>
      <c r="W144" s="146"/>
      <c r="X144" s="146"/>
      <c r="Y144" s="146"/>
      <c r="Z144" s="146"/>
      <c r="AA144" s="146"/>
      <c r="AB144" s="146"/>
      <c r="AC144" s="146"/>
      <c r="AD144" s="147"/>
      <c r="AE144" s="148" t="str">
        <f t="shared" ca="1" si="68"/>
        <v>sny_202310_backup_merge_mml_sm_clinical_course</v>
      </c>
      <c r="AF144" s="149"/>
      <c r="AG144" s="149"/>
      <c r="AH144" s="149"/>
      <c r="AI144" s="149"/>
      <c r="AJ144" s="149"/>
      <c r="AK144" s="149"/>
      <c r="AL144" s="150"/>
      <c r="AM144" s="148" t="str">
        <f t="shared" ca="1" si="69"/>
        <v>臨床サマリーモジュール_経過記録レコードテーブルから組入れ条件の第一条件で絞り込んだ結果を格納するテーブル</v>
      </c>
      <c r="AN144" s="149"/>
      <c r="AO144" s="149"/>
      <c r="AP144" s="149"/>
      <c r="AQ144" s="149"/>
      <c r="AR144" s="149"/>
      <c r="AS144" s="149"/>
      <c r="AT144" s="149"/>
      <c r="AU144" s="149"/>
      <c r="AV144" s="149"/>
      <c r="AW144" s="149"/>
      <c r="AX144" s="149"/>
      <c r="AY144" s="149"/>
      <c r="AZ144" s="149"/>
      <c r="BA144" s="149"/>
      <c r="BB144" s="149"/>
      <c r="BC144" s="149"/>
      <c r="BD144" s="149"/>
      <c r="BE144" s="149"/>
      <c r="BF144" s="149"/>
      <c r="BG144" s="149"/>
      <c r="BH144" s="149"/>
      <c r="BI144" s="149"/>
      <c r="BJ144" s="151"/>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39" t="str">
        <f t="shared" si="8"/>
        <v>01</v>
      </c>
      <c r="C145" s="140"/>
      <c r="D145" s="140"/>
      <c r="E145" s="140"/>
      <c r="F145" s="141"/>
      <c r="G145" s="142" t="s">
        <v>196</v>
      </c>
      <c r="H145" s="143"/>
      <c r="I145" s="143"/>
      <c r="J145" s="143"/>
      <c r="K145" s="143"/>
      <c r="L145" s="143"/>
      <c r="M145" s="143"/>
      <c r="N145" s="144"/>
      <c r="O145" s="79" t="s">
        <v>3128</v>
      </c>
      <c r="P145" s="145" t="s">
        <v>1537</v>
      </c>
      <c r="Q145" s="146"/>
      <c r="R145" s="146"/>
      <c r="S145" s="146"/>
      <c r="T145" s="146"/>
      <c r="U145" s="146"/>
      <c r="V145" s="146"/>
      <c r="W145" s="146"/>
      <c r="X145" s="146"/>
      <c r="Y145" s="146"/>
      <c r="Z145" s="146"/>
      <c r="AA145" s="146"/>
      <c r="AB145" s="146"/>
      <c r="AC145" s="146"/>
      <c r="AD145" s="147"/>
      <c r="AE145" s="148" t="str">
        <f t="shared" ca="1" si="68"/>
        <v>sny_202310_backup_merge_mml_sm_test_results</v>
      </c>
      <c r="AF145" s="149"/>
      <c r="AG145" s="149"/>
      <c r="AH145" s="149"/>
      <c r="AI145" s="149"/>
      <c r="AJ145" s="149"/>
      <c r="AK145" s="149"/>
      <c r="AL145" s="150"/>
      <c r="AM145" s="148" t="str">
        <f t="shared" ca="1" si="69"/>
        <v>臨床サマリーモジュール_検査結果レコードテーブルから組入れ条件の第一条件で絞り込んだ結果を格納するテーブル</v>
      </c>
      <c r="AN145" s="149"/>
      <c r="AO145" s="149"/>
      <c r="AP145" s="149"/>
      <c r="AQ145" s="149"/>
      <c r="AR145" s="149"/>
      <c r="AS145" s="149"/>
      <c r="AT145" s="149"/>
      <c r="AU145" s="149"/>
      <c r="AV145" s="149"/>
      <c r="AW145" s="149"/>
      <c r="AX145" s="149"/>
      <c r="AY145" s="149"/>
      <c r="AZ145" s="149"/>
      <c r="BA145" s="149"/>
      <c r="BB145" s="149"/>
      <c r="BC145" s="149"/>
      <c r="BD145" s="149"/>
      <c r="BE145" s="149"/>
      <c r="BF145" s="149"/>
      <c r="BG145" s="149"/>
      <c r="BH145" s="149"/>
      <c r="BI145" s="149"/>
      <c r="BJ145" s="151"/>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39" t="str">
        <f t="shared" si="8"/>
        <v>01</v>
      </c>
      <c r="C146" s="140"/>
      <c r="D146" s="140"/>
      <c r="E146" s="140"/>
      <c r="F146" s="141"/>
      <c r="G146" s="142" t="s">
        <v>196</v>
      </c>
      <c r="H146" s="143"/>
      <c r="I146" s="143"/>
      <c r="J146" s="143"/>
      <c r="K146" s="143"/>
      <c r="L146" s="143"/>
      <c r="M146" s="143"/>
      <c r="N146" s="144"/>
      <c r="O146" s="79" t="s">
        <v>3129</v>
      </c>
      <c r="P146" s="145" t="s">
        <v>1547</v>
      </c>
      <c r="Q146" s="146"/>
      <c r="R146" s="146"/>
      <c r="S146" s="146"/>
      <c r="T146" s="146"/>
      <c r="U146" s="146"/>
      <c r="V146" s="146"/>
      <c r="W146" s="146"/>
      <c r="X146" s="146"/>
      <c r="Y146" s="146"/>
      <c r="Z146" s="146"/>
      <c r="AA146" s="146"/>
      <c r="AB146" s="146"/>
      <c r="AC146" s="146"/>
      <c r="AD146" s="147"/>
      <c r="AE146" s="148" t="str">
        <f t="shared" ca="1" si="68"/>
        <v>sny_202310_backup_merge_mml_lb_test</v>
      </c>
      <c r="AF146" s="149"/>
      <c r="AG146" s="149"/>
      <c r="AH146" s="149"/>
      <c r="AI146" s="149"/>
      <c r="AJ146" s="149"/>
      <c r="AK146" s="149"/>
      <c r="AL146" s="150"/>
      <c r="AM146" s="148" t="str">
        <f t="shared" ca="1" si="69"/>
        <v>検歴情報モジュール_検歴情報テーブルから組入れ条件の第一条件で絞り込んだ結果を格納するテーブル</v>
      </c>
      <c r="AN146" s="149"/>
      <c r="AO146" s="149"/>
      <c r="AP146" s="149"/>
      <c r="AQ146" s="149"/>
      <c r="AR146" s="149"/>
      <c r="AS146" s="149"/>
      <c r="AT146" s="149"/>
      <c r="AU146" s="149"/>
      <c r="AV146" s="149"/>
      <c r="AW146" s="149"/>
      <c r="AX146" s="149"/>
      <c r="AY146" s="149"/>
      <c r="AZ146" s="149"/>
      <c r="BA146" s="149"/>
      <c r="BB146" s="149"/>
      <c r="BC146" s="149"/>
      <c r="BD146" s="149"/>
      <c r="BE146" s="149"/>
      <c r="BF146" s="149"/>
      <c r="BG146" s="149"/>
      <c r="BH146" s="149"/>
      <c r="BI146" s="149"/>
      <c r="BJ146" s="151"/>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39" t="str">
        <f t="shared" si="8"/>
        <v>01</v>
      </c>
      <c r="C147" s="140"/>
      <c r="D147" s="140"/>
      <c r="E147" s="140"/>
      <c r="F147" s="141"/>
      <c r="G147" s="142" t="s">
        <v>196</v>
      </c>
      <c r="H147" s="143"/>
      <c r="I147" s="143"/>
      <c r="J147" s="143"/>
      <c r="K147" s="143"/>
      <c r="L147" s="143"/>
      <c r="M147" s="143"/>
      <c r="N147" s="144"/>
      <c r="O147" s="79" t="s">
        <v>3130</v>
      </c>
      <c r="P147" s="145" t="s">
        <v>1605</v>
      </c>
      <c r="Q147" s="146"/>
      <c r="R147" s="146"/>
      <c r="S147" s="146"/>
      <c r="T147" s="146"/>
      <c r="U147" s="146"/>
      <c r="V147" s="146"/>
      <c r="W147" s="146"/>
      <c r="X147" s="146"/>
      <c r="Y147" s="146"/>
      <c r="Z147" s="146"/>
      <c r="AA147" s="146"/>
      <c r="AB147" s="146"/>
      <c r="AC147" s="146"/>
      <c r="AD147" s="147"/>
      <c r="AE147" s="148" t="str">
        <f t="shared" ca="1" si="68"/>
        <v>sny_202310_backup_merge_mml_lb_specimen</v>
      </c>
      <c r="AF147" s="149"/>
      <c r="AG147" s="149"/>
      <c r="AH147" s="149"/>
      <c r="AI147" s="149"/>
      <c r="AJ147" s="149"/>
      <c r="AK147" s="149"/>
      <c r="AL147" s="150"/>
      <c r="AM147" s="148" t="str">
        <f t="shared" ca="1" si="69"/>
        <v>検歴情報モジュール_検歴検体材料テーブルから組入れ条件の第一条件で絞り込んだ結果を格納するテーブル</v>
      </c>
      <c r="AN147" s="149"/>
      <c r="AO147" s="149"/>
      <c r="AP147" s="149"/>
      <c r="AQ147" s="149"/>
      <c r="AR147" s="149"/>
      <c r="AS147" s="149"/>
      <c r="AT147" s="149"/>
      <c r="AU147" s="149"/>
      <c r="AV147" s="149"/>
      <c r="AW147" s="149"/>
      <c r="AX147" s="149"/>
      <c r="AY147" s="149"/>
      <c r="AZ147" s="149"/>
      <c r="BA147" s="149"/>
      <c r="BB147" s="149"/>
      <c r="BC147" s="149"/>
      <c r="BD147" s="149"/>
      <c r="BE147" s="149"/>
      <c r="BF147" s="149"/>
      <c r="BG147" s="149"/>
      <c r="BH147" s="149"/>
      <c r="BI147" s="149"/>
      <c r="BJ147" s="151"/>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39" t="str">
        <f t="shared" si="8"/>
        <v>01</v>
      </c>
      <c r="C148" s="140"/>
      <c r="D148" s="140"/>
      <c r="E148" s="140"/>
      <c r="F148" s="141"/>
      <c r="G148" s="142" t="s">
        <v>196</v>
      </c>
      <c r="H148" s="143"/>
      <c r="I148" s="143"/>
      <c r="J148" s="143"/>
      <c r="K148" s="143"/>
      <c r="L148" s="143"/>
      <c r="M148" s="143"/>
      <c r="N148" s="144"/>
      <c r="O148" s="79" t="s">
        <v>3131</v>
      </c>
      <c r="P148" s="145" t="s">
        <v>1624</v>
      </c>
      <c r="Q148" s="146"/>
      <c r="R148" s="146"/>
      <c r="S148" s="146"/>
      <c r="T148" s="146"/>
      <c r="U148" s="146"/>
      <c r="V148" s="146"/>
      <c r="W148" s="146"/>
      <c r="X148" s="146"/>
      <c r="Y148" s="146"/>
      <c r="Z148" s="146"/>
      <c r="AA148" s="146"/>
      <c r="AB148" s="146"/>
      <c r="AC148" s="146"/>
      <c r="AD148" s="147"/>
      <c r="AE148" s="148" t="str">
        <f t="shared" ca="1" si="68"/>
        <v>sny_202310_backup_merge_mml_lb_item</v>
      </c>
      <c r="AF148" s="149"/>
      <c r="AG148" s="149"/>
      <c r="AH148" s="149"/>
      <c r="AI148" s="149"/>
      <c r="AJ148" s="149"/>
      <c r="AK148" s="149"/>
      <c r="AL148" s="150"/>
      <c r="AM148" s="148" t="str">
        <f t="shared" ca="1" si="69"/>
        <v>検歴情報モジュール_検歴項目情報テーブルから組入れ条件の第一条件で絞り込んだ結果を格納するテーブル</v>
      </c>
      <c r="AN148" s="149"/>
      <c r="AO148" s="149"/>
      <c r="AP148" s="149"/>
      <c r="AQ148" s="149"/>
      <c r="AR148" s="149"/>
      <c r="AS148" s="149"/>
      <c r="AT148" s="149"/>
      <c r="AU148" s="149"/>
      <c r="AV148" s="149"/>
      <c r="AW148" s="149"/>
      <c r="AX148" s="149"/>
      <c r="AY148" s="149"/>
      <c r="AZ148" s="149"/>
      <c r="BA148" s="149"/>
      <c r="BB148" s="149"/>
      <c r="BC148" s="149"/>
      <c r="BD148" s="149"/>
      <c r="BE148" s="149"/>
      <c r="BF148" s="149"/>
      <c r="BG148" s="149"/>
      <c r="BH148" s="149"/>
      <c r="BI148" s="149"/>
      <c r="BJ148" s="151"/>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39" t="str">
        <f t="shared" si="8"/>
        <v>01</v>
      </c>
      <c r="C149" s="140"/>
      <c r="D149" s="140"/>
      <c r="E149" s="140"/>
      <c r="F149" s="141"/>
      <c r="G149" s="142" t="s">
        <v>196</v>
      </c>
      <c r="H149" s="143"/>
      <c r="I149" s="143"/>
      <c r="J149" s="143"/>
      <c r="K149" s="143"/>
      <c r="L149" s="143"/>
      <c r="M149" s="143"/>
      <c r="N149" s="144"/>
      <c r="O149" s="79" t="s">
        <v>3132</v>
      </c>
      <c r="P149" s="145" t="s">
        <v>1682</v>
      </c>
      <c r="Q149" s="146"/>
      <c r="R149" s="146"/>
      <c r="S149" s="146"/>
      <c r="T149" s="146"/>
      <c r="U149" s="146"/>
      <c r="V149" s="146"/>
      <c r="W149" s="146"/>
      <c r="X149" s="146"/>
      <c r="Y149" s="146"/>
      <c r="Z149" s="146"/>
      <c r="AA149" s="146"/>
      <c r="AB149" s="146"/>
      <c r="AC149" s="146"/>
      <c r="AD149" s="147"/>
      <c r="AE149" s="148" t="str">
        <f t="shared" ref="AE149:AE151" ca="1" si="76">IFERROR(INDIRECT(P149&amp;"!D8"),"")</f>
        <v>sny_202310_backup_merge_mml_vs_vitalsign</v>
      </c>
      <c r="AF149" s="149"/>
      <c r="AG149" s="149"/>
      <c r="AH149" s="149"/>
      <c r="AI149" s="149"/>
      <c r="AJ149" s="149"/>
      <c r="AK149" s="149"/>
      <c r="AL149" s="150"/>
      <c r="AM149" s="148" t="str">
        <f t="shared" ref="AM149:AM151" ca="1" si="77">IFERROR(INDIRECT(P149&amp;"!D9"),"")</f>
        <v>バイタルサインモジュール_バイタルサインテーブルから組入れ条件の第一条件で絞り込んだ結果を格納するテーブル</v>
      </c>
      <c r="AN149" s="149"/>
      <c r="AO149" s="149"/>
      <c r="AP149" s="149"/>
      <c r="AQ149" s="149"/>
      <c r="AR149" s="149"/>
      <c r="AS149" s="149"/>
      <c r="AT149" s="149"/>
      <c r="AU149" s="149"/>
      <c r="AV149" s="149"/>
      <c r="AW149" s="149"/>
      <c r="AX149" s="149"/>
      <c r="AY149" s="149"/>
      <c r="AZ149" s="149"/>
      <c r="BA149" s="149"/>
      <c r="BB149" s="149"/>
      <c r="BC149" s="149"/>
      <c r="BD149" s="149"/>
      <c r="BE149" s="149"/>
      <c r="BF149" s="149"/>
      <c r="BG149" s="149"/>
      <c r="BH149" s="149"/>
      <c r="BI149" s="149"/>
      <c r="BJ149" s="151"/>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39" t="str">
        <f t="shared" si="8"/>
        <v>01</v>
      </c>
      <c r="C150" s="140"/>
      <c r="D150" s="140"/>
      <c r="E150" s="140"/>
      <c r="F150" s="141"/>
      <c r="G150" s="142" t="s">
        <v>196</v>
      </c>
      <c r="H150" s="143"/>
      <c r="I150" s="143"/>
      <c r="J150" s="143"/>
      <c r="K150" s="143"/>
      <c r="L150" s="143"/>
      <c r="M150" s="143"/>
      <c r="N150" s="144"/>
      <c r="O150" s="79" t="s">
        <v>3133</v>
      </c>
      <c r="P150" s="145" t="s">
        <v>1719</v>
      </c>
      <c r="Q150" s="146"/>
      <c r="R150" s="146"/>
      <c r="S150" s="146"/>
      <c r="T150" s="146"/>
      <c r="U150" s="146"/>
      <c r="V150" s="146"/>
      <c r="W150" s="146"/>
      <c r="X150" s="146"/>
      <c r="Y150" s="146"/>
      <c r="Z150" s="146"/>
      <c r="AA150" s="146"/>
      <c r="AB150" s="146"/>
      <c r="AC150" s="146"/>
      <c r="AD150" s="147"/>
      <c r="AE150" s="148" t="str">
        <f t="shared" ca="1" si="76"/>
        <v>sny_202310_backup_merge_mml_vs_item</v>
      </c>
      <c r="AF150" s="149"/>
      <c r="AG150" s="149"/>
      <c r="AH150" s="149"/>
      <c r="AI150" s="149"/>
      <c r="AJ150" s="149"/>
      <c r="AK150" s="149"/>
      <c r="AL150" s="150"/>
      <c r="AM150" s="148" t="str">
        <f t="shared" ca="1" si="77"/>
        <v>バイタルサインモジュール_記録項目テーブルから組入れ条件の第一条件で絞り込んだ結果を格納するテーブル</v>
      </c>
      <c r="AN150" s="149"/>
      <c r="AO150" s="149"/>
      <c r="AP150" s="149"/>
      <c r="AQ150" s="149"/>
      <c r="AR150" s="149"/>
      <c r="AS150" s="149"/>
      <c r="AT150" s="149"/>
      <c r="AU150" s="149"/>
      <c r="AV150" s="149"/>
      <c r="AW150" s="149"/>
      <c r="AX150" s="149"/>
      <c r="AY150" s="149"/>
      <c r="AZ150" s="149"/>
      <c r="BA150" s="149"/>
      <c r="BB150" s="149"/>
      <c r="BC150" s="149"/>
      <c r="BD150" s="149"/>
      <c r="BE150" s="149"/>
      <c r="BF150" s="149"/>
      <c r="BG150" s="149"/>
      <c r="BH150" s="149"/>
      <c r="BI150" s="149"/>
      <c r="BJ150" s="151"/>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39" t="str">
        <f t="shared" si="8"/>
        <v>01</v>
      </c>
      <c r="C151" s="140"/>
      <c r="D151" s="140"/>
      <c r="E151" s="140"/>
      <c r="F151" s="141"/>
      <c r="G151" s="142" t="s">
        <v>196</v>
      </c>
      <c r="H151" s="143"/>
      <c r="I151" s="143"/>
      <c r="J151" s="143"/>
      <c r="K151" s="143"/>
      <c r="L151" s="143"/>
      <c r="M151" s="143"/>
      <c r="N151" s="144"/>
      <c r="O151" s="79" t="s">
        <v>3134</v>
      </c>
      <c r="P151" s="145" t="s">
        <v>1733</v>
      </c>
      <c r="Q151" s="146"/>
      <c r="R151" s="146"/>
      <c r="S151" s="146"/>
      <c r="T151" s="146"/>
      <c r="U151" s="146"/>
      <c r="V151" s="146"/>
      <c r="W151" s="146"/>
      <c r="X151" s="146"/>
      <c r="Y151" s="146"/>
      <c r="Z151" s="146"/>
      <c r="AA151" s="146"/>
      <c r="AB151" s="146"/>
      <c r="AC151" s="146"/>
      <c r="AD151" s="147"/>
      <c r="AE151" s="148" t="str">
        <f t="shared" ca="1" si="76"/>
        <v>sny_202310_backup_merge_mml_fs_vitalsign</v>
      </c>
      <c r="AF151" s="149"/>
      <c r="AG151" s="149"/>
      <c r="AH151" s="149"/>
      <c r="AI151" s="149"/>
      <c r="AJ151" s="149"/>
      <c r="AK151" s="149"/>
      <c r="AL151" s="150"/>
      <c r="AM151" s="148" t="str">
        <f t="shared" ca="1" si="77"/>
        <v>体温表モジュール_バイタルサインテーブルから組入れ条件の第一条件で絞り込んだ結果を格納するテーブル</v>
      </c>
      <c r="AN151" s="149"/>
      <c r="AO151" s="149"/>
      <c r="AP151" s="149"/>
      <c r="AQ151" s="149"/>
      <c r="AR151" s="149"/>
      <c r="AS151" s="149"/>
      <c r="AT151" s="149"/>
      <c r="AU151" s="149"/>
      <c r="AV151" s="149"/>
      <c r="AW151" s="149"/>
      <c r="AX151" s="149"/>
      <c r="AY151" s="149"/>
      <c r="AZ151" s="149"/>
      <c r="BA151" s="149"/>
      <c r="BB151" s="149"/>
      <c r="BC151" s="149"/>
      <c r="BD151" s="149"/>
      <c r="BE151" s="149"/>
      <c r="BF151" s="149"/>
      <c r="BG151" s="149"/>
      <c r="BH151" s="149"/>
      <c r="BI151" s="149"/>
      <c r="BJ151" s="151"/>
      <c r="BK151" s="32" t="str">
        <f t="shared" si="74"/>
        <v>ENT_01_C4-40_バックアップ_体温表モジュール_バイタルサイン.sql</v>
      </c>
    </row>
    <row r="152" spans="1:64" ht="37.5" customHeight="1" outlineLevel="1">
      <c r="A152" s="34" t="str">
        <f>P152</f>
        <v>バックアップ_体温表モジュール_記録項目</v>
      </c>
      <c r="B152" s="139" t="str">
        <f t="shared" si="8"/>
        <v>01</v>
      </c>
      <c r="C152" s="140"/>
      <c r="D152" s="140"/>
      <c r="E152" s="140"/>
      <c r="F152" s="141"/>
      <c r="G152" s="142" t="s">
        <v>196</v>
      </c>
      <c r="H152" s="143"/>
      <c r="I152" s="143"/>
      <c r="J152" s="143"/>
      <c r="K152" s="143"/>
      <c r="L152" s="143"/>
      <c r="M152" s="143"/>
      <c r="N152" s="144"/>
      <c r="O152" s="79" t="s">
        <v>3135</v>
      </c>
      <c r="P152" s="145" t="s">
        <v>1737</v>
      </c>
      <c r="Q152" s="146"/>
      <c r="R152" s="146"/>
      <c r="S152" s="146"/>
      <c r="T152" s="146"/>
      <c r="U152" s="146"/>
      <c r="V152" s="146"/>
      <c r="W152" s="146"/>
      <c r="X152" s="146"/>
      <c r="Y152" s="146"/>
      <c r="Z152" s="146"/>
      <c r="AA152" s="146"/>
      <c r="AB152" s="146"/>
      <c r="AC152" s="146"/>
      <c r="AD152" s="147"/>
      <c r="AE152" s="148" t="str">
        <f t="shared" ca="1" si="68"/>
        <v>sny_202310_backup_merge_mml_fs_item</v>
      </c>
      <c r="AF152" s="149"/>
      <c r="AG152" s="149"/>
      <c r="AH152" s="149"/>
      <c r="AI152" s="149"/>
      <c r="AJ152" s="149"/>
      <c r="AK152" s="149"/>
      <c r="AL152" s="150"/>
      <c r="AM152" s="148" t="str">
        <f t="shared" ca="1" si="69"/>
        <v>体温表モジュール_記録項目テーブルから組入れ条件の第一条件で絞り込んだ結果を格納するテーブル</v>
      </c>
      <c r="AN152" s="149"/>
      <c r="AO152" s="149"/>
      <c r="AP152" s="149"/>
      <c r="AQ152" s="149"/>
      <c r="AR152" s="149"/>
      <c r="AS152" s="149"/>
      <c r="AT152" s="149"/>
      <c r="AU152" s="149"/>
      <c r="AV152" s="149"/>
      <c r="AW152" s="149"/>
      <c r="AX152" s="149"/>
      <c r="AY152" s="149"/>
      <c r="AZ152" s="149"/>
      <c r="BA152" s="149"/>
      <c r="BB152" s="149"/>
      <c r="BC152" s="149"/>
      <c r="BD152" s="149"/>
      <c r="BE152" s="149"/>
      <c r="BF152" s="149"/>
      <c r="BG152" s="149"/>
      <c r="BH152" s="149"/>
      <c r="BI152" s="149"/>
      <c r="BJ152" s="151"/>
      <c r="BK152" s="32" t="str">
        <f t="shared" si="74"/>
        <v>ENT_01_C4-41_バックアップ_体温表モジュール_記録項目.sql</v>
      </c>
    </row>
    <row r="153" spans="1:64" ht="37.5" customHeight="1">
      <c r="A153" s="34" t="str">
        <f t="shared" ref="A153:A206" si="78">P153</f>
        <v>組入れ_対象施設</v>
      </c>
      <c r="B153" s="152" t="str">
        <f t="shared" ref="B153:B159" si="79">TEXT(11,"00")</f>
        <v>11</v>
      </c>
      <c r="C153" s="153"/>
      <c r="D153" s="153"/>
      <c r="E153" s="153"/>
      <c r="F153" s="154"/>
      <c r="G153" s="155" t="s">
        <v>197</v>
      </c>
      <c r="H153" s="156"/>
      <c r="I153" s="156"/>
      <c r="J153" s="156"/>
      <c r="K153" s="156"/>
      <c r="L153" s="156"/>
      <c r="M153" s="156"/>
      <c r="N153" s="157"/>
      <c r="O153" s="79" t="str">
        <f t="shared" ref="O153:O159" si="80">IF(P153&lt;&gt;"","ENT_"&amp;RIGHT(B153,2)&amp;"_"&amp;TEXT(ROW(O153)-ROW(O$153)+1,"00"),"")</f>
        <v>ENT_11_01</v>
      </c>
      <c r="P153" s="145" t="s">
        <v>3819</v>
      </c>
      <c r="Q153" s="146"/>
      <c r="R153" s="146"/>
      <c r="S153" s="146"/>
      <c r="T153" s="146"/>
      <c r="U153" s="146"/>
      <c r="V153" s="146"/>
      <c r="W153" s="146"/>
      <c r="X153" s="146"/>
      <c r="Y153" s="146"/>
      <c r="Z153" s="146"/>
      <c r="AA153" s="146"/>
      <c r="AB153" s="146"/>
      <c r="AC153" s="146"/>
      <c r="AD153" s="147"/>
      <c r="AE153" s="148" t="str">
        <f t="shared" ref="AE153:AE154" ca="1" si="81">IFERROR(INDIRECT(P153&amp;"!D8"),"")</f>
        <v>sny_202310_enroll_shisetsu</v>
      </c>
      <c r="AF153" s="149"/>
      <c r="AG153" s="149"/>
      <c r="AH153" s="149"/>
      <c r="AI153" s="149"/>
      <c r="AJ153" s="149"/>
      <c r="AK153" s="149"/>
      <c r="AL153" s="150"/>
      <c r="AM153" s="148" t="str">
        <f t="shared" ref="AM153:AM154" ca="1" si="82">IFERROR(INDIRECT(P153&amp;"!D9"),"")</f>
        <v>バックアップ_処理対象施設マスタテーブルから組入れ条件で絞り込んだ結果を格納するテーブル</v>
      </c>
      <c r="AN153" s="149"/>
      <c r="AO153" s="149"/>
      <c r="AP153" s="149"/>
      <c r="AQ153" s="149"/>
      <c r="AR153" s="149"/>
      <c r="AS153" s="149"/>
      <c r="AT153" s="149"/>
      <c r="AU153" s="149"/>
      <c r="AV153" s="149"/>
      <c r="AW153" s="149"/>
      <c r="AX153" s="149"/>
      <c r="AY153" s="149"/>
      <c r="AZ153" s="149"/>
      <c r="BA153" s="149"/>
      <c r="BB153" s="149"/>
      <c r="BC153" s="149"/>
      <c r="BD153" s="149"/>
      <c r="BE153" s="149"/>
      <c r="BF153" s="149"/>
      <c r="BG153" s="149"/>
      <c r="BH153" s="149"/>
      <c r="BI153" s="149"/>
      <c r="BJ153" s="151"/>
      <c r="BK153" s="32" t="str">
        <f t="shared" si="43"/>
        <v>ENT_11_01_組入れ_対象施設.sql</v>
      </c>
    </row>
    <row r="154" spans="1:64" ht="37.5" customHeight="1">
      <c r="A154" s="34" t="str">
        <f t="shared" si="78"/>
        <v>組入れ_対象疾患</v>
      </c>
      <c r="B154" s="139" t="str">
        <f t="shared" si="79"/>
        <v>11</v>
      </c>
      <c r="C154" s="140"/>
      <c r="D154" s="140"/>
      <c r="E154" s="140"/>
      <c r="F154" s="141"/>
      <c r="G154" s="142" t="s">
        <v>197</v>
      </c>
      <c r="H154" s="143"/>
      <c r="I154" s="143"/>
      <c r="J154" s="143"/>
      <c r="K154" s="143"/>
      <c r="L154" s="143"/>
      <c r="M154" s="143"/>
      <c r="N154" s="144"/>
      <c r="O154" s="79" t="str">
        <f t="shared" si="80"/>
        <v>ENT_11_02</v>
      </c>
      <c r="P154" s="145" t="s">
        <v>3830</v>
      </c>
      <c r="Q154" s="146"/>
      <c r="R154" s="146"/>
      <c r="S154" s="146"/>
      <c r="T154" s="146"/>
      <c r="U154" s="146"/>
      <c r="V154" s="146"/>
      <c r="W154" s="146"/>
      <c r="X154" s="146"/>
      <c r="Y154" s="146"/>
      <c r="Z154" s="146"/>
      <c r="AA154" s="146"/>
      <c r="AB154" s="146"/>
      <c r="AC154" s="146"/>
      <c r="AD154" s="147"/>
      <c r="AE154" s="148" t="str">
        <f t="shared" ca="1" si="81"/>
        <v>sny_202310_enroll_shikkan</v>
      </c>
      <c r="AF154" s="149"/>
      <c r="AG154" s="149"/>
      <c r="AH154" s="149"/>
      <c r="AI154" s="149"/>
      <c r="AJ154" s="149"/>
      <c r="AK154" s="149"/>
      <c r="AL154" s="150"/>
      <c r="AM154" s="148" t="str">
        <f t="shared" ca="1" si="82"/>
        <v>バックアップ_疾患データ_組み入れ第一条件テーブルから組入れ条件で絞り込んだ結果を格納するテーブル</v>
      </c>
      <c r="AN154" s="149"/>
      <c r="AO154" s="149"/>
      <c r="AP154" s="149"/>
      <c r="AQ154" s="149"/>
      <c r="AR154" s="149"/>
      <c r="AS154" s="149"/>
      <c r="AT154" s="149"/>
      <c r="AU154" s="149"/>
      <c r="AV154" s="149"/>
      <c r="AW154" s="149"/>
      <c r="AX154" s="149"/>
      <c r="AY154" s="149"/>
      <c r="AZ154" s="149"/>
      <c r="BA154" s="149"/>
      <c r="BB154" s="149"/>
      <c r="BC154" s="149"/>
      <c r="BD154" s="149"/>
      <c r="BE154" s="149"/>
      <c r="BF154" s="149"/>
      <c r="BG154" s="149"/>
      <c r="BH154" s="149"/>
      <c r="BI154" s="149"/>
      <c r="BJ154" s="151"/>
      <c r="BK154" s="32" t="str">
        <f t="shared" ref="BK154" si="83">IF(P154&lt;&gt;"",O154&amp;"_"&amp;P154&amp;".sql","")</f>
        <v>ENT_11_02_組入れ_対象疾患.sql</v>
      </c>
    </row>
    <row r="155" spans="1:64" ht="37.5" customHeight="1">
      <c r="A155" s="34" t="str">
        <f t="shared" ref="A155:A156" si="84">P155</f>
        <v>組入れ_対象診療行為</v>
      </c>
      <c r="B155" s="139" t="str">
        <f t="shared" si="79"/>
        <v>11</v>
      </c>
      <c r="C155" s="140"/>
      <c r="D155" s="140"/>
      <c r="E155" s="140"/>
      <c r="F155" s="141"/>
      <c r="G155" s="142" t="s">
        <v>197</v>
      </c>
      <c r="H155" s="143"/>
      <c r="I155" s="143"/>
      <c r="J155" s="143"/>
      <c r="K155" s="143"/>
      <c r="L155" s="143"/>
      <c r="M155" s="143"/>
      <c r="N155" s="144"/>
      <c r="O155" s="79" t="str">
        <f t="shared" si="80"/>
        <v>ENT_11_03</v>
      </c>
      <c r="P155" s="145" t="s">
        <v>3797</v>
      </c>
      <c r="Q155" s="146"/>
      <c r="R155" s="146"/>
      <c r="S155" s="146"/>
      <c r="T155" s="146"/>
      <c r="U155" s="146"/>
      <c r="V155" s="146"/>
      <c r="W155" s="146"/>
      <c r="X155" s="146"/>
      <c r="Y155" s="146"/>
      <c r="Z155" s="146"/>
      <c r="AA155" s="146"/>
      <c r="AB155" s="146"/>
      <c r="AC155" s="146"/>
      <c r="AD155" s="147"/>
      <c r="AE155" s="148" t="str">
        <f t="shared" ref="AE155:AE156" ca="1" si="85">IFERROR(INDIRECT(P155&amp;"!D8"),"")</f>
        <v>sny_202310_enroll_shinryou_koui</v>
      </c>
      <c r="AF155" s="149"/>
      <c r="AG155" s="149"/>
      <c r="AH155" s="149"/>
      <c r="AI155" s="149"/>
      <c r="AJ155" s="149"/>
      <c r="AK155" s="149"/>
      <c r="AL155" s="150"/>
      <c r="AM155" s="148" t="str">
        <f t="shared" ref="AM155:AM156" ca="1" si="86">IFERROR(INDIRECT(P155&amp;"!D9"),"")</f>
        <v>バックアップ_診療行為データテーブルから組入れ条件で絞り込んだ結果を格納するテーブル</v>
      </c>
      <c r="AN155" s="149"/>
      <c r="AO155" s="149"/>
      <c r="AP155" s="149"/>
      <c r="AQ155" s="149"/>
      <c r="AR155" s="149"/>
      <c r="AS155" s="149"/>
      <c r="AT155" s="149"/>
      <c r="AU155" s="149"/>
      <c r="AV155" s="149"/>
      <c r="AW155" s="149"/>
      <c r="AX155" s="149"/>
      <c r="AY155" s="149"/>
      <c r="AZ155" s="149"/>
      <c r="BA155" s="149"/>
      <c r="BB155" s="149"/>
      <c r="BC155" s="149"/>
      <c r="BD155" s="149"/>
      <c r="BE155" s="149"/>
      <c r="BF155" s="149"/>
      <c r="BG155" s="149"/>
      <c r="BH155" s="149"/>
      <c r="BI155" s="149"/>
      <c r="BJ155" s="151"/>
      <c r="BK155" s="32" t="str">
        <f t="shared" ref="BK155:BK156" si="87">IF(P155&lt;&gt;"",O155&amp;"_"&amp;P155&amp;".sql","")</f>
        <v>ENT_11_03_組入れ_対象診療行為.sql</v>
      </c>
    </row>
    <row r="156" spans="1:64" ht="37.5" customHeight="1">
      <c r="A156" s="34" t="str">
        <f t="shared" si="84"/>
        <v>組入れ_検体検査マスタ</v>
      </c>
      <c r="B156" s="139" t="str">
        <f t="shared" si="79"/>
        <v>11</v>
      </c>
      <c r="C156" s="140"/>
      <c r="D156" s="140"/>
      <c r="E156" s="140"/>
      <c r="F156" s="141"/>
      <c r="G156" s="142" t="s">
        <v>197</v>
      </c>
      <c r="H156" s="143"/>
      <c r="I156" s="143"/>
      <c r="J156" s="143"/>
      <c r="K156" s="143"/>
      <c r="L156" s="143"/>
      <c r="M156" s="143"/>
      <c r="N156" s="144"/>
      <c r="O156" s="79" t="str">
        <f t="shared" si="80"/>
        <v>ENT_11_04</v>
      </c>
      <c r="P156" s="145" t="s">
        <v>3836</v>
      </c>
      <c r="Q156" s="146"/>
      <c r="R156" s="146"/>
      <c r="S156" s="146"/>
      <c r="T156" s="146"/>
      <c r="U156" s="146"/>
      <c r="V156" s="146"/>
      <c r="W156" s="146"/>
      <c r="X156" s="146"/>
      <c r="Y156" s="146"/>
      <c r="Z156" s="146"/>
      <c r="AA156" s="146"/>
      <c r="AB156" s="146"/>
      <c r="AC156" s="146"/>
      <c r="AD156" s="147"/>
      <c r="AE156" s="148" t="str">
        <f t="shared" ca="1" si="85"/>
        <v>sny_202310_enroll_mt_kensa</v>
      </c>
      <c r="AF156" s="149"/>
      <c r="AG156" s="149"/>
      <c r="AH156" s="149"/>
      <c r="AI156" s="149"/>
      <c r="AJ156" s="149"/>
      <c r="AK156" s="149"/>
      <c r="AL156" s="150"/>
      <c r="AM156" s="148" t="str">
        <f t="shared" ca="1" si="86"/>
        <v>検査マスタ_組入れ.tsvを登録するテーブル</v>
      </c>
      <c r="AN156" s="149"/>
      <c r="AO156" s="149"/>
      <c r="AP156" s="149"/>
      <c r="AQ156" s="149"/>
      <c r="AR156" s="149"/>
      <c r="AS156" s="149"/>
      <c r="AT156" s="149"/>
      <c r="AU156" s="149"/>
      <c r="AV156" s="149"/>
      <c r="AW156" s="149"/>
      <c r="AX156" s="149"/>
      <c r="AY156" s="149"/>
      <c r="AZ156" s="149"/>
      <c r="BA156" s="149"/>
      <c r="BB156" s="149"/>
      <c r="BC156" s="149"/>
      <c r="BD156" s="149"/>
      <c r="BE156" s="149"/>
      <c r="BF156" s="149"/>
      <c r="BG156" s="149"/>
      <c r="BH156" s="149"/>
      <c r="BI156" s="149"/>
      <c r="BJ156" s="151"/>
      <c r="BK156" s="32" t="str">
        <f t="shared" si="87"/>
        <v>ENT_11_04_組入れ_検体検査マスタ.sql</v>
      </c>
    </row>
    <row r="157" spans="1:64" ht="37.5" customHeight="1">
      <c r="A157" s="34" t="str">
        <f t="shared" ref="A157" si="88">P157</f>
        <v>組入れ_対象検体検査</v>
      </c>
      <c r="B157" s="139" t="str">
        <f t="shared" si="79"/>
        <v>11</v>
      </c>
      <c r="C157" s="140"/>
      <c r="D157" s="140"/>
      <c r="E157" s="140"/>
      <c r="F157" s="141"/>
      <c r="G157" s="142" t="s">
        <v>197</v>
      </c>
      <c r="H157" s="143"/>
      <c r="I157" s="143"/>
      <c r="J157" s="143"/>
      <c r="K157" s="143"/>
      <c r="L157" s="143"/>
      <c r="M157" s="143"/>
      <c r="N157" s="144"/>
      <c r="O157" s="79" t="str">
        <f t="shared" si="80"/>
        <v>ENT_11_05</v>
      </c>
      <c r="P157" s="145" t="s">
        <v>3806</v>
      </c>
      <c r="Q157" s="146"/>
      <c r="R157" s="146"/>
      <c r="S157" s="146"/>
      <c r="T157" s="146"/>
      <c r="U157" s="146"/>
      <c r="V157" s="146"/>
      <c r="W157" s="146"/>
      <c r="X157" s="146"/>
      <c r="Y157" s="146"/>
      <c r="Z157" s="146"/>
      <c r="AA157" s="146"/>
      <c r="AB157" s="146"/>
      <c r="AC157" s="146"/>
      <c r="AD157" s="147"/>
      <c r="AE157" s="148" t="str">
        <f t="shared" ref="AE157" ca="1" si="89">IFERROR(INDIRECT(P157&amp;"!D8"),"")</f>
        <v>sny_202310_enroll_kensa</v>
      </c>
      <c r="AF157" s="149"/>
      <c r="AG157" s="149"/>
      <c r="AH157" s="149"/>
      <c r="AI157" s="149"/>
      <c r="AJ157" s="149"/>
      <c r="AK157" s="149"/>
      <c r="AL157" s="150"/>
      <c r="AM157" s="148" t="str">
        <f t="shared" ref="AM157" ca="1" si="90">IFERROR(INDIRECT(P157&amp;"!D9"),"")</f>
        <v>検査データのテーブルから組入れ条件で絞り込んだ結果を登録するテーブル</v>
      </c>
      <c r="AN157" s="149"/>
      <c r="AO157" s="149"/>
      <c r="AP157" s="149"/>
      <c r="AQ157" s="149"/>
      <c r="AR157" s="149"/>
      <c r="AS157" s="149"/>
      <c r="AT157" s="149"/>
      <c r="AU157" s="149"/>
      <c r="AV157" s="149"/>
      <c r="AW157" s="149"/>
      <c r="AX157" s="149"/>
      <c r="AY157" s="149"/>
      <c r="AZ157" s="149"/>
      <c r="BA157" s="149"/>
      <c r="BB157" s="149"/>
      <c r="BC157" s="149"/>
      <c r="BD157" s="149"/>
      <c r="BE157" s="149"/>
      <c r="BF157" s="149"/>
      <c r="BG157" s="149"/>
      <c r="BH157" s="149"/>
      <c r="BI157" s="149"/>
      <c r="BJ157" s="151"/>
      <c r="BK157" s="32" t="str">
        <f t="shared" ref="BK157" si="91">IF(P157&lt;&gt;"",O157&amp;"_"&amp;P157&amp;".sql","")</f>
        <v>ENT_11_05_組入れ_対象検体検査.sql</v>
      </c>
    </row>
    <row r="158" spans="1:64" ht="37.5" customHeight="1">
      <c r="A158" s="34" t="str">
        <f t="shared" ref="A158" si="92">P158</f>
        <v>組入れ_対象検体検査_対象患者</v>
      </c>
      <c r="B158" s="139" t="str">
        <f t="shared" si="79"/>
        <v>11</v>
      </c>
      <c r="C158" s="140"/>
      <c r="D158" s="140"/>
      <c r="E158" s="140"/>
      <c r="F158" s="141"/>
      <c r="G158" s="142" t="s">
        <v>197</v>
      </c>
      <c r="H158" s="143"/>
      <c r="I158" s="143"/>
      <c r="J158" s="143"/>
      <c r="K158" s="143"/>
      <c r="L158" s="143"/>
      <c r="M158" s="143"/>
      <c r="N158" s="144"/>
      <c r="O158" s="79" t="str">
        <f t="shared" ref="O158" si="93">IF(P158&lt;&gt;"","ENT_"&amp;RIGHT(B158,2)&amp;"_"&amp;TEXT(ROW(O158)-ROW(O$153)+1,"00"),"")</f>
        <v>ENT_11_06</v>
      </c>
      <c r="P158" s="145" t="s">
        <v>4029</v>
      </c>
      <c r="Q158" s="146"/>
      <c r="R158" s="146"/>
      <c r="S158" s="146"/>
      <c r="T158" s="146"/>
      <c r="U158" s="146"/>
      <c r="V158" s="146"/>
      <c r="W158" s="146"/>
      <c r="X158" s="146"/>
      <c r="Y158" s="146"/>
      <c r="Z158" s="146"/>
      <c r="AA158" s="146"/>
      <c r="AB158" s="146"/>
      <c r="AC158" s="146"/>
      <c r="AD158" s="147"/>
      <c r="AE158" s="148" t="str">
        <f t="shared" ref="AE158" ca="1" si="94">IFERROR(INDIRECT(P158&amp;"!D8"),"")</f>
        <v>sny_202310_enroll_kensa_kanja</v>
      </c>
      <c r="AF158" s="149"/>
      <c r="AG158" s="149"/>
      <c r="AH158" s="149"/>
      <c r="AI158" s="149"/>
      <c r="AJ158" s="149"/>
      <c r="AK158" s="149"/>
      <c r="AL158" s="150"/>
      <c r="AM158" s="148" t="str">
        <f t="shared" ref="AM158" ca="1" si="95">IFERROR(INDIRECT(P158&amp;"!D9"),"")</f>
        <v>検査データのテーブルから組入れ条件（対象期間、表示名の種類）で絞り込んだ結果を登録するテーブル</v>
      </c>
      <c r="AN158" s="149"/>
      <c r="AO158" s="149"/>
      <c r="AP158" s="149"/>
      <c r="AQ158" s="149"/>
      <c r="AR158" s="149"/>
      <c r="AS158" s="149"/>
      <c r="AT158" s="149"/>
      <c r="AU158" s="149"/>
      <c r="AV158" s="149"/>
      <c r="AW158" s="149"/>
      <c r="AX158" s="149"/>
      <c r="AY158" s="149"/>
      <c r="AZ158" s="149"/>
      <c r="BA158" s="149"/>
      <c r="BB158" s="149"/>
      <c r="BC158" s="149"/>
      <c r="BD158" s="149"/>
      <c r="BE158" s="149"/>
      <c r="BF158" s="149"/>
      <c r="BG158" s="149"/>
      <c r="BH158" s="149"/>
      <c r="BI158" s="149"/>
      <c r="BJ158" s="151"/>
      <c r="BK158" s="32" t="str">
        <f t="shared" ref="BK158" si="96">IF(P158&lt;&gt;"",O158&amp;"_"&amp;P158&amp;".sql","")</f>
        <v>ENT_11_06_組入れ_対象検体検査_対象患者.sql</v>
      </c>
    </row>
    <row r="159" spans="1:64" ht="37.5" customHeight="1">
      <c r="A159" s="34" t="str">
        <f t="shared" ref="A159" si="97">P159</f>
        <v>組入れ_対象患者</v>
      </c>
      <c r="B159" s="139" t="str">
        <f t="shared" si="79"/>
        <v>11</v>
      </c>
      <c r="C159" s="140"/>
      <c r="D159" s="140"/>
      <c r="E159" s="140"/>
      <c r="F159" s="141"/>
      <c r="G159" s="142" t="s">
        <v>197</v>
      </c>
      <c r="H159" s="143"/>
      <c r="I159" s="143"/>
      <c r="J159" s="143"/>
      <c r="K159" s="143"/>
      <c r="L159" s="143"/>
      <c r="M159" s="143"/>
      <c r="N159" s="144"/>
      <c r="O159" s="79" t="str">
        <f t="shared" si="80"/>
        <v>ENT_11_07</v>
      </c>
      <c r="P159" s="145" t="s">
        <v>3820</v>
      </c>
      <c r="Q159" s="146"/>
      <c r="R159" s="146"/>
      <c r="S159" s="146"/>
      <c r="T159" s="146"/>
      <c r="U159" s="146"/>
      <c r="V159" s="146"/>
      <c r="W159" s="146"/>
      <c r="X159" s="146"/>
      <c r="Y159" s="146"/>
      <c r="Z159" s="146"/>
      <c r="AA159" s="146"/>
      <c r="AB159" s="146"/>
      <c r="AC159" s="146"/>
      <c r="AD159" s="147"/>
      <c r="AE159" s="148" t="str">
        <f t="shared" ref="AE159" ca="1" si="98">IFERROR(INDIRECT(P159&amp;"!D8"),"")</f>
        <v>sny_202310_enroll_kanja</v>
      </c>
      <c r="AF159" s="149"/>
      <c r="AG159" s="149"/>
      <c r="AH159" s="149"/>
      <c r="AI159" s="149"/>
      <c r="AJ159" s="149"/>
      <c r="AK159" s="149"/>
      <c r="AL159" s="150"/>
      <c r="AM159" s="148" t="str">
        <f t="shared" ref="AM159" ca="1" si="99">IFERROR(INDIRECT(P159&amp;"!D9"),"")</f>
        <v>組入れ_対象疾患テーブルから組入れ条件で絞り込んだ結果を格納するテーブル</v>
      </c>
      <c r="AN159" s="149"/>
      <c r="AO159" s="149"/>
      <c r="AP159" s="149"/>
      <c r="AQ159" s="149"/>
      <c r="AR159" s="149"/>
      <c r="AS159" s="149"/>
      <c r="AT159" s="149"/>
      <c r="AU159" s="149"/>
      <c r="AV159" s="149"/>
      <c r="AW159" s="149"/>
      <c r="AX159" s="149"/>
      <c r="AY159" s="149"/>
      <c r="AZ159" s="149"/>
      <c r="BA159" s="149"/>
      <c r="BB159" s="149"/>
      <c r="BC159" s="149"/>
      <c r="BD159" s="149"/>
      <c r="BE159" s="149"/>
      <c r="BF159" s="149"/>
      <c r="BG159" s="149"/>
      <c r="BH159" s="149"/>
      <c r="BI159" s="149"/>
      <c r="BJ159" s="151"/>
      <c r="BK159" s="32" t="str">
        <f t="shared" si="43"/>
        <v>ENT_11_07_組入れ_対象患者.sql</v>
      </c>
    </row>
    <row r="160" spans="1:64" ht="37.5" customHeight="1">
      <c r="A160" s="34" t="str">
        <f t="shared" si="78"/>
        <v>患者ID一覧マスタ</v>
      </c>
      <c r="B160" s="152" t="str">
        <f t="shared" ref="B160:B166" si="100">TEXT(21,"00")</f>
        <v>21</v>
      </c>
      <c r="C160" s="153"/>
      <c r="D160" s="153"/>
      <c r="E160" s="153"/>
      <c r="F160" s="154"/>
      <c r="G160" s="155" t="s">
        <v>305</v>
      </c>
      <c r="H160" s="156"/>
      <c r="I160" s="156"/>
      <c r="J160" s="156"/>
      <c r="K160" s="156"/>
      <c r="L160" s="156"/>
      <c r="M160" s="156"/>
      <c r="N160" s="157"/>
      <c r="O160" s="79" t="str">
        <f t="shared" ref="O160:O166" si="101">IF(P160&lt;&gt;"","ENT_"&amp;RIGHT(B160,2)&amp;"_"&amp;TEXT(ROW(O160)-ROW(O$160)+1,"00"),"")</f>
        <v>ENT_21_01</v>
      </c>
      <c r="P160" s="145" t="s">
        <v>3857</v>
      </c>
      <c r="Q160" s="146"/>
      <c r="R160" s="146"/>
      <c r="S160" s="146"/>
      <c r="T160" s="146"/>
      <c r="U160" s="146"/>
      <c r="V160" s="146"/>
      <c r="W160" s="146"/>
      <c r="X160" s="146"/>
      <c r="Y160" s="146"/>
      <c r="Z160" s="146"/>
      <c r="AA160" s="146"/>
      <c r="AB160" s="146"/>
      <c r="AC160" s="146"/>
      <c r="AD160" s="147"/>
      <c r="AE160" s="148" t="str">
        <f t="shared" ref="AE160:AE166" ca="1" si="102">IFERROR(INDIRECT(P160&amp;"!D8"),"")</f>
        <v>sny_202310_mt_kanja_list</v>
      </c>
      <c r="AF160" s="149"/>
      <c r="AG160" s="149"/>
      <c r="AH160" s="149"/>
      <c r="AI160" s="149"/>
      <c r="AJ160" s="149"/>
      <c r="AK160" s="149"/>
      <c r="AL160" s="150"/>
      <c r="AM160" s="148" t="str">
        <f t="shared" ref="AM160:AM166" ca="1" si="103">IFERROR(INDIRECT(P160&amp;"!D9"),"")</f>
        <v>患者ID一覧マスタ情報を格納するテーブル</v>
      </c>
      <c r="AN160" s="149"/>
      <c r="AO160" s="149"/>
      <c r="AP160" s="149"/>
      <c r="AQ160" s="149"/>
      <c r="AR160" s="149"/>
      <c r="AS160" s="149"/>
      <c r="AT160" s="149"/>
      <c r="AU160" s="149"/>
      <c r="AV160" s="149"/>
      <c r="AW160" s="149"/>
      <c r="AX160" s="149"/>
      <c r="AY160" s="149"/>
      <c r="AZ160" s="149"/>
      <c r="BA160" s="149"/>
      <c r="BB160" s="149"/>
      <c r="BC160" s="149"/>
      <c r="BD160" s="149"/>
      <c r="BE160" s="149"/>
      <c r="BF160" s="149"/>
      <c r="BG160" s="149"/>
      <c r="BH160" s="149"/>
      <c r="BI160" s="149"/>
      <c r="BJ160" s="151"/>
      <c r="BK160" s="32" t="str">
        <f t="shared" si="43"/>
        <v>ENT_21_01_患者ID一覧マスタ.sql</v>
      </c>
    </row>
    <row r="161" spans="1:63" ht="37.5" customHeight="1">
      <c r="A161" s="34" t="str">
        <f t="shared" si="78"/>
        <v>施設マスタ</v>
      </c>
      <c r="B161" s="139" t="str">
        <f t="shared" si="100"/>
        <v>21</v>
      </c>
      <c r="C161" s="140"/>
      <c r="D161" s="140"/>
      <c r="E161" s="140"/>
      <c r="F161" s="141"/>
      <c r="G161" s="142" t="s">
        <v>305</v>
      </c>
      <c r="H161" s="143"/>
      <c r="I161" s="143"/>
      <c r="J161" s="143"/>
      <c r="K161" s="143"/>
      <c r="L161" s="143"/>
      <c r="M161" s="143"/>
      <c r="N161" s="144"/>
      <c r="O161" s="79" t="str">
        <f t="shared" si="101"/>
        <v>ENT_21_02</v>
      </c>
      <c r="P161" s="145" t="s">
        <v>3814</v>
      </c>
      <c r="Q161" s="146"/>
      <c r="R161" s="146"/>
      <c r="S161" s="146"/>
      <c r="T161" s="146"/>
      <c r="U161" s="146"/>
      <c r="V161" s="146"/>
      <c r="W161" s="146"/>
      <c r="X161" s="146"/>
      <c r="Y161" s="146"/>
      <c r="Z161" s="146"/>
      <c r="AA161" s="146"/>
      <c r="AB161" s="146"/>
      <c r="AC161" s="146"/>
      <c r="AD161" s="147"/>
      <c r="AE161" s="148" t="str">
        <f t="shared" ca="1" si="102"/>
        <v>sny_202310_mt_shisetsu</v>
      </c>
      <c r="AF161" s="149"/>
      <c r="AG161" s="149"/>
      <c r="AH161" s="149"/>
      <c r="AI161" s="149"/>
      <c r="AJ161" s="149"/>
      <c r="AK161" s="149"/>
      <c r="AL161" s="150"/>
      <c r="AM161" s="148" t="str">
        <f t="shared" ca="1" si="103"/>
        <v>組入れ_対象施設テーブルに施設マスクIDを付与した結果を格納するテーブル</v>
      </c>
      <c r="AN161" s="149"/>
      <c r="AO161" s="149"/>
      <c r="AP161" s="149"/>
      <c r="AQ161" s="149"/>
      <c r="AR161" s="149"/>
      <c r="AS161" s="149"/>
      <c r="AT161" s="149"/>
      <c r="AU161" s="149"/>
      <c r="AV161" s="149"/>
      <c r="AW161" s="149"/>
      <c r="AX161" s="149"/>
      <c r="AY161" s="149"/>
      <c r="AZ161" s="149"/>
      <c r="BA161" s="149"/>
      <c r="BB161" s="149"/>
      <c r="BC161" s="149"/>
      <c r="BD161" s="149"/>
      <c r="BE161" s="149"/>
      <c r="BF161" s="149"/>
      <c r="BG161" s="149"/>
      <c r="BH161" s="149"/>
      <c r="BI161" s="149"/>
      <c r="BJ161" s="151"/>
      <c r="BK161" s="32" t="str">
        <f t="shared" si="43"/>
        <v>ENT_21_02_施設マスタ.sql</v>
      </c>
    </row>
    <row r="162" spans="1:63" ht="37.5" customHeight="1">
      <c r="A162" s="34" t="str">
        <f t="shared" ref="A162:A163" si="104">P162</f>
        <v>患者マスタ</v>
      </c>
      <c r="B162" s="139" t="str">
        <f t="shared" si="100"/>
        <v>21</v>
      </c>
      <c r="C162" s="140"/>
      <c r="D162" s="140"/>
      <c r="E162" s="140"/>
      <c r="F162" s="141"/>
      <c r="G162" s="142" t="s">
        <v>305</v>
      </c>
      <c r="H162" s="143"/>
      <c r="I162" s="143"/>
      <c r="J162" s="143"/>
      <c r="K162" s="143"/>
      <c r="L162" s="143"/>
      <c r="M162" s="143"/>
      <c r="N162" s="144"/>
      <c r="O162" s="79" t="str">
        <f t="shared" si="101"/>
        <v>ENT_21_03</v>
      </c>
      <c r="P162" s="145" t="s">
        <v>3815</v>
      </c>
      <c r="Q162" s="146"/>
      <c r="R162" s="146"/>
      <c r="S162" s="146"/>
      <c r="T162" s="146"/>
      <c r="U162" s="146"/>
      <c r="V162" s="146"/>
      <c r="W162" s="146"/>
      <c r="X162" s="146"/>
      <c r="Y162" s="146"/>
      <c r="Z162" s="146"/>
      <c r="AA162" s="146"/>
      <c r="AB162" s="146"/>
      <c r="AC162" s="146"/>
      <c r="AD162" s="147"/>
      <c r="AE162" s="148" t="str">
        <f t="shared" ca="1" si="102"/>
        <v>sny_202310_mt_kanja</v>
      </c>
      <c r="AF162" s="149"/>
      <c r="AG162" s="149"/>
      <c r="AH162" s="149"/>
      <c r="AI162" s="149"/>
      <c r="AJ162" s="149"/>
      <c r="AK162" s="149"/>
      <c r="AL162" s="150"/>
      <c r="AM162" s="148" t="str">
        <f t="shared" ca="1" si="103"/>
        <v>患者ID一覧マスタテーブルを施設IDと紐づけIDで集約し、マスクIDを付与した結果を格納するテーブル</v>
      </c>
      <c r="AN162" s="149"/>
      <c r="AO162" s="149"/>
      <c r="AP162" s="149"/>
      <c r="AQ162" s="149"/>
      <c r="AR162" s="149"/>
      <c r="AS162" s="149"/>
      <c r="AT162" s="149"/>
      <c r="AU162" s="149"/>
      <c r="AV162" s="149"/>
      <c r="AW162" s="149"/>
      <c r="AX162" s="149"/>
      <c r="AY162" s="149"/>
      <c r="AZ162" s="149"/>
      <c r="BA162" s="149"/>
      <c r="BB162" s="149"/>
      <c r="BC162" s="149"/>
      <c r="BD162" s="149"/>
      <c r="BE162" s="149"/>
      <c r="BF162" s="149"/>
      <c r="BG162" s="149"/>
      <c r="BH162" s="149"/>
      <c r="BI162" s="149"/>
      <c r="BJ162" s="151"/>
      <c r="BK162" s="32" t="str">
        <f t="shared" ref="BK162:BK163" si="105">IF(P162&lt;&gt;"",O162&amp;"_"&amp;P162&amp;".sql","")</f>
        <v>ENT_21_03_患者マスタ.sql</v>
      </c>
    </row>
    <row r="163" spans="1:63" ht="37.5" customHeight="1">
      <c r="A163" s="34" t="str">
        <f t="shared" si="104"/>
        <v>疾患マスタ</v>
      </c>
      <c r="B163" s="139" t="str">
        <f t="shared" si="100"/>
        <v>21</v>
      </c>
      <c r="C163" s="140"/>
      <c r="D163" s="140"/>
      <c r="E163" s="140"/>
      <c r="F163" s="141"/>
      <c r="G163" s="142" t="s">
        <v>305</v>
      </c>
      <c r="H163" s="143"/>
      <c r="I163" s="143"/>
      <c r="J163" s="143"/>
      <c r="K163" s="143"/>
      <c r="L163" s="143"/>
      <c r="M163" s="143"/>
      <c r="N163" s="144"/>
      <c r="O163" s="79" t="str">
        <f t="shared" si="101"/>
        <v>ENT_21_04</v>
      </c>
      <c r="P163" s="145" t="s">
        <v>3816</v>
      </c>
      <c r="Q163" s="146"/>
      <c r="R163" s="146"/>
      <c r="S163" s="146"/>
      <c r="T163" s="146"/>
      <c r="U163" s="146"/>
      <c r="V163" s="146"/>
      <c r="W163" s="146"/>
      <c r="X163" s="146"/>
      <c r="Y163" s="146"/>
      <c r="Z163" s="146"/>
      <c r="AA163" s="146"/>
      <c r="AB163" s="146"/>
      <c r="AC163" s="146"/>
      <c r="AD163" s="147"/>
      <c r="AE163" s="148" t="str">
        <f t="shared" ca="1" si="102"/>
        <v>sny_202310_mt_shikkan</v>
      </c>
      <c r="AF163" s="149"/>
      <c r="AG163" s="149"/>
      <c r="AH163" s="149"/>
      <c r="AI163" s="149"/>
      <c r="AJ163" s="149"/>
      <c r="AK163" s="149"/>
      <c r="AL163" s="150"/>
      <c r="AM163" s="148" t="str">
        <f t="shared" ca="1" si="103"/>
        <v>疾患マスタ情報を格納するテーブル</v>
      </c>
      <c r="AN163" s="149"/>
      <c r="AO163" s="149"/>
      <c r="AP163" s="149"/>
      <c r="AQ163" s="149"/>
      <c r="AR163" s="149"/>
      <c r="AS163" s="149"/>
      <c r="AT163" s="149"/>
      <c r="AU163" s="149"/>
      <c r="AV163" s="149"/>
      <c r="AW163" s="149"/>
      <c r="AX163" s="149"/>
      <c r="AY163" s="149"/>
      <c r="AZ163" s="149"/>
      <c r="BA163" s="149"/>
      <c r="BB163" s="149"/>
      <c r="BC163" s="149"/>
      <c r="BD163" s="149"/>
      <c r="BE163" s="149"/>
      <c r="BF163" s="149"/>
      <c r="BG163" s="149"/>
      <c r="BH163" s="149"/>
      <c r="BI163" s="149"/>
      <c r="BJ163" s="151"/>
      <c r="BK163" s="32" t="str">
        <f t="shared" si="105"/>
        <v>ENT_21_04_疾患マスタ.sql</v>
      </c>
    </row>
    <row r="164" spans="1:63" ht="37.5" customHeight="1">
      <c r="A164" s="34" t="str">
        <f t="shared" ref="A164" si="106">P164</f>
        <v>薬剤マスタ</v>
      </c>
      <c r="B164" s="139" t="str">
        <f t="shared" si="100"/>
        <v>21</v>
      </c>
      <c r="C164" s="140"/>
      <c r="D164" s="140"/>
      <c r="E164" s="140"/>
      <c r="F164" s="141"/>
      <c r="G164" s="142" t="s">
        <v>305</v>
      </c>
      <c r="H164" s="143"/>
      <c r="I164" s="143"/>
      <c r="J164" s="143"/>
      <c r="K164" s="143"/>
      <c r="L164" s="143"/>
      <c r="M164" s="143"/>
      <c r="N164" s="144"/>
      <c r="O164" s="79" t="str">
        <f t="shared" si="101"/>
        <v>ENT_21_05</v>
      </c>
      <c r="P164" s="145" t="s">
        <v>3817</v>
      </c>
      <c r="Q164" s="146"/>
      <c r="R164" s="146"/>
      <c r="S164" s="146"/>
      <c r="T164" s="146"/>
      <c r="U164" s="146"/>
      <c r="V164" s="146"/>
      <c r="W164" s="146"/>
      <c r="X164" s="146"/>
      <c r="Y164" s="146"/>
      <c r="Z164" s="146"/>
      <c r="AA164" s="146"/>
      <c r="AB164" s="146"/>
      <c r="AC164" s="146"/>
      <c r="AD164" s="147"/>
      <c r="AE164" s="148" t="str">
        <f t="shared" ca="1" si="102"/>
        <v>sny_202310_mt_yakuzai</v>
      </c>
      <c r="AF164" s="149"/>
      <c r="AG164" s="149"/>
      <c r="AH164" s="149"/>
      <c r="AI164" s="149"/>
      <c r="AJ164" s="149"/>
      <c r="AK164" s="149"/>
      <c r="AL164" s="150"/>
      <c r="AM164" s="148" t="str">
        <f t="shared" ca="1" si="103"/>
        <v>薬剤マスタ情報を格納するテーブル</v>
      </c>
      <c r="AN164" s="149"/>
      <c r="AO164" s="149"/>
      <c r="AP164" s="149"/>
      <c r="AQ164" s="149"/>
      <c r="AR164" s="149"/>
      <c r="AS164" s="149"/>
      <c r="AT164" s="149"/>
      <c r="AU164" s="149"/>
      <c r="AV164" s="149"/>
      <c r="AW164" s="149"/>
      <c r="AX164" s="149"/>
      <c r="AY164" s="149"/>
      <c r="AZ164" s="149"/>
      <c r="BA164" s="149"/>
      <c r="BB164" s="149"/>
      <c r="BC164" s="149"/>
      <c r="BD164" s="149"/>
      <c r="BE164" s="149"/>
      <c r="BF164" s="149"/>
      <c r="BG164" s="149"/>
      <c r="BH164" s="149"/>
      <c r="BI164" s="149"/>
      <c r="BJ164" s="151"/>
      <c r="BK164" s="32" t="str">
        <f t="shared" ref="BK164" si="107">IF(P164&lt;&gt;"",O164&amp;"_"&amp;P164&amp;".sql","")</f>
        <v>ENT_21_05_薬剤マスタ.sql</v>
      </c>
    </row>
    <row r="165" spans="1:63" ht="37.5" customHeight="1">
      <c r="A165" s="34" t="str">
        <f t="shared" ref="A165" si="108">P165</f>
        <v>検体検査マスタ</v>
      </c>
      <c r="B165" s="139" t="str">
        <f t="shared" si="100"/>
        <v>21</v>
      </c>
      <c r="C165" s="140"/>
      <c r="D165" s="140"/>
      <c r="E165" s="140"/>
      <c r="F165" s="141"/>
      <c r="G165" s="142" t="s">
        <v>305</v>
      </c>
      <c r="H165" s="143"/>
      <c r="I165" s="143"/>
      <c r="J165" s="143"/>
      <c r="K165" s="143"/>
      <c r="L165" s="143"/>
      <c r="M165" s="143"/>
      <c r="N165" s="144"/>
      <c r="O165" s="79" t="str">
        <f t="shared" ref="O165" si="109">IF(P165&lt;&gt;"","ENT_"&amp;RIGHT(B165,2)&amp;"_"&amp;TEXT(ROW(O165)-ROW(O$160)+1,"00"),"")</f>
        <v>ENT_21_06</v>
      </c>
      <c r="P165" s="145" t="s">
        <v>3818</v>
      </c>
      <c r="Q165" s="146"/>
      <c r="R165" s="146"/>
      <c r="S165" s="146"/>
      <c r="T165" s="146"/>
      <c r="U165" s="146"/>
      <c r="V165" s="146"/>
      <c r="W165" s="146"/>
      <c r="X165" s="146"/>
      <c r="Y165" s="146"/>
      <c r="Z165" s="146"/>
      <c r="AA165" s="146"/>
      <c r="AB165" s="146"/>
      <c r="AC165" s="146"/>
      <c r="AD165" s="147"/>
      <c r="AE165" s="148" t="str">
        <f t="shared" ref="AE165" ca="1" si="110">IFERROR(INDIRECT(P165&amp;"!D8"),"")</f>
        <v>sny_202310_mt_kensa</v>
      </c>
      <c r="AF165" s="149"/>
      <c r="AG165" s="149"/>
      <c r="AH165" s="149"/>
      <c r="AI165" s="149"/>
      <c r="AJ165" s="149"/>
      <c r="AK165" s="149"/>
      <c r="AL165" s="150"/>
      <c r="AM165" s="148" t="str">
        <f t="shared" ref="AM165" ca="1" si="111">IFERROR(INDIRECT(P165&amp;"!D9"),"")</f>
        <v>検体検査マスタ情報を格納するテーブル</v>
      </c>
      <c r="AN165" s="149"/>
      <c r="AO165" s="149"/>
      <c r="AP165" s="149"/>
      <c r="AQ165" s="149"/>
      <c r="AR165" s="149"/>
      <c r="AS165" s="149"/>
      <c r="AT165" s="149"/>
      <c r="AU165" s="149"/>
      <c r="AV165" s="149"/>
      <c r="AW165" s="149"/>
      <c r="AX165" s="149"/>
      <c r="AY165" s="149"/>
      <c r="AZ165" s="149"/>
      <c r="BA165" s="149"/>
      <c r="BB165" s="149"/>
      <c r="BC165" s="149"/>
      <c r="BD165" s="149"/>
      <c r="BE165" s="149"/>
      <c r="BF165" s="149"/>
      <c r="BG165" s="149"/>
      <c r="BH165" s="149"/>
      <c r="BI165" s="149"/>
      <c r="BJ165" s="151"/>
      <c r="BK165" s="32" t="str">
        <f t="shared" ref="BK165" si="112">IF(P165&lt;&gt;"",O165&amp;"_"&amp;P165&amp;".sql","")</f>
        <v>ENT_21_06_検体検査マスタ.sql</v>
      </c>
    </row>
    <row r="166" spans="1:63" ht="37.5" customHeight="1">
      <c r="A166" s="34" t="str">
        <f t="shared" ref="A166" si="113">P166</f>
        <v>診療行為マスタ</v>
      </c>
      <c r="B166" s="161" t="str">
        <f t="shared" si="100"/>
        <v>21</v>
      </c>
      <c r="C166" s="162"/>
      <c r="D166" s="162"/>
      <c r="E166" s="162"/>
      <c r="F166" s="163"/>
      <c r="G166" s="158" t="s">
        <v>305</v>
      </c>
      <c r="H166" s="159"/>
      <c r="I166" s="159"/>
      <c r="J166" s="159"/>
      <c r="K166" s="159"/>
      <c r="L166" s="159"/>
      <c r="M166" s="159"/>
      <c r="N166" s="160"/>
      <c r="O166" s="79" t="str">
        <f t="shared" si="101"/>
        <v>ENT_21_07</v>
      </c>
      <c r="P166" s="145" t="s">
        <v>4092</v>
      </c>
      <c r="Q166" s="146"/>
      <c r="R166" s="146"/>
      <c r="S166" s="146"/>
      <c r="T166" s="146"/>
      <c r="U166" s="146"/>
      <c r="V166" s="146"/>
      <c r="W166" s="146"/>
      <c r="X166" s="146"/>
      <c r="Y166" s="146"/>
      <c r="Z166" s="146"/>
      <c r="AA166" s="146"/>
      <c r="AB166" s="146"/>
      <c r="AC166" s="146"/>
      <c r="AD166" s="147"/>
      <c r="AE166" s="148" t="str">
        <f t="shared" ca="1" si="102"/>
        <v>sny_202310_mt_shinryo_koi</v>
      </c>
      <c r="AF166" s="149"/>
      <c r="AG166" s="149"/>
      <c r="AH166" s="149"/>
      <c r="AI166" s="149"/>
      <c r="AJ166" s="149"/>
      <c r="AK166" s="149"/>
      <c r="AL166" s="150"/>
      <c r="AM166" s="148" t="str">
        <f t="shared" ca="1" si="103"/>
        <v>診療行為マスタ情報を格納するテーブル</v>
      </c>
      <c r="AN166" s="149"/>
      <c r="AO166" s="149"/>
      <c r="AP166" s="149"/>
      <c r="AQ166" s="149"/>
      <c r="AR166" s="149"/>
      <c r="AS166" s="149"/>
      <c r="AT166" s="149"/>
      <c r="AU166" s="149"/>
      <c r="AV166" s="149"/>
      <c r="AW166" s="149"/>
      <c r="AX166" s="149"/>
      <c r="AY166" s="149"/>
      <c r="AZ166" s="149"/>
      <c r="BA166" s="149"/>
      <c r="BB166" s="149"/>
      <c r="BC166" s="149"/>
      <c r="BD166" s="149"/>
      <c r="BE166" s="149"/>
      <c r="BF166" s="149"/>
      <c r="BG166" s="149"/>
      <c r="BH166" s="149"/>
      <c r="BI166" s="149"/>
      <c r="BJ166" s="151"/>
      <c r="BK166" s="32" t="str">
        <f t="shared" ref="BK166" si="114">IF(P166&lt;&gt;"",O166&amp;"_"&amp;P166&amp;".sql","")</f>
        <v>ENT_21_07_診療行為マスタ.sql</v>
      </c>
    </row>
    <row r="167" spans="1:63" ht="37.5" hidden="1" customHeight="1" outlineLevel="1">
      <c r="A167" s="34" t="str">
        <f t="shared" si="78"/>
        <v>ベース_処方データ</v>
      </c>
      <c r="B167" s="152" t="str">
        <f>TEXT(31,"00")</f>
        <v>31</v>
      </c>
      <c r="C167" s="153"/>
      <c r="D167" s="153"/>
      <c r="E167" s="153"/>
      <c r="F167" s="154"/>
      <c r="G167" s="155" t="s">
        <v>308</v>
      </c>
      <c r="H167" s="156"/>
      <c r="I167" s="156"/>
      <c r="J167" s="156"/>
      <c r="K167" s="156"/>
      <c r="L167" s="156"/>
      <c r="M167" s="156"/>
      <c r="N167" s="157"/>
      <c r="O167" s="79" t="s">
        <v>4032</v>
      </c>
      <c r="P167" s="145" t="s">
        <v>3708</v>
      </c>
      <c r="Q167" s="146"/>
      <c r="R167" s="146"/>
      <c r="S167" s="146"/>
      <c r="T167" s="146"/>
      <c r="U167" s="146"/>
      <c r="V167" s="146"/>
      <c r="W167" s="146"/>
      <c r="X167" s="146"/>
      <c r="Y167" s="146"/>
      <c r="Z167" s="146"/>
      <c r="AA167" s="146"/>
      <c r="AB167" s="146"/>
      <c r="AC167" s="146"/>
      <c r="AD167" s="147"/>
      <c r="AE167" s="148" t="str">
        <f t="shared" ref="AE167" ca="1" si="115">IFERROR(INDIRECT(P167&amp;"!D8"),"")</f>
        <v>sny_202310_base_mart_shohou</v>
      </c>
      <c r="AF167" s="149"/>
      <c r="AG167" s="149"/>
      <c r="AH167" s="149"/>
      <c r="AI167" s="149"/>
      <c r="AJ167" s="149"/>
      <c r="AK167" s="149"/>
      <c r="AL167" s="150"/>
      <c r="AM167" s="148" t="str">
        <f t="shared" ref="AM167" ca="1" si="116">IFERROR(INDIRECT(P167&amp;"!D9"),"")</f>
        <v>バックアップ_処方データテーブルから対象患者で絞り込んだ結果を格納するテーブル</v>
      </c>
      <c r="AN167" s="149"/>
      <c r="AO167" s="149"/>
      <c r="AP167" s="149"/>
      <c r="AQ167" s="149"/>
      <c r="AR167" s="149"/>
      <c r="AS167" s="149"/>
      <c r="AT167" s="149"/>
      <c r="AU167" s="149"/>
      <c r="AV167" s="149"/>
      <c r="AW167" s="149"/>
      <c r="AX167" s="149"/>
      <c r="AY167" s="149"/>
      <c r="AZ167" s="149"/>
      <c r="BA167" s="149"/>
      <c r="BB167" s="149"/>
      <c r="BC167" s="149"/>
      <c r="BD167" s="149"/>
      <c r="BE167" s="149"/>
      <c r="BF167" s="149"/>
      <c r="BG167" s="149"/>
      <c r="BH167" s="149"/>
      <c r="BI167" s="149"/>
      <c r="BJ167" s="151"/>
      <c r="BK167" s="32" t="str">
        <f t="shared" si="43"/>
        <v>ENT_31_A1-02_ベース_処方データ.sql</v>
      </c>
    </row>
    <row r="168" spans="1:63" ht="37.5" hidden="1" customHeight="1" outlineLevel="1">
      <c r="A168" s="34" t="str">
        <f t="shared" ref="A168:A202" si="117">P168</f>
        <v>ベース_診療行為データ</v>
      </c>
      <c r="B168" s="139" t="str">
        <f t="shared" ref="B168:B202" si="118">TEXT(31,"00")</f>
        <v>31</v>
      </c>
      <c r="C168" s="140"/>
      <c r="D168" s="140"/>
      <c r="E168" s="140"/>
      <c r="F168" s="141"/>
      <c r="G168" s="142" t="s">
        <v>308</v>
      </c>
      <c r="H168" s="143"/>
      <c r="I168" s="143"/>
      <c r="J168" s="143"/>
      <c r="K168" s="143"/>
      <c r="L168" s="143"/>
      <c r="M168" s="143"/>
      <c r="N168" s="144"/>
      <c r="O168" s="79" t="s">
        <v>4033</v>
      </c>
      <c r="P168" s="145" t="s">
        <v>3709</v>
      </c>
      <c r="Q168" s="146"/>
      <c r="R168" s="146"/>
      <c r="S168" s="146"/>
      <c r="T168" s="146"/>
      <c r="U168" s="146"/>
      <c r="V168" s="146"/>
      <c r="W168" s="146"/>
      <c r="X168" s="146"/>
      <c r="Y168" s="146"/>
      <c r="Z168" s="146"/>
      <c r="AA168" s="146"/>
      <c r="AB168" s="146"/>
      <c r="AC168" s="146"/>
      <c r="AD168" s="147"/>
      <c r="AE168" s="148" t="str">
        <f t="shared" ref="AE168:AE202" ca="1" si="119">IFERROR(INDIRECT(P168&amp;"!D8"),"")</f>
        <v>sny_202310_base_mart_shinryou_koui</v>
      </c>
      <c r="AF168" s="149"/>
      <c r="AG168" s="149"/>
      <c r="AH168" s="149"/>
      <c r="AI168" s="149"/>
      <c r="AJ168" s="149"/>
      <c r="AK168" s="149"/>
      <c r="AL168" s="150"/>
      <c r="AM168" s="148" t="str">
        <f t="shared" ref="AM168:AM202" ca="1" si="120">IFERROR(INDIRECT(P168&amp;"!D9"),"")</f>
        <v>バックアップ_診療行為データテーブルから対象患者で絞り込んだ結果を格納するテーブル</v>
      </c>
      <c r="AN168" s="149"/>
      <c r="AO168" s="149"/>
      <c r="AP168" s="149"/>
      <c r="AQ168" s="149"/>
      <c r="AR168" s="149"/>
      <c r="AS168" s="149"/>
      <c r="AT168" s="149"/>
      <c r="AU168" s="149"/>
      <c r="AV168" s="149"/>
      <c r="AW168" s="149"/>
      <c r="AX168" s="149"/>
      <c r="AY168" s="149"/>
      <c r="AZ168" s="149"/>
      <c r="BA168" s="149"/>
      <c r="BB168" s="149"/>
      <c r="BC168" s="149"/>
      <c r="BD168" s="149"/>
      <c r="BE168" s="149"/>
      <c r="BF168" s="149"/>
      <c r="BG168" s="149"/>
      <c r="BH168" s="149"/>
      <c r="BI168" s="149"/>
      <c r="BJ168" s="151"/>
      <c r="BK168" s="32" t="str">
        <f t="shared" ref="BK168:BK202" si="121">IF(P168&lt;&gt;"",O168&amp;"_"&amp;P168&amp;".sql","")</f>
        <v>ENT_31_A1-03_ベース_診療行為データ.sql</v>
      </c>
    </row>
    <row r="169" spans="1:63" ht="37.5" hidden="1" customHeight="1" outlineLevel="1">
      <c r="A169" s="34" t="str">
        <f t="shared" si="117"/>
        <v>ベース_入院退院データ</v>
      </c>
      <c r="B169" s="139" t="str">
        <f t="shared" si="118"/>
        <v>31</v>
      </c>
      <c r="C169" s="140"/>
      <c r="D169" s="140"/>
      <c r="E169" s="140"/>
      <c r="F169" s="141"/>
      <c r="G169" s="142" t="s">
        <v>308</v>
      </c>
      <c r="H169" s="143"/>
      <c r="I169" s="143"/>
      <c r="J169" s="143"/>
      <c r="K169" s="143"/>
      <c r="L169" s="143"/>
      <c r="M169" s="143"/>
      <c r="N169" s="144"/>
      <c r="O169" s="79" t="s">
        <v>4034</v>
      </c>
      <c r="P169" s="145" t="s">
        <v>3710</v>
      </c>
      <c r="Q169" s="146"/>
      <c r="R169" s="146"/>
      <c r="S169" s="146"/>
      <c r="T169" s="146"/>
      <c r="U169" s="146"/>
      <c r="V169" s="146"/>
      <c r="W169" s="146"/>
      <c r="X169" s="146"/>
      <c r="Y169" s="146"/>
      <c r="Z169" s="146"/>
      <c r="AA169" s="146"/>
      <c r="AB169" s="146"/>
      <c r="AC169" s="146"/>
      <c r="AD169" s="147"/>
      <c r="AE169" s="148" t="str">
        <f t="shared" ca="1" si="119"/>
        <v>sny_202310_base_mart_nyu_tai_in</v>
      </c>
      <c r="AF169" s="149"/>
      <c r="AG169" s="149"/>
      <c r="AH169" s="149"/>
      <c r="AI169" s="149"/>
      <c r="AJ169" s="149"/>
      <c r="AK169" s="149"/>
      <c r="AL169" s="150"/>
      <c r="AM169" s="148" t="str">
        <f t="shared" ca="1" si="120"/>
        <v>バックアップ_入院退院データテーブルから対象患者で絞り込んだ結果を格納するテーブル</v>
      </c>
      <c r="AN169" s="149"/>
      <c r="AO169" s="149"/>
      <c r="AP169" s="149"/>
      <c r="AQ169" s="149"/>
      <c r="AR169" s="149"/>
      <c r="AS169" s="149"/>
      <c r="AT169" s="149"/>
      <c r="AU169" s="149"/>
      <c r="AV169" s="149"/>
      <c r="AW169" s="149"/>
      <c r="AX169" s="149"/>
      <c r="AY169" s="149"/>
      <c r="AZ169" s="149"/>
      <c r="BA169" s="149"/>
      <c r="BB169" s="149"/>
      <c r="BC169" s="149"/>
      <c r="BD169" s="149"/>
      <c r="BE169" s="149"/>
      <c r="BF169" s="149"/>
      <c r="BG169" s="149"/>
      <c r="BH169" s="149"/>
      <c r="BI169" s="149"/>
      <c r="BJ169" s="151"/>
      <c r="BK169" s="32" t="str">
        <f t="shared" si="121"/>
        <v>ENT_31_A1-06_ベース_入院退院データ.sql</v>
      </c>
    </row>
    <row r="170" spans="1:63" ht="37.5" hidden="1" customHeight="1" outlineLevel="1">
      <c r="A170" s="34" t="str">
        <f t="shared" si="117"/>
        <v>ベース_患者基本データ</v>
      </c>
      <c r="B170" s="139" t="str">
        <f t="shared" si="118"/>
        <v>31</v>
      </c>
      <c r="C170" s="140"/>
      <c r="D170" s="140"/>
      <c r="E170" s="140"/>
      <c r="F170" s="141"/>
      <c r="G170" s="142" t="s">
        <v>308</v>
      </c>
      <c r="H170" s="143"/>
      <c r="I170" s="143"/>
      <c r="J170" s="143"/>
      <c r="K170" s="143"/>
      <c r="L170" s="143"/>
      <c r="M170" s="143"/>
      <c r="N170" s="144"/>
      <c r="O170" s="79" t="s">
        <v>4035</v>
      </c>
      <c r="P170" s="145" t="s">
        <v>3711</v>
      </c>
      <c r="Q170" s="146"/>
      <c r="R170" s="146"/>
      <c r="S170" s="146"/>
      <c r="T170" s="146"/>
      <c r="U170" s="146"/>
      <c r="V170" s="146"/>
      <c r="W170" s="146"/>
      <c r="X170" s="146"/>
      <c r="Y170" s="146"/>
      <c r="Z170" s="146"/>
      <c r="AA170" s="146"/>
      <c r="AB170" s="146"/>
      <c r="AC170" s="146"/>
      <c r="AD170" s="147"/>
      <c r="AE170" s="148" t="str">
        <f t="shared" ca="1" si="119"/>
        <v>sny_202310_base_mart_patient_basic</v>
      </c>
      <c r="AF170" s="149"/>
      <c r="AG170" s="149"/>
      <c r="AH170" s="149"/>
      <c r="AI170" s="149"/>
      <c r="AJ170" s="149"/>
      <c r="AK170" s="149"/>
      <c r="AL170" s="150"/>
      <c r="AM170" s="148" t="str">
        <f t="shared" ca="1" si="120"/>
        <v>バックアップ_患者基本データテーブルから対象患者で絞り込んだ結果を格納するテーブル</v>
      </c>
      <c r="AN170" s="149"/>
      <c r="AO170" s="149"/>
      <c r="AP170" s="149"/>
      <c r="AQ170" s="149"/>
      <c r="AR170" s="149"/>
      <c r="AS170" s="149"/>
      <c r="AT170" s="149"/>
      <c r="AU170" s="149"/>
      <c r="AV170" s="149"/>
      <c r="AW170" s="149"/>
      <c r="AX170" s="149"/>
      <c r="AY170" s="149"/>
      <c r="AZ170" s="149"/>
      <c r="BA170" s="149"/>
      <c r="BB170" s="149"/>
      <c r="BC170" s="149"/>
      <c r="BD170" s="149"/>
      <c r="BE170" s="149"/>
      <c r="BF170" s="149"/>
      <c r="BG170" s="149"/>
      <c r="BH170" s="149"/>
      <c r="BI170" s="149"/>
      <c r="BJ170" s="151"/>
      <c r="BK170" s="32" t="str">
        <f t="shared" si="121"/>
        <v>ENT_31_A1-14_ベース_患者基本データ.sql</v>
      </c>
    </row>
    <row r="171" spans="1:63" ht="37.5" hidden="1" customHeight="1" outlineLevel="1">
      <c r="A171" s="34" t="str">
        <f t="shared" si="117"/>
        <v>ベース_MML共通</v>
      </c>
      <c r="B171" s="139" t="str">
        <f t="shared" si="118"/>
        <v>31</v>
      </c>
      <c r="C171" s="140"/>
      <c r="D171" s="140"/>
      <c r="E171" s="140"/>
      <c r="F171" s="141"/>
      <c r="G171" s="142" t="s">
        <v>308</v>
      </c>
      <c r="H171" s="143"/>
      <c r="I171" s="143"/>
      <c r="J171" s="143"/>
      <c r="K171" s="143"/>
      <c r="L171" s="143"/>
      <c r="M171" s="143"/>
      <c r="N171" s="144"/>
      <c r="O171" s="79" t="s">
        <v>4036</v>
      </c>
      <c r="P171" s="145" t="s">
        <v>3712</v>
      </c>
      <c r="Q171" s="146"/>
      <c r="R171" s="146"/>
      <c r="S171" s="146"/>
      <c r="T171" s="146"/>
      <c r="U171" s="146"/>
      <c r="V171" s="146"/>
      <c r="W171" s="146"/>
      <c r="X171" s="146"/>
      <c r="Y171" s="146"/>
      <c r="Z171" s="146"/>
      <c r="AA171" s="146"/>
      <c r="AB171" s="146"/>
      <c r="AC171" s="146"/>
      <c r="AD171" s="147"/>
      <c r="AE171" s="148" t="str">
        <f t="shared" ca="1" si="119"/>
        <v>sny_202310_base_text_mml_common</v>
      </c>
      <c r="AF171" s="149"/>
      <c r="AG171" s="149"/>
      <c r="AH171" s="149"/>
      <c r="AI171" s="149"/>
      <c r="AJ171" s="149"/>
      <c r="AK171" s="149"/>
      <c r="AL171" s="150"/>
      <c r="AM171" s="148" t="str">
        <f t="shared" ca="1" si="120"/>
        <v>バックアップ_MML共通テーブルから対象患者で絞り込んだ結果を格納するテーブル</v>
      </c>
      <c r="AN171" s="149"/>
      <c r="AO171" s="149"/>
      <c r="AP171" s="149"/>
      <c r="AQ171" s="149"/>
      <c r="AR171" s="149"/>
      <c r="AS171" s="149"/>
      <c r="AT171" s="149"/>
      <c r="AU171" s="149"/>
      <c r="AV171" s="149"/>
      <c r="AW171" s="149"/>
      <c r="AX171" s="149"/>
      <c r="AY171" s="149"/>
      <c r="AZ171" s="149"/>
      <c r="BA171" s="149"/>
      <c r="BB171" s="149"/>
      <c r="BC171" s="149"/>
      <c r="BD171" s="149"/>
      <c r="BE171" s="149"/>
      <c r="BF171" s="149"/>
      <c r="BG171" s="149"/>
      <c r="BH171" s="149"/>
      <c r="BI171" s="149"/>
      <c r="BJ171" s="151"/>
      <c r="BK171" s="32" t="str">
        <f t="shared" si="121"/>
        <v>ENT_31_A6-02_ベース_MML共通.sql</v>
      </c>
    </row>
    <row r="172" spans="1:63" ht="37.5" hidden="1" customHeight="1" outlineLevel="1">
      <c r="A172" s="34" t="str">
        <f t="shared" si="117"/>
        <v>ベース_MML_診断履歴情報モジュール_本文</v>
      </c>
      <c r="B172" s="139" t="str">
        <f t="shared" si="118"/>
        <v>31</v>
      </c>
      <c r="C172" s="140"/>
      <c r="D172" s="140"/>
      <c r="E172" s="140"/>
      <c r="F172" s="141"/>
      <c r="G172" s="142" t="s">
        <v>308</v>
      </c>
      <c r="H172" s="143"/>
      <c r="I172" s="143"/>
      <c r="J172" s="143"/>
      <c r="K172" s="143"/>
      <c r="L172" s="143"/>
      <c r="M172" s="143"/>
      <c r="N172" s="144"/>
      <c r="O172" s="79" t="s">
        <v>4037</v>
      </c>
      <c r="P172" s="145" t="s">
        <v>3713</v>
      </c>
      <c r="Q172" s="146"/>
      <c r="R172" s="146"/>
      <c r="S172" s="146"/>
      <c r="T172" s="146"/>
      <c r="U172" s="146"/>
      <c r="V172" s="146"/>
      <c r="W172" s="146"/>
      <c r="X172" s="146"/>
      <c r="Y172" s="146"/>
      <c r="Z172" s="146"/>
      <c r="AA172" s="146"/>
      <c r="AB172" s="146"/>
      <c r="AC172" s="146"/>
      <c r="AD172" s="147"/>
      <c r="AE172" s="148" t="str">
        <f t="shared" ca="1" si="119"/>
        <v>sny_202310_base_text_mml_mmlrd_body</v>
      </c>
      <c r="AF172" s="149"/>
      <c r="AG172" s="149"/>
      <c r="AH172" s="149"/>
      <c r="AI172" s="149"/>
      <c r="AJ172" s="149"/>
      <c r="AK172" s="149"/>
      <c r="AL172" s="150"/>
      <c r="AM172" s="148" t="str">
        <f t="shared" ca="1" si="120"/>
        <v>バックアップ_MML_診断履歴情報モジュール_本文テーブルから対象患者で絞り込んだ結果を格納するテーブル</v>
      </c>
      <c r="AN172" s="149"/>
      <c r="AO172" s="149"/>
      <c r="AP172" s="149"/>
      <c r="AQ172" s="149"/>
      <c r="AR172" s="149"/>
      <c r="AS172" s="149"/>
      <c r="AT172" s="149"/>
      <c r="AU172" s="149"/>
      <c r="AV172" s="149"/>
      <c r="AW172" s="149"/>
      <c r="AX172" s="149"/>
      <c r="AY172" s="149"/>
      <c r="AZ172" s="149"/>
      <c r="BA172" s="149"/>
      <c r="BB172" s="149"/>
      <c r="BC172" s="149"/>
      <c r="BD172" s="149"/>
      <c r="BE172" s="149"/>
      <c r="BF172" s="149"/>
      <c r="BG172" s="149"/>
      <c r="BH172" s="149"/>
      <c r="BI172" s="149"/>
      <c r="BJ172" s="151"/>
      <c r="BK172" s="32" t="str">
        <f t="shared" si="121"/>
        <v>ENT_31_A6-03_ベース_MML_診断履歴情報モジュール_本文.sql</v>
      </c>
    </row>
    <row r="173" spans="1:63" ht="37.5" hidden="1" customHeight="1" outlineLevel="1">
      <c r="A173" s="34" t="str">
        <f t="shared" si="117"/>
        <v>ベース_MML_診断履歴情報モジュール_病名</v>
      </c>
      <c r="B173" s="139" t="str">
        <f t="shared" si="118"/>
        <v>31</v>
      </c>
      <c r="C173" s="140"/>
      <c r="D173" s="140"/>
      <c r="E173" s="140"/>
      <c r="F173" s="141"/>
      <c r="G173" s="142" t="s">
        <v>308</v>
      </c>
      <c r="H173" s="143"/>
      <c r="I173" s="143"/>
      <c r="J173" s="143"/>
      <c r="K173" s="143"/>
      <c r="L173" s="143"/>
      <c r="M173" s="143"/>
      <c r="N173" s="144"/>
      <c r="O173" s="79" t="s">
        <v>4038</v>
      </c>
      <c r="P173" s="145" t="s">
        <v>3714</v>
      </c>
      <c r="Q173" s="146"/>
      <c r="R173" s="146"/>
      <c r="S173" s="146"/>
      <c r="T173" s="146"/>
      <c r="U173" s="146"/>
      <c r="V173" s="146"/>
      <c r="W173" s="146"/>
      <c r="X173" s="146"/>
      <c r="Y173" s="146"/>
      <c r="Z173" s="146"/>
      <c r="AA173" s="146"/>
      <c r="AB173" s="146"/>
      <c r="AC173" s="146"/>
      <c r="AD173" s="147"/>
      <c r="AE173" s="148" t="str">
        <f t="shared" ca="1" si="119"/>
        <v>sny_202310_base_text_mml_mmlrd_byomei</v>
      </c>
      <c r="AF173" s="149"/>
      <c r="AG173" s="149"/>
      <c r="AH173" s="149"/>
      <c r="AI173" s="149"/>
      <c r="AJ173" s="149"/>
      <c r="AK173" s="149"/>
      <c r="AL173" s="150"/>
      <c r="AM173" s="148" t="str">
        <f t="shared" ca="1" si="120"/>
        <v>バックアップ_MML_診断履歴情報モジュール_病名テーブルから対象患者で絞り込んだ結果を格納するテーブル</v>
      </c>
      <c r="AN173" s="149"/>
      <c r="AO173" s="149"/>
      <c r="AP173" s="149"/>
      <c r="AQ173" s="149"/>
      <c r="AR173" s="149"/>
      <c r="AS173" s="149"/>
      <c r="AT173" s="149"/>
      <c r="AU173" s="149"/>
      <c r="AV173" s="149"/>
      <c r="AW173" s="149"/>
      <c r="AX173" s="149"/>
      <c r="AY173" s="149"/>
      <c r="AZ173" s="149"/>
      <c r="BA173" s="149"/>
      <c r="BB173" s="149"/>
      <c r="BC173" s="149"/>
      <c r="BD173" s="149"/>
      <c r="BE173" s="149"/>
      <c r="BF173" s="149"/>
      <c r="BG173" s="149"/>
      <c r="BH173" s="149"/>
      <c r="BI173" s="149"/>
      <c r="BJ173" s="151"/>
      <c r="BK173" s="32" t="str">
        <f t="shared" si="121"/>
        <v>ENT_31_A6-04_ベース_MML_診断履歴情報モジュール_病名.sql</v>
      </c>
    </row>
    <row r="174" spans="1:63" ht="37.5" hidden="1" customHeight="1" outlineLevel="1">
      <c r="A174" s="34" t="str">
        <f t="shared" ref="A174:A179" si="122">P174</f>
        <v>ベース_MML_検歴情報モジュール_本文</v>
      </c>
      <c r="B174" s="139" t="str">
        <f t="shared" si="118"/>
        <v>31</v>
      </c>
      <c r="C174" s="140"/>
      <c r="D174" s="140"/>
      <c r="E174" s="140"/>
      <c r="F174" s="141"/>
      <c r="G174" s="142" t="s">
        <v>308</v>
      </c>
      <c r="H174" s="143"/>
      <c r="I174" s="143"/>
      <c r="J174" s="143"/>
      <c r="K174" s="143"/>
      <c r="L174" s="143"/>
      <c r="M174" s="143"/>
      <c r="N174" s="144"/>
      <c r="O174" s="79" t="s">
        <v>4062</v>
      </c>
      <c r="P174" s="145" t="s">
        <v>3998</v>
      </c>
      <c r="Q174" s="146"/>
      <c r="R174" s="146"/>
      <c r="S174" s="146"/>
      <c r="T174" s="146"/>
      <c r="U174" s="146"/>
      <c r="V174" s="146"/>
      <c r="W174" s="146"/>
      <c r="X174" s="146"/>
      <c r="Y174" s="146"/>
      <c r="Z174" s="146"/>
      <c r="AA174" s="146"/>
      <c r="AB174" s="146"/>
      <c r="AC174" s="146"/>
      <c r="AD174" s="147"/>
      <c r="AE174" s="148" t="str">
        <f t="shared" ref="AE174:AE179" ca="1" si="123">IFERROR(INDIRECT(P174&amp;"!D8"),"")</f>
        <v>sny_202310_base_text_mml_mmllb_body</v>
      </c>
      <c r="AF174" s="149"/>
      <c r="AG174" s="149"/>
      <c r="AH174" s="149"/>
      <c r="AI174" s="149"/>
      <c r="AJ174" s="149"/>
      <c r="AK174" s="149"/>
      <c r="AL174" s="150"/>
      <c r="AM174" s="148" t="str">
        <f t="shared" ref="AM174:AM179" ca="1" si="124">IFERROR(INDIRECT(P174&amp;"!D9"),"")</f>
        <v>ベース_MML_検歴情報モジュール_本文テーブルから組入れ条件の第一条件で絞り込んだ結果を格納するテーブル</v>
      </c>
      <c r="AN174" s="149"/>
      <c r="AO174" s="149"/>
      <c r="AP174" s="149"/>
      <c r="AQ174" s="149"/>
      <c r="AR174" s="149"/>
      <c r="AS174" s="149"/>
      <c r="AT174" s="149"/>
      <c r="AU174" s="149"/>
      <c r="AV174" s="149"/>
      <c r="AW174" s="149"/>
      <c r="AX174" s="149"/>
      <c r="AY174" s="149"/>
      <c r="AZ174" s="149"/>
      <c r="BA174" s="149"/>
      <c r="BB174" s="149"/>
      <c r="BC174" s="149"/>
      <c r="BD174" s="149"/>
      <c r="BE174" s="149"/>
      <c r="BF174" s="149"/>
      <c r="BG174" s="149"/>
      <c r="BH174" s="149"/>
      <c r="BI174" s="149"/>
      <c r="BJ174" s="151"/>
      <c r="BK174" s="32" t="str">
        <f t="shared" ref="BK174:BK179" si="125">IF(P174&lt;&gt;"",O174&amp;"_"&amp;P174&amp;".sql","")</f>
        <v>ENT_31_A6-18_ベース_MML_検歴情報モジュール_本文.sql</v>
      </c>
    </row>
    <row r="175" spans="1:63" ht="37.5" hidden="1" customHeight="1" outlineLevel="1">
      <c r="A175" s="34" t="str">
        <f t="shared" si="122"/>
        <v>ベース_MML_検歴情報モジュール_報告コメント</v>
      </c>
      <c r="B175" s="139" t="str">
        <f t="shared" si="118"/>
        <v>31</v>
      </c>
      <c r="C175" s="140"/>
      <c r="D175" s="140"/>
      <c r="E175" s="140"/>
      <c r="F175" s="141"/>
      <c r="G175" s="142" t="s">
        <v>308</v>
      </c>
      <c r="H175" s="143"/>
      <c r="I175" s="143"/>
      <c r="J175" s="143"/>
      <c r="K175" s="143"/>
      <c r="L175" s="143"/>
      <c r="M175" s="143"/>
      <c r="N175" s="144"/>
      <c r="O175" s="79" t="s">
        <v>4063</v>
      </c>
      <c r="P175" s="145" t="s">
        <v>3999</v>
      </c>
      <c r="Q175" s="146"/>
      <c r="R175" s="146"/>
      <c r="S175" s="146"/>
      <c r="T175" s="146"/>
      <c r="U175" s="146"/>
      <c r="V175" s="146"/>
      <c r="W175" s="146"/>
      <c r="X175" s="146"/>
      <c r="Y175" s="146"/>
      <c r="Z175" s="146"/>
      <c r="AA175" s="146"/>
      <c r="AB175" s="146"/>
      <c r="AC175" s="146"/>
      <c r="AD175" s="147"/>
      <c r="AE175" s="148" t="str">
        <f t="shared" ca="1" si="123"/>
        <v>sny_202310_base_text_mml_mmllb_memo</v>
      </c>
      <c r="AF175" s="149"/>
      <c r="AG175" s="149"/>
      <c r="AH175" s="149"/>
      <c r="AI175" s="149"/>
      <c r="AJ175" s="149"/>
      <c r="AK175" s="149"/>
      <c r="AL175" s="150"/>
      <c r="AM175" s="148" t="str">
        <f t="shared" ca="1" si="124"/>
        <v>ベース_MML_検歴情報モジュール_報告コメントテーブルから組入れ条件の第一条件で絞り込んだ結果を格納するテーブル</v>
      </c>
      <c r="AN175" s="149"/>
      <c r="AO175" s="149"/>
      <c r="AP175" s="149"/>
      <c r="AQ175" s="149"/>
      <c r="AR175" s="149"/>
      <c r="AS175" s="149"/>
      <c r="AT175" s="149"/>
      <c r="AU175" s="149"/>
      <c r="AV175" s="149"/>
      <c r="AW175" s="149"/>
      <c r="AX175" s="149"/>
      <c r="AY175" s="149"/>
      <c r="AZ175" s="149"/>
      <c r="BA175" s="149"/>
      <c r="BB175" s="149"/>
      <c r="BC175" s="149"/>
      <c r="BD175" s="149"/>
      <c r="BE175" s="149"/>
      <c r="BF175" s="149"/>
      <c r="BG175" s="149"/>
      <c r="BH175" s="149"/>
      <c r="BI175" s="149"/>
      <c r="BJ175" s="151"/>
      <c r="BK175" s="32" t="str">
        <f t="shared" si="125"/>
        <v>ENT_31_A6-19_ベース_MML_検歴情報モジュール_報告コメント.sql</v>
      </c>
    </row>
    <row r="176" spans="1:63" ht="37.5" hidden="1" customHeight="1" outlineLevel="1">
      <c r="A176" s="34" t="str">
        <f t="shared" si="122"/>
        <v>ベース_MML_検歴情報モジュール_検体検査結果情報</v>
      </c>
      <c r="B176" s="139" t="str">
        <f t="shared" si="118"/>
        <v>31</v>
      </c>
      <c r="C176" s="140"/>
      <c r="D176" s="140"/>
      <c r="E176" s="140"/>
      <c r="F176" s="141"/>
      <c r="G176" s="142" t="s">
        <v>308</v>
      </c>
      <c r="H176" s="143"/>
      <c r="I176" s="143"/>
      <c r="J176" s="143"/>
      <c r="K176" s="143"/>
      <c r="L176" s="143"/>
      <c r="M176" s="143"/>
      <c r="N176" s="144"/>
      <c r="O176" s="79" t="s">
        <v>4064</v>
      </c>
      <c r="P176" s="145" t="s">
        <v>4000</v>
      </c>
      <c r="Q176" s="146"/>
      <c r="R176" s="146"/>
      <c r="S176" s="146"/>
      <c r="T176" s="146"/>
      <c r="U176" s="146"/>
      <c r="V176" s="146"/>
      <c r="W176" s="146"/>
      <c r="X176" s="146"/>
      <c r="Y176" s="146"/>
      <c r="Z176" s="146"/>
      <c r="AA176" s="146"/>
      <c r="AB176" s="146"/>
      <c r="AC176" s="146"/>
      <c r="AD176" s="147"/>
      <c r="AE176" s="148" t="str">
        <f t="shared" ca="1" si="123"/>
        <v>sny_202310_base_text_mml_mmllb_labo_test</v>
      </c>
      <c r="AF176" s="149"/>
      <c r="AG176" s="149"/>
      <c r="AH176" s="149"/>
      <c r="AI176" s="149"/>
      <c r="AJ176" s="149"/>
      <c r="AK176" s="149"/>
      <c r="AL176" s="150"/>
      <c r="AM176" s="148" t="str">
        <f t="shared" ca="1" si="124"/>
        <v>ベース_MML_検歴情報モジュール_検体検査結果情報テーブルから組入れ条件の第一条件で絞り込んだ結果を格納するテーブル</v>
      </c>
      <c r="AN176" s="149"/>
      <c r="AO176" s="149"/>
      <c r="AP176" s="149"/>
      <c r="AQ176" s="149"/>
      <c r="AR176" s="149"/>
      <c r="AS176" s="149"/>
      <c r="AT176" s="149"/>
      <c r="AU176" s="149"/>
      <c r="AV176" s="149"/>
      <c r="AW176" s="149"/>
      <c r="AX176" s="149"/>
      <c r="AY176" s="149"/>
      <c r="AZ176" s="149"/>
      <c r="BA176" s="149"/>
      <c r="BB176" s="149"/>
      <c r="BC176" s="149"/>
      <c r="BD176" s="149"/>
      <c r="BE176" s="149"/>
      <c r="BF176" s="149"/>
      <c r="BG176" s="149"/>
      <c r="BH176" s="149"/>
      <c r="BI176" s="149"/>
      <c r="BJ176" s="151"/>
      <c r="BK176" s="32" t="str">
        <f t="shared" si="125"/>
        <v>ENT_31_A6-20_ベース_MML_検歴情報モジュール_検体検査結果情報.sql</v>
      </c>
    </row>
    <row r="177" spans="1:63" ht="37.5" hidden="1" customHeight="1" outlineLevel="1">
      <c r="A177" s="34" t="str">
        <f t="shared" si="122"/>
        <v>ベース_MML_検歴情報モジュール_検体コメント</v>
      </c>
      <c r="B177" s="139" t="str">
        <f t="shared" si="118"/>
        <v>31</v>
      </c>
      <c r="C177" s="140"/>
      <c r="D177" s="140"/>
      <c r="E177" s="140"/>
      <c r="F177" s="141"/>
      <c r="G177" s="142" t="s">
        <v>308</v>
      </c>
      <c r="H177" s="143"/>
      <c r="I177" s="143"/>
      <c r="J177" s="143"/>
      <c r="K177" s="143"/>
      <c r="L177" s="143"/>
      <c r="M177" s="143"/>
      <c r="N177" s="144"/>
      <c r="O177" s="79" t="s">
        <v>4065</v>
      </c>
      <c r="P177" s="145" t="s">
        <v>4001</v>
      </c>
      <c r="Q177" s="146"/>
      <c r="R177" s="146"/>
      <c r="S177" s="146"/>
      <c r="T177" s="146"/>
      <c r="U177" s="146"/>
      <c r="V177" s="146"/>
      <c r="W177" s="146"/>
      <c r="X177" s="146"/>
      <c r="Y177" s="146"/>
      <c r="Z177" s="146"/>
      <c r="AA177" s="146"/>
      <c r="AB177" s="146"/>
      <c r="AC177" s="146"/>
      <c r="AD177" s="147"/>
      <c r="AE177" s="148" t="str">
        <f t="shared" ca="1" si="123"/>
        <v>sny_202310_base_text_mml_mmllb_spc_memo</v>
      </c>
      <c r="AF177" s="149"/>
      <c r="AG177" s="149"/>
      <c r="AH177" s="149"/>
      <c r="AI177" s="149"/>
      <c r="AJ177" s="149"/>
      <c r="AK177" s="149"/>
      <c r="AL177" s="150"/>
      <c r="AM177" s="148" t="str">
        <f t="shared" ca="1" si="124"/>
        <v>ベース_MML_検歴情報モジュール_検体コメントテーブルから組入れ条件の第一条件で絞り込んだ結果を格納するテーブル</v>
      </c>
      <c r="AN177" s="149"/>
      <c r="AO177" s="149"/>
      <c r="AP177" s="149"/>
      <c r="AQ177" s="149"/>
      <c r="AR177" s="149"/>
      <c r="AS177" s="149"/>
      <c r="AT177" s="149"/>
      <c r="AU177" s="149"/>
      <c r="AV177" s="149"/>
      <c r="AW177" s="149"/>
      <c r="AX177" s="149"/>
      <c r="AY177" s="149"/>
      <c r="AZ177" s="149"/>
      <c r="BA177" s="149"/>
      <c r="BB177" s="149"/>
      <c r="BC177" s="149"/>
      <c r="BD177" s="149"/>
      <c r="BE177" s="149"/>
      <c r="BF177" s="149"/>
      <c r="BG177" s="149"/>
      <c r="BH177" s="149"/>
      <c r="BI177" s="149"/>
      <c r="BJ177" s="151"/>
      <c r="BK177" s="32" t="str">
        <f t="shared" si="125"/>
        <v>ENT_31_A6-21_ベース_MML_検歴情報モジュール_検体コメント.sql</v>
      </c>
    </row>
    <row r="178" spans="1:63" ht="37.5" hidden="1" customHeight="1" outlineLevel="1">
      <c r="A178" s="34" t="str">
        <f t="shared" si="122"/>
        <v>ベース_MML_検歴情報モジュール_検査項目</v>
      </c>
      <c r="B178" s="139" t="str">
        <f t="shared" si="118"/>
        <v>31</v>
      </c>
      <c r="C178" s="140"/>
      <c r="D178" s="140"/>
      <c r="E178" s="140"/>
      <c r="F178" s="141"/>
      <c r="G178" s="142" t="s">
        <v>308</v>
      </c>
      <c r="H178" s="143"/>
      <c r="I178" s="143"/>
      <c r="J178" s="143"/>
      <c r="K178" s="143"/>
      <c r="L178" s="143"/>
      <c r="M178" s="143"/>
      <c r="N178" s="144"/>
      <c r="O178" s="79" t="s">
        <v>4066</v>
      </c>
      <c r="P178" s="145" t="s">
        <v>4002</v>
      </c>
      <c r="Q178" s="146"/>
      <c r="R178" s="146"/>
      <c r="S178" s="146"/>
      <c r="T178" s="146"/>
      <c r="U178" s="146"/>
      <c r="V178" s="146"/>
      <c r="W178" s="146"/>
      <c r="X178" s="146"/>
      <c r="Y178" s="146"/>
      <c r="Z178" s="146"/>
      <c r="AA178" s="146"/>
      <c r="AB178" s="146"/>
      <c r="AC178" s="146"/>
      <c r="AD178" s="147"/>
      <c r="AE178" s="148" t="str">
        <f t="shared" ca="1" si="123"/>
        <v>sny_202310_base_text_mml_mmllb_item</v>
      </c>
      <c r="AF178" s="149"/>
      <c r="AG178" s="149"/>
      <c r="AH178" s="149"/>
      <c r="AI178" s="149"/>
      <c r="AJ178" s="149"/>
      <c r="AK178" s="149"/>
      <c r="AL178" s="150"/>
      <c r="AM178" s="148" t="str">
        <f t="shared" ca="1" si="124"/>
        <v>ベース_MML_検歴情報モジュール_検査項目テーブルから組入れ条件の第一条件で絞り込んだ結果を格納するテーブル</v>
      </c>
      <c r="AN178" s="149"/>
      <c r="AO178" s="149"/>
      <c r="AP178" s="149"/>
      <c r="AQ178" s="149"/>
      <c r="AR178" s="149"/>
      <c r="AS178" s="149"/>
      <c r="AT178" s="149"/>
      <c r="AU178" s="149"/>
      <c r="AV178" s="149"/>
      <c r="AW178" s="149"/>
      <c r="AX178" s="149"/>
      <c r="AY178" s="149"/>
      <c r="AZ178" s="149"/>
      <c r="BA178" s="149"/>
      <c r="BB178" s="149"/>
      <c r="BC178" s="149"/>
      <c r="BD178" s="149"/>
      <c r="BE178" s="149"/>
      <c r="BF178" s="149"/>
      <c r="BG178" s="149"/>
      <c r="BH178" s="149"/>
      <c r="BI178" s="149"/>
      <c r="BJ178" s="151"/>
      <c r="BK178" s="32" t="str">
        <f t="shared" si="125"/>
        <v>ENT_31_A6-22_ベース_MML_検歴情報モジュール_検査項目.sql</v>
      </c>
    </row>
    <row r="179" spans="1:63" ht="37.5" hidden="1" customHeight="1" outlineLevel="1">
      <c r="A179" s="34" t="str">
        <f t="shared" si="122"/>
        <v>ベース_MML_検歴情報モジュール_検査項目コメント</v>
      </c>
      <c r="B179" s="139" t="str">
        <f t="shared" ref="B179" si="126">TEXT(31,"00")</f>
        <v>31</v>
      </c>
      <c r="C179" s="140"/>
      <c r="D179" s="140"/>
      <c r="E179" s="140"/>
      <c r="F179" s="141"/>
      <c r="G179" s="142" t="s">
        <v>308</v>
      </c>
      <c r="H179" s="143"/>
      <c r="I179" s="143"/>
      <c r="J179" s="143"/>
      <c r="K179" s="143"/>
      <c r="L179" s="143"/>
      <c r="M179" s="143"/>
      <c r="N179" s="144"/>
      <c r="O179" s="79" t="s">
        <v>4067</v>
      </c>
      <c r="P179" s="145" t="s">
        <v>4003</v>
      </c>
      <c r="Q179" s="146"/>
      <c r="R179" s="146"/>
      <c r="S179" s="146"/>
      <c r="T179" s="146"/>
      <c r="U179" s="146"/>
      <c r="V179" s="146"/>
      <c r="W179" s="146"/>
      <c r="X179" s="146"/>
      <c r="Y179" s="146"/>
      <c r="Z179" s="146"/>
      <c r="AA179" s="146"/>
      <c r="AB179" s="146"/>
      <c r="AC179" s="146"/>
      <c r="AD179" s="147"/>
      <c r="AE179" s="148" t="str">
        <f t="shared" ca="1" si="123"/>
        <v>sny_202310_base_text_mml_mmllb_item_memo</v>
      </c>
      <c r="AF179" s="149"/>
      <c r="AG179" s="149"/>
      <c r="AH179" s="149"/>
      <c r="AI179" s="149"/>
      <c r="AJ179" s="149"/>
      <c r="AK179" s="149"/>
      <c r="AL179" s="150"/>
      <c r="AM179" s="148" t="str">
        <f t="shared" ca="1" si="124"/>
        <v>ベース_MML_検歴情報モジュール_検査項目コメントテーブルから組入れ条件の第一条件で絞り込んだ結果を格納するテーブル</v>
      </c>
      <c r="AN179" s="149"/>
      <c r="AO179" s="149"/>
      <c r="AP179" s="149"/>
      <c r="AQ179" s="149"/>
      <c r="AR179" s="149"/>
      <c r="AS179" s="149"/>
      <c r="AT179" s="149"/>
      <c r="AU179" s="149"/>
      <c r="AV179" s="149"/>
      <c r="AW179" s="149"/>
      <c r="AX179" s="149"/>
      <c r="AY179" s="149"/>
      <c r="AZ179" s="149"/>
      <c r="BA179" s="149"/>
      <c r="BB179" s="149"/>
      <c r="BC179" s="149"/>
      <c r="BD179" s="149"/>
      <c r="BE179" s="149"/>
      <c r="BF179" s="149"/>
      <c r="BG179" s="149"/>
      <c r="BH179" s="149"/>
      <c r="BI179" s="149"/>
      <c r="BJ179" s="151"/>
      <c r="BK179" s="32" t="str">
        <f t="shared" si="125"/>
        <v>ENT_31_A6-23_ベース_MML_検歴情報モジュール_検査項目コメント.sql</v>
      </c>
    </row>
    <row r="180" spans="1:63" ht="37.5" hidden="1" customHeight="1" outlineLevel="1">
      <c r="A180" s="34" t="str">
        <f t="shared" si="117"/>
        <v>ベース_MML_処方箋モジュール_本文</v>
      </c>
      <c r="B180" s="139" t="str">
        <f t="shared" si="118"/>
        <v>31</v>
      </c>
      <c r="C180" s="140"/>
      <c r="D180" s="140"/>
      <c r="E180" s="140"/>
      <c r="F180" s="141"/>
      <c r="G180" s="142" t="s">
        <v>308</v>
      </c>
      <c r="H180" s="143"/>
      <c r="I180" s="143"/>
      <c r="J180" s="143"/>
      <c r="K180" s="143"/>
      <c r="L180" s="143"/>
      <c r="M180" s="143"/>
      <c r="N180" s="144"/>
      <c r="O180" s="79" t="s">
        <v>4039</v>
      </c>
      <c r="P180" s="145" t="s">
        <v>3715</v>
      </c>
      <c r="Q180" s="146"/>
      <c r="R180" s="146"/>
      <c r="S180" s="146"/>
      <c r="T180" s="146"/>
      <c r="U180" s="146"/>
      <c r="V180" s="146"/>
      <c r="W180" s="146"/>
      <c r="X180" s="146"/>
      <c r="Y180" s="146"/>
      <c r="Z180" s="146"/>
      <c r="AA180" s="146"/>
      <c r="AB180" s="146"/>
      <c r="AC180" s="146"/>
      <c r="AD180" s="147"/>
      <c r="AE180" s="148" t="str">
        <f t="shared" ca="1" si="119"/>
        <v>sny_202310_base_text_mml_mmlps_body</v>
      </c>
      <c r="AF180" s="149"/>
      <c r="AG180" s="149"/>
      <c r="AH180" s="149"/>
      <c r="AI180" s="149"/>
      <c r="AJ180" s="149"/>
      <c r="AK180" s="149"/>
      <c r="AL180" s="150"/>
      <c r="AM180" s="148" t="str">
        <f t="shared" ca="1" si="120"/>
        <v>バックアップ_MML_処方箋モジュール_本文テーブルから対象患者で絞り込んだ結果を格納するテーブル</v>
      </c>
      <c r="AN180" s="149"/>
      <c r="AO180" s="149"/>
      <c r="AP180" s="149"/>
      <c r="AQ180" s="149"/>
      <c r="AR180" s="149"/>
      <c r="AS180" s="149"/>
      <c r="AT180" s="149"/>
      <c r="AU180" s="149"/>
      <c r="AV180" s="149"/>
      <c r="AW180" s="149"/>
      <c r="AX180" s="149"/>
      <c r="AY180" s="149"/>
      <c r="AZ180" s="149"/>
      <c r="BA180" s="149"/>
      <c r="BB180" s="149"/>
      <c r="BC180" s="149"/>
      <c r="BD180" s="149"/>
      <c r="BE180" s="149"/>
      <c r="BF180" s="149"/>
      <c r="BG180" s="149"/>
      <c r="BH180" s="149"/>
      <c r="BI180" s="149"/>
      <c r="BJ180" s="151"/>
      <c r="BK180" s="32" t="str">
        <f t="shared" si="121"/>
        <v>ENT_31_A6-24_ベース_MML_処方箋モジュール_本文.sql</v>
      </c>
    </row>
    <row r="181" spans="1:63" ht="37.5" hidden="1" customHeight="1" outlineLevel="1">
      <c r="A181" s="34" t="str">
        <f t="shared" si="117"/>
        <v>ベース_MML_処方箋モジュール_投薬</v>
      </c>
      <c r="B181" s="139" t="str">
        <f t="shared" si="118"/>
        <v>31</v>
      </c>
      <c r="C181" s="140"/>
      <c r="D181" s="140"/>
      <c r="E181" s="140"/>
      <c r="F181" s="141"/>
      <c r="G181" s="142" t="s">
        <v>308</v>
      </c>
      <c r="H181" s="143"/>
      <c r="I181" s="143"/>
      <c r="J181" s="143"/>
      <c r="K181" s="143"/>
      <c r="L181" s="143"/>
      <c r="M181" s="143"/>
      <c r="N181" s="144"/>
      <c r="O181" s="79" t="s">
        <v>4040</v>
      </c>
      <c r="P181" s="145" t="s">
        <v>3716</v>
      </c>
      <c r="Q181" s="146"/>
      <c r="R181" s="146"/>
      <c r="S181" s="146"/>
      <c r="T181" s="146"/>
      <c r="U181" s="146"/>
      <c r="V181" s="146"/>
      <c r="W181" s="146"/>
      <c r="X181" s="146"/>
      <c r="Y181" s="146"/>
      <c r="Z181" s="146"/>
      <c r="AA181" s="146"/>
      <c r="AB181" s="146"/>
      <c r="AC181" s="146"/>
      <c r="AD181" s="147"/>
      <c r="AE181" s="148" t="str">
        <f t="shared" ca="1" si="119"/>
        <v>sny_202310_base_text_mml_mmlps_medication</v>
      </c>
      <c r="AF181" s="149"/>
      <c r="AG181" s="149"/>
      <c r="AH181" s="149"/>
      <c r="AI181" s="149"/>
      <c r="AJ181" s="149"/>
      <c r="AK181" s="149"/>
      <c r="AL181" s="150"/>
      <c r="AM181" s="148" t="str">
        <f t="shared" ca="1" si="120"/>
        <v>バックアップ_MML_処方箋モジュール_投薬テーブルから対象患者で絞り込んだ結果を格納するテーブル</v>
      </c>
      <c r="AN181" s="149"/>
      <c r="AO181" s="149"/>
      <c r="AP181" s="149"/>
      <c r="AQ181" s="149"/>
      <c r="AR181" s="149"/>
      <c r="AS181" s="149"/>
      <c r="AT181" s="149"/>
      <c r="AU181" s="149"/>
      <c r="AV181" s="149"/>
      <c r="AW181" s="149"/>
      <c r="AX181" s="149"/>
      <c r="AY181" s="149"/>
      <c r="AZ181" s="149"/>
      <c r="BA181" s="149"/>
      <c r="BB181" s="149"/>
      <c r="BC181" s="149"/>
      <c r="BD181" s="149"/>
      <c r="BE181" s="149"/>
      <c r="BF181" s="149"/>
      <c r="BG181" s="149"/>
      <c r="BH181" s="149"/>
      <c r="BI181" s="149"/>
      <c r="BJ181" s="151"/>
      <c r="BK181" s="32" t="str">
        <f t="shared" si="121"/>
        <v>ENT_31_A6-25_ベース_MML_処方箋モジュール_投薬.sql</v>
      </c>
    </row>
    <row r="182" spans="1:63" ht="37.5" hidden="1" customHeight="1" outlineLevel="1">
      <c r="A182" s="34" t="str">
        <f t="shared" si="117"/>
        <v>ベース_MML_処方箋モジュール_薬剤</v>
      </c>
      <c r="B182" s="139" t="str">
        <f t="shared" si="118"/>
        <v>31</v>
      </c>
      <c r="C182" s="140"/>
      <c r="D182" s="140"/>
      <c r="E182" s="140"/>
      <c r="F182" s="141"/>
      <c r="G182" s="142" t="s">
        <v>308</v>
      </c>
      <c r="H182" s="143"/>
      <c r="I182" s="143"/>
      <c r="J182" s="143"/>
      <c r="K182" s="143"/>
      <c r="L182" s="143"/>
      <c r="M182" s="143"/>
      <c r="N182" s="144"/>
      <c r="O182" s="79" t="s">
        <v>4041</v>
      </c>
      <c r="P182" s="145" t="s">
        <v>3717</v>
      </c>
      <c r="Q182" s="146"/>
      <c r="R182" s="146"/>
      <c r="S182" s="146"/>
      <c r="T182" s="146"/>
      <c r="U182" s="146"/>
      <c r="V182" s="146"/>
      <c r="W182" s="146"/>
      <c r="X182" s="146"/>
      <c r="Y182" s="146"/>
      <c r="Z182" s="146"/>
      <c r="AA182" s="146"/>
      <c r="AB182" s="146"/>
      <c r="AC182" s="146"/>
      <c r="AD182" s="147"/>
      <c r="AE182" s="148" t="str">
        <f t="shared" ca="1" si="119"/>
        <v>sny_202310_base_text_mml_mmlps_medicine</v>
      </c>
      <c r="AF182" s="149"/>
      <c r="AG182" s="149"/>
      <c r="AH182" s="149"/>
      <c r="AI182" s="149"/>
      <c r="AJ182" s="149"/>
      <c r="AK182" s="149"/>
      <c r="AL182" s="150"/>
      <c r="AM182" s="148" t="str">
        <f t="shared" ca="1" si="120"/>
        <v>バックアップ_MML_処方箋モジュール_薬剤テーブルから対象患者で絞り込んだ結果を格納するテーブル</v>
      </c>
      <c r="AN182" s="149"/>
      <c r="AO182" s="149"/>
      <c r="AP182" s="149"/>
      <c r="AQ182" s="149"/>
      <c r="AR182" s="149"/>
      <c r="AS182" s="149"/>
      <c r="AT182" s="149"/>
      <c r="AU182" s="149"/>
      <c r="AV182" s="149"/>
      <c r="AW182" s="149"/>
      <c r="AX182" s="149"/>
      <c r="AY182" s="149"/>
      <c r="AZ182" s="149"/>
      <c r="BA182" s="149"/>
      <c r="BB182" s="149"/>
      <c r="BC182" s="149"/>
      <c r="BD182" s="149"/>
      <c r="BE182" s="149"/>
      <c r="BF182" s="149"/>
      <c r="BG182" s="149"/>
      <c r="BH182" s="149"/>
      <c r="BI182" s="149"/>
      <c r="BJ182" s="151"/>
      <c r="BK182" s="32" t="str">
        <f t="shared" si="121"/>
        <v>ENT_31_A6-26_ベース_MML_処方箋モジュール_薬剤.sql</v>
      </c>
    </row>
    <row r="183" spans="1:63" ht="37.5" hidden="1" customHeight="1" outlineLevel="1">
      <c r="A183" s="34" t="str">
        <f t="shared" si="117"/>
        <v>ベース_DPC調査データ_入院EF統合ファイル</v>
      </c>
      <c r="B183" s="139" t="str">
        <f t="shared" si="118"/>
        <v>31</v>
      </c>
      <c r="C183" s="140"/>
      <c r="D183" s="140"/>
      <c r="E183" s="140"/>
      <c r="F183" s="141"/>
      <c r="G183" s="142" t="s">
        <v>308</v>
      </c>
      <c r="H183" s="143"/>
      <c r="I183" s="143"/>
      <c r="J183" s="143"/>
      <c r="K183" s="143"/>
      <c r="L183" s="143"/>
      <c r="M183" s="143"/>
      <c r="N183" s="144"/>
      <c r="O183" s="79" t="s">
        <v>4042</v>
      </c>
      <c r="P183" s="145" t="s">
        <v>3718</v>
      </c>
      <c r="Q183" s="146"/>
      <c r="R183" s="146"/>
      <c r="S183" s="146"/>
      <c r="T183" s="146"/>
      <c r="U183" s="146"/>
      <c r="V183" s="146"/>
      <c r="W183" s="146"/>
      <c r="X183" s="146"/>
      <c r="Y183" s="146"/>
      <c r="Z183" s="146"/>
      <c r="AA183" s="146"/>
      <c r="AB183" s="146"/>
      <c r="AC183" s="146"/>
      <c r="AD183" s="147"/>
      <c r="AE183" s="148" t="str">
        <f t="shared" ca="1" si="119"/>
        <v>sny_202310_base_merge_dpc_efn</v>
      </c>
      <c r="AF183" s="149"/>
      <c r="AG183" s="149"/>
      <c r="AH183" s="149"/>
      <c r="AI183" s="149"/>
      <c r="AJ183" s="149"/>
      <c r="AK183" s="149"/>
      <c r="AL183" s="150"/>
      <c r="AM183" s="148" t="str">
        <f t="shared" ca="1" si="120"/>
        <v>バックアップ_DPC調査データ_入院EF統合ファイルテーブルから対象患者で絞り込んだ結果を格納するテーブル</v>
      </c>
      <c r="AN183" s="149"/>
      <c r="AO183" s="149"/>
      <c r="AP183" s="149"/>
      <c r="AQ183" s="149"/>
      <c r="AR183" s="149"/>
      <c r="AS183" s="149"/>
      <c r="AT183" s="149"/>
      <c r="AU183" s="149"/>
      <c r="AV183" s="149"/>
      <c r="AW183" s="149"/>
      <c r="AX183" s="149"/>
      <c r="AY183" s="149"/>
      <c r="AZ183" s="149"/>
      <c r="BA183" s="149"/>
      <c r="BB183" s="149"/>
      <c r="BC183" s="149"/>
      <c r="BD183" s="149"/>
      <c r="BE183" s="149"/>
      <c r="BF183" s="149"/>
      <c r="BG183" s="149"/>
      <c r="BH183" s="149"/>
      <c r="BI183" s="149"/>
      <c r="BJ183" s="151"/>
      <c r="BK183" s="32" t="str">
        <f t="shared" si="121"/>
        <v>ENT_31_C1-02_ベース_DPC調査データ_入院EF統合ファイル.sql</v>
      </c>
    </row>
    <row r="184" spans="1:63" ht="37.5" hidden="1" customHeight="1" outlineLevel="1">
      <c r="A184" s="34" t="str">
        <f t="shared" si="117"/>
        <v>ベース_DPC調査データ_外来EF統合ファイル</v>
      </c>
      <c r="B184" s="139" t="str">
        <f t="shared" si="118"/>
        <v>31</v>
      </c>
      <c r="C184" s="140"/>
      <c r="D184" s="140"/>
      <c r="E184" s="140"/>
      <c r="F184" s="141"/>
      <c r="G184" s="142" t="s">
        <v>308</v>
      </c>
      <c r="H184" s="143"/>
      <c r="I184" s="143"/>
      <c r="J184" s="143"/>
      <c r="K184" s="143"/>
      <c r="L184" s="143"/>
      <c r="M184" s="143"/>
      <c r="N184" s="144"/>
      <c r="O184" s="79" t="s">
        <v>4043</v>
      </c>
      <c r="P184" s="145" t="s">
        <v>3719</v>
      </c>
      <c r="Q184" s="146"/>
      <c r="R184" s="146"/>
      <c r="S184" s="146"/>
      <c r="T184" s="146"/>
      <c r="U184" s="146"/>
      <c r="V184" s="146"/>
      <c r="W184" s="146"/>
      <c r="X184" s="146"/>
      <c r="Y184" s="146"/>
      <c r="Z184" s="146"/>
      <c r="AA184" s="146"/>
      <c r="AB184" s="146"/>
      <c r="AC184" s="146"/>
      <c r="AD184" s="147"/>
      <c r="AE184" s="148" t="str">
        <f t="shared" ca="1" si="119"/>
        <v>sny_202310_base_merge_dpc_efg</v>
      </c>
      <c r="AF184" s="149"/>
      <c r="AG184" s="149"/>
      <c r="AH184" s="149"/>
      <c r="AI184" s="149"/>
      <c r="AJ184" s="149"/>
      <c r="AK184" s="149"/>
      <c r="AL184" s="150"/>
      <c r="AM184" s="148" t="str">
        <f t="shared" ca="1" si="120"/>
        <v>バックアップ_DPC調査データ_外来EF統合ファイルテーブルから対象患者で絞り込んだ結果を格納するテーブル</v>
      </c>
      <c r="AN184" s="149"/>
      <c r="AO184" s="149"/>
      <c r="AP184" s="149"/>
      <c r="AQ184" s="149"/>
      <c r="AR184" s="149"/>
      <c r="AS184" s="149"/>
      <c r="AT184" s="149"/>
      <c r="AU184" s="149"/>
      <c r="AV184" s="149"/>
      <c r="AW184" s="149"/>
      <c r="AX184" s="149"/>
      <c r="AY184" s="149"/>
      <c r="AZ184" s="149"/>
      <c r="BA184" s="149"/>
      <c r="BB184" s="149"/>
      <c r="BC184" s="149"/>
      <c r="BD184" s="149"/>
      <c r="BE184" s="149"/>
      <c r="BF184" s="149"/>
      <c r="BG184" s="149"/>
      <c r="BH184" s="149"/>
      <c r="BI184" s="149"/>
      <c r="BJ184" s="151"/>
      <c r="BK184" s="32" t="str">
        <f t="shared" si="121"/>
        <v>ENT_31_C1-03_ベース_DPC調査データ_外来EF統合ファイル.sql</v>
      </c>
    </row>
    <row r="185" spans="1:63" ht="37.5" hidden="1" customHeight="1" outlineLevel="1">
      <c r="A185" s="34" t="str">
        <f t="shared" si="117"/>
        <v>ベース_DPC調査データ_様式1</v>
      </c>
      <c r="B185" s="139" t="str">
        <f t="shared" si="118"/>
        <v>31</v>
      </c>
      <c r="C185" s="140"/>
      <c r="D185" s="140"/>
      <c r="E185" s="140"/>
      <c r="F185" s="141"/>
      <c r="G185" s="142" t="s">
        <v>308</v>
      </c>
      <c r="H185" s="143"/>
      <c r="I185" s="143"/>
      <c r="J185" s="143"/>
      <c r="K185" s="143"/>
      <c r="L185" s="143"/>
      <c r="M185" s="143"/>
      <c r="N185" s="144"/>
      <c r="O185" s="79" t="s">
        <v>4044</v>
      </c>
      <c r="P185" s="145" t="s">
        <v>3720</v>
      </c>
      <c r="Q185" s="146"/>
      <c r="R185" s="146"/>
      <c r="S185" s="146"/>
      <c r="T185" s="146"/>
      <c r="U185" s="146"/>
      <c r="V185" s="146"/>
      <c r="W185" s="146"/>
      <c r="X185" s="146"/>
      <c r="Y185" s="146"/>
      <c r="Z185" s="146"/>
      <c r="AA185" s="146"/>
      <c r="AB185" s="146"/>
      <c r="AC185" s="146"/>
      <c r="AD185" s="147"/>
      <c r="AE185" s="148" t="str">
        <f t="shared" ca="1" si="119"/>
        <v>sny_202310_base_merge_dpc_ff1</v>
      </c>
      <c r="AF185" s="149"/>
      <c r="AG185" s="149"/>
      <c r="AH185" s="149"/>
      <c r="AI185" s="149"/>
      <c r="AJ185" s="149"/>
      <c r="AK185" s="149"/>
      <c r="AL185" s="150"/>
      <c r="AM185" s="148" t="str">
        <f t="shared" ca="1" si="120"/>
        <v>バックアップ_DPC調査データ_様式1テーブルから対象患者で絞り込んだ結果を格納するテーブル</v>
      </c>
      <c r="AN185" s="149"/>
      <c r="AO185" s="149"/>
      <c r="AP185" s="149"/>
      <c r="AQ185" s="149"/>
      <c r="AR185" s="149"/>
      <c r="AS185" s="149"/>
      <c r="AT185" s="149"/>
      <c r="AU185" s="149"/>
      <c r="AV185" s="149"/>
      <c r="AW185" s="149"/>
      <c r="AX185" s="149"/>
      <c r="AY185" s="149"/>
      <c r="AZ185" s="149"/>
      <c r="BA185" s="149"/>
      <c r="BB185" s="149"/>
      <c r="BC185" s="149"/>
      <c r="BD185" s="149"/>
      <c r="BE185" s="149"/>
      <c r="BF185" s="149"/>
      <c r="BG185" s="149"/>
      <c r="BH185" s="149"/>
      <c r="BI185" s="149"/>
      <c r="BJ185" s="151"/>
      <c r="BK185" s="32" t="str">
        <f t="shared" si="121"/>
        <v>ENT_31_C1-05_ベース_DPC調査データ_様式1.sql</v>
      </c>
    </row>
    <row r="186" spans="1:63" ht="37.5" hidden="1" customHeight="1" outlineLevel="1">
      <c r="A186" s="34" t="str">
        <f t="shared" si="117"/>
        <v>ベース_DPC調査データ_様式1_診断情報_併存症</v>
      </c>
      <c r="B186" s="139" t="str">
        <f t="shared" si="118"/>
        <v>31</v>
      </c>
      <c r="C186" s="140"/>
      <c r="D186" s="140"/>
      <c r="E186" s="140"/>
      <c r="F186" s="141"/>
      <c r="G186" s="142" t="s">
        <v>308</v>
      </c>
      <c r="H186" s="143"/>
      <c r="I186" s="143"/>
      <c r="J186" s="143"/>
      <c r="K186" s="143"/>
      <c r="L186" s="143"/>
      <c r="M186" s="143"/>
      <c r="N186" s="144"/>
      <c r="O186" s="79" t="s">
        <v>4045</v>
      </c>
      <c r="P186" s="145" t="s">
        <v>3721</v>
      </c>
      <c r="Q186" s="146"/>
      <c r="R186" s="146"/>
      <c r="S186" s="146"/>
      <c r="T186" s="146"/>
      <c r="U186" s="146"/>
      <c r="V186" s="146"/>
      <c r="W186" s="146"/>
      <c r="X186" s="146"/>
      <c r="Y186" s="146"/>
      <c r="Z186" s="146"/>
      <c r="AA186" s="146"/>
      <c r="AB186" s="146"/>
      <c r="AC186" s="146"/>
      <c r="AD186" s="147"/>
      <c r="AE186" s="148" t="str">
        <f t="shared" ca="1" si="119"/>
        <v>sny_202310_base_merge_dpc_ff1_a006040</v>
      </c>
      <c r="AF186" s="149"/>
      <c r="AG186" s="149"/>
      <c r="AH186" s="149"/>
      <c r="AI186" s="149"/>
      <c r="AJ186" s="149"/>
      <c r="AK186" s="149"/>
      <c r="AL186" s="150"/>
      <c r="AM186" s="148" t="str">
        <f t="shared" ca="1" si="120"/>
        <v>バックアップ_DPC調査データ_様式1_診断情報_併存症テーブルから対象患者で絞り込んだ結果を格納するテーブル</v>
      </c>
      <c r="AN186" s="149"/>
      <c r="AO186" s="149"/>
      <c r="AP186" s="149"/>
      <c r="AQ186" s="149"/>
      <c r="AR186" s="149"/>
      <c r="AS186" s="149"/>
      <c r="AT186" s="149"/>
      <c r="AU186" s="149"/>
      <c r="AV186" s="149"/>
      <c r="AW186" s="149"/>
      <c r="AX186" s="149"/>
      <c r="AY186" s="149"/>
      <c r="AZ186" s="149"/>
      <c r="BA186" s="149"/>
      <c r="BB186" s="149"/>
      <c r="BC186" s="149"/>
      <c r="BD186" s="149"/>
      <c r="BE186" s="149"/>
      <c r="BF186" s="149"/>
      <c r="BG186" s="149"/>
      <c r="BH186" s="149"/>
      <c r="BI186" s="149"/>
      <c r="BJ186" s="151"/>
      <c r="BK186" s="32" t="str">
        <f t="shared" si="121"/>
        <v>ENT_31_C1-07_ベース_DPC調査データ_様式1_診断情報_併存症.sql</v>
      </c>
    </row>
    <row r="187" spans="1:63" ht="37.5" hidden="1" customHeight="1" outlineLevel="1">
      <c r="A187" s="34" t="str">
        <f t="shared" si="117"/>
        <v>ベース_DPC調査データ_様式1_診断情報_続発症</v>
      </c>
      <c r="B187" s="139" t="str">
        <f t="shared" si="118"/>
        <v>31</v>
      </c>
      <c r="C187" s="140"/>
      <c r="D187" s="140"/>
      <c r="E187" s="140"/>
      <c r="F187" s="141"/>
      <c r="G187" s="142" t="s">
        <v>308</v>
      </c>
      <c r="H187" s="143"/>
      <c r="I187" s="143"/>
      <c r="J187" s="143"/>
      <c r="K187" s="143"/>
      <c r="L187" s="143"/>
      <c r="M187" s="143"/>
      <c r="N187" s="144"/>
      <c r="O187" s="79" t="s">
        <v>4046</v>
      </c>
      <c r="P187" s="145" t="s">
        <v>3722</v>
      </c>
      <c r="Q187" s="146"/>
      <c r="R187" s="146"/>
      <c r="S187" s="146"/>
      <c r="T187" s="146"/>
      <c r="U187" s="146"/>
      <c r="V187" s="146"/>
      <c r="W187" s="146"/>
      <c r="X187" s="146"/>
      <c r="Y187" s="146"/>
      <c r="Z187" s="146"/>
      <c r="AA187" s="146"/>
      <c r="AB187" s="146"/>
      <c r="AC187" s="146"/>
      <c r="AD187" s="147"/>
      <c r="AE187" s="148" t="str">
        <f t="shared" ca="1" si="119"/>
        <v>sny_202310_base_merge_dpc_ff1_a006050</v>
      </c>
      <c r="AF187" s="149"/>
      <c r="AG187" s="149"/>
      <c r="AH187" s="149"/>
      <c r="AI187" s="149"/>
      <c r="AJ187" s="149"/>
      <c r="AK187" s="149"/>
      <c r="AL187" s="150"/>
      <c r="AM187" s="148" t="str">
        <f t="shared" ca="1" si="120"/>
        <v>バックアップ_DPC調査データ_様式1_診断情報_続発症テーブルから対象患者で絞り込んだ結果を格納するテーブル</v>
      </c>
      <c r="AN187" s="149"/>
      <c r="AO187" s="149"/>
      <c r="AP187" s="149"/>
      <c r="AQ187" s="149"/>
      <c r="AR187" s="149"/>
      <c r="AS187" s="149"/>
      <c r="AT187" s="149"/>
      <c r="AU187" s="149"/>
      <c r="AV187" s="149"/>
      <c r="AW187" s="149"/>
      <c r="AX187" s="149"/>
      <c r="AY187" s="149"/>
      <c r="AZ187" s="149"/>
      <c r="BA187" s="149"/>
      <c r="BB187" s="149"/>
      <c r="BC187" s="149"/>
      <c r="BD187" s="149"/>
      <c r="BE187" s="149"/>
      <c r="BF187" s="149"/>
      <c r="BG187" s="149"/>
      <c r="BH187" s="149"/>
      <c r="BI187" s="149"/>
      <c r="BJ187" s="151"/>
      <c r="BK187" s="32" t="str">
        <f t="shared" si="121"/>
        <v>ENT_31_C1-08_ベース_DPC調査データ_様式1_診断情報_続発症.sql</v>
      </c>
    </row>
    <row r="188" spans="1:63" ht="37.5" hidden="1" customHeight="1" outlineLevel="1">
      <c r="A188" s="34" t="str">
        <f t="shared" si="117"/>
        <v>ベース_診断履歴情報モジュール_診断履歴情報レコード</v>
      </c>
      <c r="B188" s="139" t="str">
        <f t="shared" si="118"/>
        <v>31</v>
      </c>
      <c r="C188" s="140"/>
      <c r="D188" s="140"/>
      <c r="E188" s="140"/>
      <c r="F188" s="141"/>
      <c r="G188" s="142" t="s">
        <v>308</v>
      </c>
      <c r="H188" s="143"/>
      <c r="I188" s="143"/>
      <c r="J188" s="143"/>
      <c r="K188" s="143"/>
      <c r="L188" s="143"/>
      <c r="M188" s="143"/>
      <c r="N188" s="144"/>
      <c r="O188" s="79" t="s">
        <v>4047</v>
      </c>
      <c r="P188" s="145" t="s">
        <v>3723</v>
      </c>
      <c r="Q188" s="146"/>
      <c r="R188" s="146"/>
      <c r="S188" s="146"/>
      <c r="T188" s="146"/>
      <c r="U188" s="146"/>
      <c r="V188" s="146"/>
      <c r="W188" s="146"/>
      <c r="X188" s="146"/>
      <c r="Y188" s="146"/>
      <c r="Z188" s="146"/>
      <c r="AA188" s="146"/>
      <c r="AB188" s="146"/>
      <c r="AC188" s="146"/>
      <c r="AD188" s="147"/>
      <c r="AE188" s="148" t="str">
        <f t="shared" ca="1" si="119"/>
        <v>sny_202310_base_merge_mml_rd_register</v>
      </c>
      <c r="AF188" s="149"/>
      <c r="AG188" s="149"/>
      <c r="AH188" s="149"/>
      <c r="AI188" s="149"/>
      <c r="AJ188" s="149"/>
      <c r="AK188" s="149"/>
      <c r="AL188" s="150"/>
      <c r="AM188" s="148" t="str">
        <f t="shared" ca="1" si="120"/>
        <v>バックアップ_診断履歴情報モジュール_診断履歴情報レコードテーブルから対象患者で絞り込んだ結果を格納するテーブル</v>
      </c>
      <c r="AN188" s="149"/>
      <c r="AO188" s="149"/>
      <c r="AP188" s="149"/>
      <c r="AQ188" s="149"/>
      <c r="AR188" s="149"/>
      <c r="AS188" s="149"/>
      <c r="AT188" s="149"/>
      <c r="AU188" s="149"/>
      <c r="AV188" s="149"/>
      <c r="AW188" s="149"/>
      <c r="AX188" s="149"/>
      <c r="AY188" s="149"/>
      <c r="AZ188" s="149"/>
      <c r="BA188" s="149"/>
      <c r="BB188" s="149"/>
      <c r="BC188" s="149"/>
      <c r="BD188" s="149"/>
      <c r="BE188" s="149"/>
      <c r="BF188" s="149"/>
      <c r="BG188" s="149"/>
      <c r="BH188" s="149"/>
      <c r="BI188" s="149"/>
      <c r="BJ188" s="151"/>
      <c r="BK188" s="32" t="str">
        <f t="shared" si="121"/>
        <v>ENT_31_C4-03_ベース_診断履歴情報モジュール_診断履歴情報レコード.sql</v>
      </c>
    </row>
    <row r="189" spans="1:63" ht="37.5" hidden="1" customHeight="1" outlineLevel="1">
      <c r="A189" s="34" t="str">
        <f t="shared" si="117"/>
        <v>ベース_診断履歴情報モジュール_診断病名レコード</v>
      </c>
      <c r="B189" s="139" t="str">
        <f t="shared" si="118"/>
        <v>31</v>
      </c>
      <c r="C189" s="140"/>
      <c r="D189" s="140"/>
      <c r="E189" s="140"/>
      <c r="F189" s="141"/>
      <c r="G189" s="142" t="s">
        <v>308</v>
      </c>
      <c r="H189" s="143"/>
      <c r="I189" s="143"/>
      <c r="J189" s="143"/>
      <c r="K189" s="143"/>
      <c r="L189" s="143"/>
      <c r="M189" s="143"/>
      <c r="N189" s="144"/>
      <c r="O189" s="79" t="s">
        <v>4048</v>
      </c>
      <c r="P189" s="145" t="s">
        <v>3724</v>
      </c>
      <c r="Q189" s="146"/>
      <c r="R189" s="146"/>
      <c r="S189" s="146"/>
      <c r="T189" s="146"/>
      <c r="U189" s="146"/>
      <c r="V189" s="146"/>
      <c r="W189" s="146"/>
      <c r="X189" s="146"/>
      <c r="Y189" s="146"/>
      <c r="Z189" s="146"/>
      <c r="AA189" s="146"/>
      <c r="AB189" s="146"/>
      <c r="AC189" s="146"/>
      <c r="AD189" s="147"/>
      <c r="AE189" s="148" t="str">
        <f t="shared" ca="1" si="119"/>
        <v>sny_202310_base_merge_mml_rd_byomei</v>
      </c>
      <c r="AF189" s="149"/>
      <c r="AG189" s="149"/>
      <c r="AH189" s="149"/>
      <c r="AI189" s="149"/>
      <c r="AJ189" s="149"/>
      <c r="AK189" s="149"/>
      <c r="AL189" s="150"/>
      <c r="AM189" s="148" t="str">
        <f t="shared" ca="1" si="120"/>
        <v>バックアップ_診断履歴情報モジュール_診断病名レコードテーブルから対象患者で絞り込んだ結果を格納するテーブル</v>
      </c>
      <c r="AN189" s="149"/>
      <c r="AO189" s="149"/>
      <c r="AP189" s="149"/>
      <c r="AQ189" s="149"/>
      <c r="AR189" s="149"/>
      <c r="AS189" s="149"/>
      <c r="AT189" s="149"/>
      <c r="AU189" s="149"/>
      <c r="AV189" s="149"/>
      <c r="AW189" s="149"/>
      <c r="AX189" s="149"/>
      <c r="AY189" s="149"/>
      <c r="AZ189" s="149"/>
      <c r="BA189" s="149"/>
      <c r="BB189" s="149"/>
      <c r="BC189" s="149"/>
      <c r="BD189" s="149"/>
      <c r="BE189" s="149"/>
      <c r="BF189" s="149"/>
      <c r="BG189" s="149"/>
      <c r="BH189" s="149"/>
      <c r="BI189" s="149"/>
      <c r="BJ189" s="151"/>
      <c r="BK189" s="32" t="str">
        <f t="shared" si="121"/>
        <v>ENT_31_C4-04_ベース_診断履歴情報モジュール_診断病名レコード.sql</v>
      </c>
    </row>
    <row r="190" spans="1:63" ht="37.5" hidden="1" customHeight="1" outlineLevel="1">
      <c r="A190" s="34" t="str">
        <f t="shared" si="117"/>
        <v>ベース_経過記録情報モジュール_経過記録情報レコード</v>
      </c>
      <c r="B190" s="139" t="str">
        <f t="shared" si="118"/>
        <v>31</v>
      </c>
      <c r="C190" s="140"/>
      <c r="D190" s="140"/>
      <c r="E190" s="140"/>
      <c r="F190" s="141"/>
      <c r="G190" s="142" t="s">
        <v>308</v>
      </c>
      <c r="H190" s="143"/>
      <c r="I190" s="143"/>
      <c r="J190" s="143"/>
      <c r="K190" s="143"/>
      <c r="L190" s="143"/>
      <c r="M190" s="143"/>
      <c r="N190" s="144"/>
      <c r="O190" s="79" t="s">
        <v>4049</v>
      </c>
      <c r="P190" s="145" t="s">
        <v>3725</v>
      </c>
      <c r="Q190" s="146"/>
      <c r="R190" s="146"/>
      <c r="S190" s="146"/>
      <c r="T190" s="146"/>
      <c r="U190" s="146"/>
      <c r="V190" s="146"/>
      <c r="W190" s="146"/>
      <c r="X190" s="146"/>
      <c r="Y190" s="146"/>
      <c r="Z190" s="146"/>
      <c r="AA190" s="146"/>
      <c r="AB190" s="146"/>
      <c r="AC190" s="146"/>
      <c r="AD190" s="147"/>
      <c r="AE190" s="148" t="str">
        <f t="shared" ca="1" si="119"/>
        <v>sny_202310_base_merge_mml_pc_progress_course</v>
      </c>
      <c r="AF190" s="149"/>
      <c r="AG190" s="149"/>
      <c r="AH190" s="149"/>
      <c r="AI190" s="149"/>
      <c r="AJ190" s="149"/>
      <c r="AK190" s="149"/>
      <c r="AL190" s="150"/>
      <c r="AM190" s="148" t="str">
        <f t="shared" ca="1" si="120"/>
        <v>バックアップ_経過記録情報モジュール_経過記録情報レコードテーブルから対象患者で絞り込んだ結果を格納するテーブル</v>
      </c>
      <c r="AN190" s="149"/>
      <c r="AO190" s="149"/>
      <c r="AP190" s="149"/>
      <c r="AQ190" s="149"/>
      <c r="AR190" s="149"/>
      <c r="AS190" s="149"/>
      <c r="AT190" s="149"/>
      <c r="AU190" s="149"/>
      <c r="AV190" s="149"/>
      <c r="AW190" s="149"/>
      <c r="AX190" s="149"/>
      <c r="AY190" s="149"/>
      <c r="AZ190" s="149"/>
      <c r="BA190" s="149"/>
      <c r="BB190" s="149"/>
      <c r="BC190" s="149"/>
      <c r="BD190" s="149"/>
      <c r="BE190" s="149"/>
      <c r="BF190" s="149"/>
      <c r="BG190" s="149"/>
      <c r="BH190" s="149"/>
      <c r="BI190" s="149"/>
      <c r="BJ190" s="151"/>
      <c r="BK190" s="32" t="str">
        <f t="shared" si="121"/>
        <v>ENT_31_C4-06_ベース_経過記録情報モジュール_経過記録情報レコード.sql</v>
      </c>
    </row>
    <row r="191" spans="1:63" ht="37.5" hidden="1" customHeight="1" outlineLevel="1">
      <c r="A191" s="34" t="str">
        <f t="shared" si="117"/>
        <v>ベース_経過記録情報モジュール_プロブレムレコード</v>
      </c>
      <c r="B191" s="139" t="str">
        <f t="shared" si="118"/>
        <v>31</v>
      </c>
      <c r="C191" s="140"/>
      <c r="D191" s="140"/>
      <c r="E191" s="140"/>
      <c r="F191" s="141"/>
      <c r="G191" s="142" t="s">
        <v>308</v>
      </c>
      <c r="H191" s="143"/>
      <c r="I191" s="143"/>
      <c r="J191" s="143"/>
      <c r="K191" s="143"/>
      <c r="L191" s="143"/>
      <c r="M191" s="143"/>
      <c r="N191" s="144"/>
      <c r="O191" s="79" t="s">
        <v>4050</v>
      </c>
      <c r="P191" s="145" t="s">
        <v>3726</v>
      </c>
      <c r="Q191" s="146"/>
      <c r="R191" s="146"/>
      <c r="S191" s="146"/>
      <c r="T191" s="146"/>
      <c r="U191" s="146"/>
      <c r="V191" s="146"/>
      <c r="W191" s="146"/>
      <c r="X191" s="146"/>
      <c r="Y191" s="146"/>
      <c r="Z191" s="146"/>
      <c r="AA191" s="146"/>
      <c r="AB191" s="146"/>
      <c r="AC191" s="146"/>
      <c r="AD191" s="147"/>
      <c r="AE191" s="148" t="str">
        <f t="shared" ca="1" si="119"/>
        <v>sny_202310_base_merge_mml_pc_problem</v>
      </c>
      <c r="AF191" s="149"/>
      <c r="AG191" s="149"/>
      <c r="AH191" s="149"/>
      <c r="AI191" s="149"/>
      <c r="AJ191" s="149"/>
      <c r="AK191" s="149"/>
      <c r="AL191" s="150"/>
      <c r="AM191" s="148" t="str">
        <f t="shared" ca="1" si="120"/>
        <v>バックアップ_経過記録情報モジュール_プロブレムレコードテーブルから対象患者で絞り込んだ結果を格納するテーブル</v>
      </c>
      <c r="AN191" s="149"/>
      <c r="AO191" s="149"/>
      <c r="AP191" s="149"/>
      <c r="AQ191" s="149"/>
      <c r="AR191" s="149"/>
      <c r="AS191" s="149"/>
      <c r="AT191" s="149"/>
      <c r="AU191" s="149"/>
      <c r="AV191" s="149"/>
      <c r="AW191" s="149"/>
      <c r="AX191" s="149"/>
      <c r="AY191" s="149"/>
      <c r="AZ191" s="149"/>
      <c r="BA191" s="149"/>
      <c r="BB191" s="149"/>
      <c r="BC191" s="149"/>
      <c r="BD191" s="149"/>
      <c r="BE191" s="149"/>
      <c r="BF191" s="149"/>
      <c r="BG191" s="149"/>
      <c r="BH191" s="149"/>
      <c r="BI191" s="149"/>
      <c r="BJ191" s="151"/>
      <c r="BK191" s="32" t="str">
        <f t="shared" si="121"/>
        <v>ENT_31_C4-07_ベース_経過記録情報モジュール_プロブレムレコード.sql</v>
      </c>
    </row>
    <row r="192" spans="1:63" ht="37.5" hidden="1" customHeight="1" outlineLevel="1">
      <c r="A192" s="34" t="str">
        <f t="shared" si="117"/>
        <v>ベース_経過記録情報モジュール_身体所見レコード</v>
      </c>
      <c r="B192" s="139" t="str">
        <f t="shared" si="118"/>
        <v>31</v>
      </c>
      <c r="C192" s="140"/>
      <c r="D192" s="140"/>
      <c r="E192" s="140"/>
      <c r="F192" s="141"/>
      <c r="G192" s="142" t="s">
        <v>308</v>
      </c>
      <c r="H192" s="143"/>
      <c r="I192" s="143"/>
      <c r="J192" s="143"/>
      <c r="K192" s="143"/>
      <c r="L192" s="143"/>
      <c r="M192" s="143"/>
      <c r="N192" s="144"/>
      <c r="O192" s="79" t="s">
        <v>4051</v>
      </c>
      <c r="P192" s="145" t="s">
        <v>3727</v>
      </c>
      <c r="Q192" s="146"/>
      <c r="R192" s="146"/>
      <c r="S192" s="146"/>
      <c r="T192" s="146"/>
      <c r="U192" s="146"/>
      <c r="V192" s="146"/>
      <c r="W192" s="146"/>
      <c r="X192" s="146"/>
      <c r="Y192" s="146"/>
      <c r="Z192" s="146"/>
      <c r="AA192" s="146"/>
      <c r="AB192" s="146"/>
      <c r="AC192" s="146"/>
      <c r="AD192" s="147"/>
      <c r="AE192" s="148" t="str">
        <f t="shared" ca="1" si="119"/>
        <v>sny_202310_base_merge_mml_pc_physical_exam</v>
      </c>
      <c r="AF192" s="149"/>
      <c r="AG192" s="149"/>
      <c r="AH192" s="149"/>
      <c r="AI192" s="149"/>
      <c r="AJ192" s="149"/>
      <c r="AK192" s="149"/>
      <c r="AL192" s="150"/>
      <c r="AM192" s="148" t="str">
        <f t="shared" ca="1" si="120"/>
        <v>バックアップ_経過記録情報モジュール_身体所見レコードテーブルから対象患者で絞り込んだ結果を格納するテーブル</v>
      </c>
      <c r="AN192" s="149"/>
      <c r="AO192" s="149"/>
      <c r="AP192" s="149"/>
      <c r="AQ192" s="149"/>
      <c r="AR192" s="149"/>
      <c r="AS192" s="149"/>
      <c r="AT192" s="149"/>
      <c r="AU192" s="149"/>
      <c r="AV192" s="149"/>
      <c r="AW192" s="149"/>
      <c r="AX192" s="149"/>
      <c r="AY192" s="149"/>
      <c r="AZ192" s="149"/>
      <c r="BA192" s="149"/>
      <c r="BB192" s="149"/>
      <c r="BC192" s="149"/>
      <c r="BD192" s="149"/>
      <c r="BE192" s="149"/>
      <c r="BF192" s="149"/>
      <c r="BG192" s="149"/>
      <c r="BH192" s="149"/>
      <c r="BI192" s="149"/>
      <c r="BJ192" s="151"/>
      <c r="BK192" s="32" t="str">
        <f t="shared" si="121"/>
        <v>ENT_31_C4-08_ベース_経過記録情報モジュール_身体所見レコード.sql</v>
      </c>
    </row>
    <row r="193" spans="1:63" ht="37.5" hidden="1" customHeight="1" outlineLevel="1">
      <c r="A193" s="34" t="str">
        <f t="shared" si="117"/>
        <v>ベース_経過記録情報モジュール_アセスメントレコード</v>
      </c>
      <c r="B193" s="139" t="str">
        <f t="shared" si="118"/>
        <v>31</v>
      </c>
      <c r="C193" s="140"/>
      <c r="D193" s="140"/>
      <c r="E193" s="140"/>
      <c r="F193" s="141"/>
      <c r="G193" s="142" t="s">
        <v>308</v>
      </c>
      <c r="H193" s="143"/>
      <c r="I193" s="143"/>
      <c r="J193" s="143"/>
      <c r="K193" s="143"/>
      <c r="L193" s="143"/>
      <c r="M193" s="143"/>
      <c r="N193" s="144"/>
      <c r="O193" s="79" t="s">
        <v>4052</v>
      </c>
      <c r="P193" s="145" t="s">
        <v>3728</v>
      </c>
      <c r="Q193" s="146"/>
      <c r="R193" s="146"/>
      <c r="S193" s="146"/>
      <c r="T193" s="146"/>
      <c r="U193" s="146"/>
      <c r="V193" s="146"/>
      <c r="W193" s="146"/>
      <c r="X193" s="146"/>
      <c r="Y193" s="146"/>
      <c r="Z193" s="146"/>
      <c r="AA193" s="146"/>
      <c r="AB193" s="146"/>
      <c r="AC193" s="146"/>
      <c r="AD193" s="147"/>
      <c r="AE193" s="148" t="str">
        <f t="shared" ca="1" si="119"/>
        <v>sny_202310_base_merge_mml_pc_assessment</v>
      </c>
      <c r="AF193" s="149"/>
      <c r="AG193" s="149"/>
      <c r="AH193" s="149"/>
      <c r="AI193" s="149"/>
      <c r="AJ193" s="149"/>
      <c r="AK193" s="149"/>
      <c r="AL193" s="150"/>
      <c r="AM193" s="148" t="str">
        <f t="shared" ca="1" si="120"/>
        <v>バックアップ_経過記録情報モジュール_アセスメントレコードテーブルから対象患者で絞り込んだ結果を格納するテーブル</v>
      </c>
      <c r="AN193" s="149"/>
      <c r="AO193" s="149"/>
      <c r="AP193" s="149"/>
      <c r="AQ193" s="149"/>
      <c r="AR193" s="149"/>
      <c r="AS193" s="149"/>
      <c r="AT193" s="149"/>
      <c r="AU193" s="149"/>
      <c r="AV193" s="149"/>
      <c r="AW193" s="149"/>
      <c r="AX193" s="149"/>
      <c r="AY193" s="149"/>
      <c r="AZ193" s="149"/>
      <c r="BA193" s="149"/>
      <c r="BB193" s="149"/>
      <c r="BC193" s="149"/>
      <c r="BD193" s="149"/>
      <c r="BE193" s="149"/>
      <c r="BF193" s="149"/>
      <c r="BG193" s="149"/>
      <c r="BH193" s="149"/>
      <c r="BI193" s="149"/>
      <c r="BJ193" s="151"/>
      <c r="BK193" s="32" t="str">
        <f t="shared" si="121"/>
        <v>ENT_31_C4-15_ベース_経過記録情報モジュール_アセスメントレコード.sql</v>
      </c>
    </row>
    <row r="194" spans="1:63" ht="37.5" hidden="1" customHeight="1" outlineLevel="1">
      <c r="A194" s="34" t="str">
        <f t="shared" si="117"/>
        <v>ベース_経過記録情報モジュール_外部参照レコード</v>
      </c>
      <c r="B194" s="139" t="str">
        <f t="shared" si="118"/>
        <v>31</v>
      </c>
      <c r="C194" s="140"/>
      <c r="D194" s="140"/>
      <c r="E194" s="140"/>
      <c r="F194" s="141"/>
      <c r="G194" s="142" t="s">
        <v>308</v>
      </c>
      <c r="H194" s="143"/>
      <c r="I194" s="143"/>
      <c r="J194" s="143"/>
      <c r="K194" s="143"/>
      <c r="L194" s="143"/>
      <c r="M194" s="143"/>
      <c r="N194" s="144"/>
      <c r="O194" s="79" t="s">
        <v>4053</v>
      </c>
      <c r="P194" s="145" t="s">
        <v>3729</v>
      </c>
      <c r="Q194" s="146"/>
      <c r="R194" s="146"/>
      <c r="S194" s="146"/>
      <c r="T194" s="146"/>
      <c r="U194" s="146"/>
      <c r="V194" s="146"/>
      <c r="W194" s="146"/>
      <c r="X194" s="146"/>
      <c r="Y194" s="146"/>
      <c r="Z194" s="146"/>
      <c r="AA194" s="146"/>
      <c r="AB194" s="146"/>
      <c r="AC194" s="146"/>
      <c r="AD194" s="147"/>
      <c r="AE194" s="148" t="str">
        <f t="shared" ca="1" si="119"/>
        <v>sny_202310_base_merge_mml_pc_external_reference</v>
      </c>
      <c r="AF194" s="149"/>
      <c r="AG194" s="149"/>
      <c r="AH194" s="149"/>
      <c r="AI194" s="149"/>
      <c r="AJ194" s="149"/>
      <c r="AK194" s="149"/>
      <c r="AL194" s="150"/>
      <c r="AM194" s="148" t="str">
        <f t="shared" ca="1" si="120"/>
        <v>バックアップ_経過記録情報モジュール_外部参照レコードテーブルから対象患者で絞り込んだ結果を格納するテーブル</v>
      </c>
      <c r="AN194" s="149"/>
      <c r="AO194" s="149"/>
      <c r="AP194" s="149"/>
      <c r="AQ194" s="149"/>
      <c r="AR194" s="149"/>
      <c r="AS194" s="149"/>
      <c r="AT194" s="149"/>
      <c r="AU194" s="149"/>
      <c r="AV194" s="149"/>
      <c r="AW194" s="149"/>
      <c r="AX194" s="149"/>
      <c r="AY194" s="149"/>
      <c r="AZ194" s="149"/>
      <c r="BA194" s="149"/>
      <c r="BB194" s="149"/>
      <c r="BC194" s="149"/>
      <c r="BD194" s="149"/>
      <c r="BE194" s="149"/>
      <c r="BF194" s="149"/>
      <c r="BG194" s="149"/>
      <c r="BH194" s="149"/>
      <c r="BI194" s="149"/>
      <c r="BJ194" s="151"/>
      <c r="BK194" s="32" t="str">
        <f t="shared" si="121"/>
        <v>ENT_31_C4-22_ベース_経過記録情報モジュール_外部参照レコード.sql</v>
      </c>
    </row>
    <row r="195" spans="1:63" ht="37.5" hidden="1" customHeight="1" outlineLevel="1">
      <c r="A195" s="34" t="str">
        <f t="shared" si="117"/>
        <v>ベース_臨床サマリーモジュール_臨床サマリー情報レコード</v>
      </c>
      <c r="B195" s="139" t="str">
        <f t="shared" si="118"/>
        <v>31</v>
      </c>
      <c r="C195" s="140"/>
      <c r="D195" s="140"/>
      <c r="E195" s="140"/>
      <c r="F195" s="141"/>
      <c r="G195" s="142" t="s">
        <v>308</v>
      </c>
      <c r="H195" s="143"/>
      <c r="I195" s="143"/>
      <c r="J195" s="143"/>
      <c r="K195" s="143"/>
      <c r="L195" s="143"/>
      <c r="M195" s="143"/>
      <c r="N195" s="144"/>
      <c r="O195" s="79" t="s">
        <v>4054</v>
      </c>
      <c r="P195" s="145" t="s">
        <v>3730</v>
      </c>
      <c r="Q195" s="146"/>
      <c r="R195" s="146"/>
      <c r="S195" s="146"/>
      <c r="T195" s="146"/>
      <c r="U195" s="146"/>
      <c r="V195" s="146"/>
      <c r="W195" s="146"/>
      <c r="X195" s="146"/>
      <c r="Y195" s="146"/>
      <c r="Z195" s="146"/>
      <c r="AA195" s="146"/>
      <c r="AB195" s="146"/>
      <c r="AC195" s="146"/>
      <c r="AD195" s="147"/>
      <c r="AE195" s="148" t="str">
        <f t="shared" ca="1" si="119"/>
        <v>sny_202310_base_merge_mml_sm_summary</v>
      </c>
      <c r="AF195" s="149"/>
      <c r="AG195" s="149"/>
      <c r="AH195" s="149"/>
      <c r="AI195" s="149"/>
      <c r="AJ195" s="149"/>
      <c r="AK195" s="149"/>
      <c r="AL195" s="150"/>
      <c r="AM195" s="148" t="str">
        <f t="shared" ca="1" si="120"/>
        <v>バックアップ_臨床サマリーモジュール_臨床サマリー情報レコードテーブルから対象患者で絞り込んだ結果を格納するテーブル</v>
      </c>
      <c r="AN195" s="149"/>
      <c r="AO195" s="149"/>
      <c r="AP195" s="149"/>
      <c r="AQ195" s="149"/>
      <c r="AR195" s="149"/>
      <c r="AS195" s="149"/>
      <c r="AT195" s="149"/>
      <c r="AU195" s="149"/>
      <c r="AV195" s="149"/>
      <c r="AW195" s="149"/>
      <c r="AX195" s="149"/>
      <c r="AY195" s="149"/>
      <c r="AZ195" s="149"/>
      <c r="BA195" s="149"/>
      <c r="BB195" s="149"/>
      <c r="BC195" s="149"/>
      <c r="BD195" s="149"/>
      <c r="BE195" s="149"/>
      <c r="BF195" s="149"/>
      <c r="BG195" s="149"/>
      <c r="BH195" s="149"/>
      <c r="BI195" s="149"/>
      <c r="BJ195" s="151"/>
      <c r="BK195" s="32" t="str">
        <f t="shared" si="121"/>
        <v>ENT_31_C4-23_ベース_臨床サマリーモジュール_臨床サマリー情報レコード.sql</v>
      </c>
    </row>
    <row r="196" spans="1:63" ht="37.5" hidden="1" customHeight="1" outlineLevel="1">
      <c r="A196" s="34" t="str">
        <f t="shared" si="117"/>
        <v>ベース_臨床サマリーモジュール_外来受診レコード</v>
      </c>
      <c r="B196" s="139" t="str">
        <f t="shared" si="118"/>
        <v>31</v>
      </c>
      <c r="C196" s="140"/>
      <c r="D196" s="140"/>
      <c r="E196" s="140"/>
      <c r="F196" s="141"/>
      <c r="G196" s="142" t="s">
        <v>308</v>
      </c>
      <c r="H196" s="143"/>
      <c r="I196" s="143"/>
      <c r="J196" s="143"/>
      <c r="K196" s="143"/>
      <c r="L196" s="143"/>
      <c r="M196" s="143"/>
      <c r="N196" s="144"/>
      <c r="O196" s="79" t="s">
        <v>4055</v>
      </c>
      <c r="P196" s="145" t="s">
        <v>3731</v>
      </c>
      <c r="Q196" s="146"/>
      <c r="R196" s="146"/>
      <c r="S196" s="146"/>
      <c r="T196" s="146"/>
      <c r="U196" s="146"/>
      <c r="V196" s="146"/>
      <c r="W196" s="146"/>
      <c r="X196" s="146"/>
      <c r="Y196" s="146"/>
      <c r="Z196" s="146"/>
      <c r="AA196" s="146"/>
      <c r="AB196" s="146"/>
      <c r="AC196" s="146"/>
      <c r="AD196" s="147"/>
      <c r="AE196" s="148" t="str">
        <f t="shared" ca="1" si="119"/>
        <v>sny_202310_base_merge_mml_sm_out_patient</v>
      </c>
      <c r="AF196" s="149"/>
      <c r="AG196" s="149"/>
      <c r="AH196" s="149"/>
      <c r="AI196" s="149"/>
      <c r="AJ196" s="149"/>
      <c r="AK196" s="149"/>
      <c r="AL196" s="150"/>
      <c r="AM196" s="148" t="str">
        <f t="shared" ca="1" si="120"/>
        <v>バックアップ_臨床サマリーモジュール_外来受診レコードテーブルから対象患者で絞り込んだ結果を格納するテーブル</v>
      </c>
      <c r="AN196" s="149"/>
      <c r="AO196" s="149"/>
      <c r="AP196" s="149"/>
      <c r="AQ196" s="149"/>
      <c r="AR196" s="149"/>
      <c r="AS196" s="149"/>
      <c r="AT196" s="149"/>
      <c r="AU196" s="149"/>
      <c r="AV196" s="149"/>
      <c r="AW196" s="149"/>
      <c r="AX196" s="149"/>
      <c r="AY196" s="149"/>
      <c r="AZ196" s="149"/>
      <c r="BA196" s="149"/>
      <c r="BB196" s="149"/>
      <c r="BC196" s="149"/>
      <c r="BD196" s="149"/>
      <c r="BE196" s="149"/>
      <c r="BF196" s="149"/>
      <c r="BG196" s="149"/>
      <c r="BH196" s="149"/>
      <c r="BI196" s="149"/>
      <c r="BJ196" s="151"/>
      <c r="BK196" s="32" t="str">
        <f t="shared" si="121"/>
        <v>ENT_31_C4-24_ベース_臨床サマリーモジュール_外来受診レコード.sql</v>
      </c>
    </row>
    <row r="197" spans="1:63" ht="37.5" hidden="1" customHeight="1" outlineLevel="1">
      <c r="A197" s="34" t="str">
        <f t="shared" si="117"/>
        <v>ベース_臨床サマリーモジュール_入院レコード</v>
      </c>
      <c r="B197" s="139" t="str">
        <f t="shared" si="118"/>
        <v>31</v>
      </c>
      <c r="C197" s="140"/>
      <c r="D197" s="140"/>
      <c r="E197" s="140"/>
      <c r="F197" s="141"/>
      <c r="G197" s="142" t="s">
        <v>308</v>
      </c>
      <c r="H197" s="143"/>
      <c r="I197" s="143"/>
      <c r="J197" s="143"/>
      <c r="K197" s="143"/>
      <c r="L197" s="143"/>
      <c r="M197" s="143"/>
      <c r="N197" s="144"/>
      <c r="O197" s="79" t="s">
        <v>4056</v>
      </c>
      <c r="P197" s="145" t="s">
        <v>3732</v>
      </c>
      <c r="Q197" s="146"/>
      <c r="R197" s="146"/>
      <c r="S197" s="146"/>
      <c r="T197" s="146"/>
      <c r="U197" s="146"/>
      <c r="V197" s="146"/>
      <c r="W197" s="146"/>
      <c r="X197" s="146"/>
      <c r="Y197" s="146"/>
      <c r="Z197" s="146"/>
      <c r="AA197" s="146"/>
      <c r="AB197" s="146"/>
      <c r="AC197" s="146"/>
      <c r="AD197" s="147"/>
      <c r="AE197" s="148" t="str">
        <f t="shared" ca="1" si="119"/>
        <v>sny_202310_base_merge_mml_sm_in_patient</v>
      </c>
      <c r="AF197" s="149"/>
      <c r="AG197" s="149"/>
      <c r="AH197" s="149"/>
      <c r="AI197" s="149"/>
      <c r="AJ197" s="149"/>
      <c r="AK197" s="149"/>
      <c r="AL197" s="150"/>
      <c r="AM197" s="148" t="str">
        <f t="shared" ca="1" si="120"/>
        <v>バックアップ_臨床サマリーモジュール_入院レコードテーブルから対象患者で絞り込んだ結果を格納するテーブル</v>
      </c>
      <c r="AN197" s="149"/>
      <c r="AO197" s="149"/>
      <c r="AP197" s="149"/>
      <c r="AQ197" s="149"/>
      <c r="AR197" s="149"/>
      <c r="AS197" s="149"/>
      <c r="AT197" s="149"/>
      <c r="AU197" s="149"/>
      <c r="AV197" s="149"/>
      <c r="AW197" s="149"/>
      <c r="AX197" s="149"/>
      <c r="AY197" s="149"/>
      <c r="AZ197" s="149"/>
      <c r="BA197" s="149"/>
      <c r="BB197" s="149"/>
      <c r="BC197" s="149"/>
      <c r="BD197" s="149"/>
      <c r="BE197" s="149"/>
      <c r="BF197" s="149"/>
      <c r="BG197" s="149"/>
      <c r="BH197" s="149"/>
      <c r="BI197" s="149"/>
      <c r="BJ197" s="151"/>
      <c r="BK197" s="32" t="str">
        <f t="shared" si="121"/>
        <v>ENT_31_C4-25_ベース_臨床サマリーモジュール_入院レコード.sql</v>
      </c>
    </row>
    <row r="198" spans="1:63" ht="37.5" hidden="1" customHeight="1" outlineLevel="1">
      <c r="A198" s="34" t="str">
        <f t="shared" si="117"/>
        <v>ベース_臨床サマリーモジュール_経過記録レコード</v>
      </c>
      <c r="B198" s="139" t="str">
        <f t="shared" si="118"/>
        <v>31</v>
      </c>
      <c r="C198" s="140"/>
      <c r="D198" s="140"/>
      <c r="E198" s="140"/>
      <c r="F198" s="141"/>
      <c r="G198" s="142" t="s">
        <v>308</v>
      </c>
      <c r="H198" s="143"/>
      <c r="I198" s="143"/>
      <c r="J198" s="143"/>
      <c r="K198" s="143"/>
      <c r="L198" s="143"/>
      <c r="M198" s="143"/>
      <c r="N198" s="144"/>
      <c r="O198" s="79" t="s">
        <v>4057</v>
      </c>
      <c r="P198" s="145" t="s">
        <v>3733</v>
      </c>
      <c r="Q198" s="146"/>
      <c r="R198" s="146"/>
      <c r="S198" s="146"/>
      <c r="T198" s="146"/>
      <c r="U198" s="146"/>
      <c r="V198" s="146"/>
      <c r="W198" s="146"/>
      <c r="X198" s="146"/>
      <c r="Y198" s="146"/>
      <c r="Z198" s="146"/>
      <c r="AA198" s="146"/>
      <c r="AB198" s="146"/>
      <c r="AC198" s="146"/>
      <c r="AD198" s="147"/>
      <c r="AE198" s="148" t="str">
        <f t="shared" ca="1" si="119"/>
        <v>sny_202310_base_merge_mml_sm_clinical_course</v>
      </c>
      <c r="AF198" s="149"/>
      <c r="AG198" s="149"/>
      <c r="AH198" s="149"/>
      <c r="AI198" s="149"/>
      <c r="AJ198" s="149"/>
      <c r="AK198" s="149"/>
      <c r="AL198" s="150"/>
      <c r="AM198" s="148" t="str">
        <f t="shared" ca="1" si="120"/>
        <v>バックアップ_臨床サマリーモジュール_経過記録レコードテーブルから対象患者で絞り込んだ結果を格納するテーブル</v>
      </c>
      <c r="AN198" s="149"/>
      <c r="AO198" s="149"/>
      <c r="AP198" s="149"/>
      <c r="AQ198" s="149"/>
      <c r="AR198" s="149"/>
      <c r="AS198" s="149"/>
      <c r="AT198" s="149"/>
      <c r="AU198" s="149"/>
      <c r="AV198" s="149"/>
      <c r="AW198" s="149"/>
      <c r="AX198" s="149"/>
      <c r="AY198" s="149"/>
      <c r="AZ198" s="149"/>
      <c r="BA198" s="149"/>
      <c r="BB198" s="149"/>
      <c r="BC198" s="149"/>
      <c r="BD198" s="149"/>
      <c r="BE198" s="149"/>
      <c r="BF198" s="149"/>
      <c r="BG198" s="149"/>
      <c r="BH198" s="149"/>
      <c r="BI198" s="149"/>
      <c r="BJ198" s="151"/>
      <c r="BK198" s="32" t="str">
        <f t="shared" si="121"/>
        <v>ENT_31_C4-29_ベース_臨床サマリーモジュール_経過記録レコード.sql</v>
      </c>
    </row>
    <row r="199" spans="1:63" ht="37.5" hidden="1" customHeight="1" outlineLevel="1">
      <c r="A199" s="34" t="str">
        <f t="shared" si="117"/>
        <v>ベース_臨床サマリーモジュール_検査結果レコード</v>
      </c>
      <c r="B199" s="139" t="str">
        <f t="shared" si="118"/>
        <v>31</v>
      </c>
      <c r="C199" s="140"/>
      <c r="D199" s="140"/>
      <c r="E199" s="140"/>
      <c r="F199" s="141"/>
      <c r="G199" s="142" t="s">
        <v>308</v>
      </c>
      <c r="H199" s="143"/>
      <c r="I199" s="143"/>
      <c r="J199" s="143"/>
      <c r="K199" s="143"/>
      <c r="L199" s="143"/>
      <c r="M199" s="143"/>
      <c r="N199" s="144"/>
      <c r="O199" s="79" t="s">
        <v>4058</v>
      </c>
      <c r="P199" s="145" t="s">
        <v>3734</v>
      </c>
      <c r="Q199" s="146"/>
      <c r="R199" s="146"/>
      <c r="S199" s="146"/>
      <c r="T199" s="146"/>
      <c r="U199" s="146"/>
      <c r="V199" s="146"/>
      <c r="W199" s="146"/>
      <c r="X199" s="146"/>
      <c r="Y199" s="146"/>
      <c r="Z199" s="146"/>
      <c r="AA199" s="146"/>
      <c r="AB199" s="146"/>
      <c r="AC199" s="146"/>
      <c r="AD199" s="147"/>
      <c r="AE199" s="148" t="str">
        <f t="shared" ca="1" si="119"/>
        <v>sny_202310_base_merge_mml_sm_test_results</v>
      </c>
      <c r="AF199" s="149"/>
      <c r="AG199" s="149"/>
      <c r="AH199" s="149"/>
      <c r="AI199" s="149"/>
      <c r="AJ199" s="149"/>
      <c r="AK199" s="149"/>
      <c r="AL199" s="150"/>
      <c r="AM199" s="148" t="str">
        <f t="shared" ca="1" si="120"/>
        <v>バックアップ_臨床サマリーモジュール_検査結果レコードテーブルから対象患者で絞り込んだ結果を格納するテーブル</v>
      </c>
      <c r="AN199" s="149"/>
      <c r="AO199" s="149"/>
      <c r="AP199" s="149"/>
      <c r="AQ199" s="149"/>
      <c r="AR199" s="149"/>
      <c r="AS199" s="149"/>
      <c r="AT199" s="149"/>
      <c r="AU199" s="149"/>
      <c r="AV199" s="149"/>
      <c r="AW199" s="149"/>
      <c r="AX199" s="149"/>
      <c r="AY199" s="149"/>
      <c r="AZ199" s="149"/>
      <c r="BA199" s="149"/>
      <c r="BB199" s="149"/>
      <c r="BC199" s="149"/>
      <c r="BD199" s="149"/>
      <c r="BE199" s="149"/>
      <c r="BF199" s="149"/>
      <c r="BG199" s="149"/>
      <c r="BH199" s="149"/>
      <c r="BI199" s="149"/>
      <c r="BJ199" s="151"/>
      <c r="BK199" s="32" t="str">
        <f t="shared" si="121"/>
        <v>ENT_31_C4-30_ベース_臨床サマリーモジュール_検査結果レコード.sql</v>
      </c>
    </row>
    <row r="200" spans="1:63" ht="37.5" hidden="1" customHeight="1" outlineLevel="1">
      <c r="A200" s="34" t="str">
        <f t="shared" si="117"/>
        <v>ベース_検歴情報モジュール_検歴情報</v>
      </c>
      <c r="B200" s="139" t="str">
        <f t="shared" si="118"/>
        <v>31</v>
      </c>
      <c r="C200" s="140"/>
      <c r="D200" s="140"/>
      <c r="E200" s="140"/>
      <c r="F200" s="141"/>
      <c r="G200" s="142" t="s">
        <v>308</v>
      </c>
      <c r="H200" s="143"/>
      <c r="I200" s="143"/>
      <c r="J200" s="143"/>
      <c r="K200" s="143"/>
      <c r="L200" s="143"/>
      <c r="M200" s="143"/>
      <c r="N200" s="144"/>
      <c r="O200" s="79" t="s">
        <v>4059</v>
      </c>
      <c r="P200" s="145" t="s">
        <v>3735</v>
      </c>
      <c r="Q200" s="146"/>
      <c r="R200" s="146"/>
      <c r="S200" s="146"/>
      <c r="T200" s="146"/>
      <c r="U200" s="146"/>
      <c r="V200" s="146"/>
      <c r="W200" s="146"/>
      <c r="X200" s="146"/>
      <c r="Y200" s="146"/>
      <c r="Z200" s="146"/>
      <c r="AA200" s="146"/>
      <c r="AB200" s="146"/>
      <c r="AC200" s="146"/>
      <c r="AD200" s="147"/>
      <c r="AE200" s="148" t="str">
        <f t="shared" ca="1" si="119"/>
        <v>sny_202310_base_merge_mml_lb_test</v>
      </c>
      <c r="AF200" s="149"/>
      <c r="AG200" s="149"/>
      <c r="AH200" s="149"/>
      <c r="AI200" s="149"/>
      <c r="AJ200" s="149"/>
      <c r="AK200" s="149"/>
      <c r="AL200" s="150"/>
      <c r="AM200" s="148" t="str">
        <f t="shared" ca="1" si="120"/>
        <v>バックアップ_検歴情報モジュール_検歴情報テーブルから対象患者で絞り込んだ結果を格納するテーブル</v>
      </c>
      <c r="AN200" s="149"/>
      <c r="AO200" s="149"/>
      <c r="AP200" s="149"/>
      <c r="AQ200" s="149"/>
      <c r="AR200" s="149"/>
      <c r="AS200" s="149"/>
      <c r="AT200" s="149"/>
      <c r="AU200" s="149"/>
      <c r="AV200" s="149"/>
      <c r="AW200" s="149"/>
      <c r="AX200" s="149"/>
      <c r="AY200" s="149"/>
      <c r="AZ200" s="149"/>
      <c r="BA200" s="149"/>
      <c r="BB200" s="149"/>
      <c r="BC200" s="149"/>
      <c r="BD200" s="149"/>
      <c r="BE200" s="149"/>
      <c r="BF200" s="149"/>
      <c r="BG200" s="149"/>
      <c r="BH200" s="149"/>
      <c r="BI200" s="149"/>
      <c r="BJ200" s="151"/>
      <c r="BK200" s="32" t="str">
        <f t="shared" si="121"/>
        <v>ENT_31_C4-31_ベース_検歴情報モジュール_検歴情報.sql</v>
      </c>
    </row>
    <row r="201" spans="1:63" ht="37.5" hidden="1" customHeight="1" outlineLevel="1">
      <c r="A201" s="34" t="str">
        <f t="shared" si="117"/>
        <v>ベース_検歴情報モジュール_検歴検体材料</v>
      </c>
      <c r="B201" s="139" t="str">
        <f t="shared" si="118"/>
        <v>31</v>
      </c>
      <c r="C201" s="140"/>
      <c r="D201" s="140"/>
      <c r="E201" s="140"/>
      <c r="F201" s="141"/>
      <c r="G201" s="142" t="s">
        <v>308</v>
      </c>
      <c r="H201" s="143"/>
      <c r="I201" s="143"/>
      <c r="J201" s="143"/>
      <c r="K201" s="143"/>
      <c r="L201" s="143"/>
      <c r="M201" s="143"/>
      <c r="N201" s="144"/>
      <c r="O201" s="79" t="s">
        <v>4060</v>
      </c>
      <c r="P201" s="145" t="s">
        <v>3736</v>
      </c>
      <c r="Q201" s="146"/>
      <c r="R201" s="146"/>
      <c r="S201" s="146"/>
      <c r="T201" s="146"/>
      <c r="U201" s="146"/>
      <c r="V201" s="146"/>
      <c r="W201" s="146"/>
      <c r="X201" s="146"/>
      <c r="Y201" s="146"/>
      <c r="Z201" s="146"/>
      <c r="AA201" s="146"/>
      <c r="AB201" s="146"/>
      <c r="AC201" s="146"/>
      <c r="AD201" s="147"/>
      <c r="AE201" s="148" t="str">
        <f t="shared" ca="1" si="119"/>
        <v>sny_202310_base_merge_mml_lb_specimen</v>
      </c>
      <c r="AF201" s="149"/>
      <c r="AG201" s="149"/>
      <c r="AH201" s="149"/>
      <c r="AI201" s="149"/>
      <c r="AJ201" s="149"/>
      <c r="AK201" s="149"/>
      <c r="AL201" s="150"/>
      <c r="AM201" s="148" t="str">
        <f t="shared" ca="1" si="120"/>
        <v>バックアップ_検歴情報モジュール_検歴検体材料テーブルから対象患者で絞り込んだ結果を格納するテーブル</v>
      </c>
      <c r="AN201" s="149"/>
      <c r="AO201" s="149"/>
      <c r="AP201" s="149"/>
      <c r="AQ201" s="149"/>
      <c r="AR201" s="149"/>
      <c r="AS201" s="149"/>
      <c r="AT201" s="149"/>
      <c r="AU201" s="149"/>
      <c r="AV201" s="149"/>
      <c r="AW201" s="149"/>
      <c r="AX201" s="149"/>
      <c r="AY201" s="149"/>
      <c r="AZ201" s="149"/>
      <c r="BA201" s="149"/>
      <c r="BB201" s="149"/>
      <c r="BC201" s="149"/>
      <c r="BD201" s="149"/>
      <c r="BE201" s="149"/>
      <c r="BF201" s="149"/>
      <c r="BG201" s="149"/>
      <c r="BH201" s="149"/>
      <c r="BI201" s="149"/>
      <c r="BJ201" s="151"/>
      <c r="BK201" s="32" t="str">
        <f t="shared" si="121"/>
        <v>ENT_31_C4-33_ベース_検歴情報モジュール_検歴検体材料.sql</v>
      </c>
    </row>
    <row r="202" spans="1:63" ht="37.5" hidden="1" customHeight="1" outlineLevel="1">
      <c r="A202" s="34" t="str">
        <f t="shared" si="117"/>
        <v>ベース_検歴情報モジュール_検歴項目情報</v>
      </c>
      <c r="B202" s="139" t="str">
        <f t="shared" si="118"/>
        <v>31</v>
      </c>
      <c r="C202" s="140"/>
      <c r="D202" s="140"/>
      <c r="E202" s="140"/>
      <c r="F202" s="141"/>
      <c r="G202" s="142" t="s">
        <v>308</v>
      </c>
      <c r="H202" s="143"/>
      <c r="I202" s="143"/>
      <c r="J202" s="143"/>
      <c r="K202" s="143"/>
      <c r="L202" s="143"/>
      <c r="M202" s="143"/>
      <c r="N202" s="144"/>
      <c r="O202" s="79" t="s">
        <v>4061</v>
      </c>
      <c r="P202" s="145" t="s">
        <v>3694</v>
      </c>
      <c r="Q202" s="146"/>
      <c r="R202" s="146"/>
      <c r="S202" s="146"/>
      <c r="T202" s="146"/>
      <c r="U202" s="146"/>
      <c r="V202" s="146"/>
      <c r="W202" s="146"/>
      <c r="X202" s="146"/>
      <c r="Y202" s="146"/>
      <c r="Z202" s="146"/>
      <c r="AA202" s="146"/>
      <c r="AB202" s="146"/>
      <c r="AC202" s="146"/>
      <c r="AD202" s="147"/>
      <c r="AE202" s="148" t="str">
        <f t="shared" ca="1" si="119"/>
        <v>sny_202310_base_merge_mml_lb_item</v>
      </c>
      <c r="AF202" s="149"/>
      <c r="AG202" s="149"/>
      <c r="AH202" s="149"/>
      <c r="AI202" s="149"/>
      <c r="AJ202" s="149"/>
      <c r="AK202" s="149"/>
      <c r="AL202" s="150"/>
      <c r="AM202" s="148" t="str">
        <f t="shared" ca="1" si="120"/>
        <v>バックアップ_検歴情報モジュール_検歴項目情報テーブルから対象患者で絞り込んだ結果を格納するテーブル</v>
      </c>
      <c r="AN202" s="149"/>
      <c r="AO202" s="149"/>
      <c r="AP202" s="149"/>
      <c r="AQ202" s="149"/>
      <c r="AR202" s="149"/>
      <c r="AS202" s="149"/>
      <c r="AT202" s="149"/>
      <c r="AU202" s="149"/>
      <c r="AV202" s="149"/>
      <c r="AW202" s="149"/>
      <c r="AX202" s="149"/>
      <c r="AY202" s="149"/>
      <c r="AZ202" s="149"/>
      <c r="BA202" s="149"/>
      <c r="BB202" s="149"/>
      <c r="BC202" s="149"/>
      <c r="BD202" s="149"/>
      <c r="BE202" s="149"/>
      <c r="BF202" s="149"/>
      <c r="BG202" s="149"/>
      <c r="BH202" s="149"/>
      <c r="BI202" s="149"/>
      <c r="BJ202" s="151"/>
      <c r="BK202" s="32" t="str">
        <f t="shared" si="121"/>
        <v>ENT_31_C4-35_ベース_検歴情報モジュール_検歴項目情報.sql</v>
      </c>
    </row>
    <row r="203" spans="1:63" ht="37.5" customHeight="1" collapsed="1">
      <c r="A203" s="34" t="str">
        <f t="shared" si="78"/>
        <v>ワーク_疾患データ</v>
      </c>
      <c r="B203" s="152" t="str">
        <f>TEXT(41,"00")</f>
        <v>41</v>
      </c>
      <c r="C203" s="153"/>
      <c r="D203" s="153"/>
      <c r="E203" s="153"/>
      <c r="F203" s="154"/>
      <c r="G203" s="184" t="s">
        <v>559</v>
      </c>
      <c r="H203" s="185"/>
      <c r="I203" s="185"/>
      <c r="J203" s="185"/>
      <c r="K203" s="185"/>
      <c r="L203" s="185"/>
      <c r="M203" s="185"/>
      <c r="N203" s="186"/>
      <c r="O203" s="79" t="str">
        <f>IF(P203&lt;&gt;"","ENT_"&amp;RIGHT(B203,2)&amp;"_"&amp;TEXT(ROW(O203)-ROW(O$203)+1,"00"),"")</f>
        <v>ENT_41_01</v>
      </c>
      <c r="P203" s="180" t="s">
        <v>561</v>
      </c>
      <c r="Q203" s="181"/>
      <c r="R203" s="181"/>
      <c r="S203" s="181"/>
      <c r="T203" s="181"/>
      <c r="U203" s="181"/>
      <c r="V203" s="181"/>
      <c r="W203" s="181"/>
      <c r="X203" s="181"/>
      <c r="Y203" s="181"/>
      <c r="Z203" s="181"/>
      <c r="AA203" s="181"/>
      <c r="AB203" s="181"/>
      <c r="AC203" s="181"/>
      <c r="AD203" s="182"/>
      <c r="AE203" s="177" t="str">
        <f t="shared" ref="AE203:AE206" ca="1" si="127">IFERROR(INDIRECT(P203&amp;"!D8"),"")</f>
        <v/>
      </c>
      <c r="AF203" s="178"/>
      <c r="AG203" s="178"/>
      <c r="AH203" s="178"/>
      <c r="AI203" s="178"/>
      <c r="AJ203" s="178"/>
      <c r="AK203" s="178"/>
      <c r="AL203" s="183"/>
      <c r="AM203" s="177" t="str">
        <f t="shared" ref="AM203:AM206" ca="1" si="128">IFERROR(INDIRECT(P203&amp;"!D9"),"")</f>
        <v/>
      </c>
      <c r="AN203" s="178"/>
      <c r="AO203" s="178"/>
      <c r="AP203" s="178"/>
      <c r="AQ203" s="178"/>
      <c r="AR203" s="178"/>
      <c r="AS203" s="178"/>
      <c r="AT203" s="178"/>
      <c r="AU203" s="178"/>
      <c r="AV203" s="178"/>
      <c r="AW203" s="178"/>
      <c r="AX203" s="178"/>
      <c r="AY203" s="178"/>
      <c r="AZ203" s="178"/>
      <c r="BA203" s="178"/>
      <c r="BB203" s="178"/>
      <c r="BC203" s="178"/>
      <c r="BD203" s="178"/>
      <c r="BE203" s="178"/>
      <c r="BF203" s="178"/>
      <c r="BG203" s="178"/>
      <c r="BH203" s="178"/>
      <c r="BI203" s="178"/>
      <c r="BJ203" s="179"/>
      <c r="BK203" s="32" t="str">
        <f t="shared" si="43"/>
        <v>ENT_41_01_ワーク_疾患データ.sql</v>
      </c>
    </row>
    <row r="204" spans="1:63" ht="37.5" customHeight="1">
      <c r="A204" s="34" t="str">
        <f t="shared" si="78"/>
        <v>セレクト_疾患データ_大区分</v>
      </c>
      <c r="B204" s="152" t="str">
        <f>TEXT(51,"00")</f>
        <v>51</v>
      </c>
      <c r="C204" s="153"/>
      <c r="D204" s="153"/>
      <c r="E204" s="153"/>
      <c r="F204" s="154"/>
      <c r="G204" s="142" t="s">
        <v>560</v>
      </c>
      <c r="H204" s="143"/>
      <c r="I204" s="143"/>
      <c r="J204" s="143"/>
      <c r="K204" s="143"/>
      <c r="L204" s="143"/>
      <c r="M204" s="143"/>
      <c r="N204" s="144"/>
      <c r="O204" s="79" t="str">
        <f>IF(P204&lt;&gt;"","ENT_"&amp;RIGHT(B204,2)&amp;"_"&amp;TEXT(ROW(O204)-ROW(O$204)+1,"00"),"")</f>
        <v>ENT_51_01</v>
      </c>
      <c r="P204" s="180" t="s">
        <v>900</v>
      </c>
      <c r="Q204" s="181"/>
      <c r="R204" s="181"/>
      <c r="S204" s="181"/>
      <c r="T204" s="181"/>
      <c r="U204" s="181"/>
      <c r="V204" s="181"/>
      <c r="W204" s="181"/>
      <c r="X204" s="181"/>
      <c r="Y204" s="181"/>
      <c r="Z204" s="181"/>
      <c r="AA204" s="181"/>
      <c r="AB204" s="181"/>
      <c r="AC204" s="181"/>
      <c r="AD204" s="182"/>
      <c r="AE204" s="177" t="str">
        <f t="shared" ca="1" si="127"/>
        <v/>
      </c>
      <c r="AF204" s="178"/>
      <c r="AG204" s="178"/>
      <c r="AH204" s="178"/>
      <c r="AI204" s="178"/>
      <c r="AJ204" s="178"/>
      <c r="AK204" s="178"/>
      <c r="AL204" s="183"/>
      <c r="AM204" s="177" t="str">
        <f t="shared" ca="1" si="128"/>
        <v/>
      </c>
      <c r="AN204" s="178"/>
      <c r="AO204" s="178"/>
      <c r="AP204" s="178"/>
      <c r="AQ204" s="178"/>
      <c r="AR204" s="178"/>
      <c r="AS204" s="178"/>
      <c r="AT204" s="178"/>
      <c r="AU204" s="178"/>
      <c r="AV204" s="178"/>
      <c r="AW204" s="178"/>
      <c r="AX204" s="178"/>
      <c r="AY204" s="178"/>
      <c r="AZ204" s="178"/>
      <c r="BA204" s="178"/>
      <c r="BB204" s="178"/>
      <c r="BC204" s="178"/>
      <c r="BD204" s="178"/>
      <c r="BE204" s="178"/>
      <c r="BF204" s="178"/>
      <c r="BG204" s="178"/>
      <c r="BH204" s="178"/>
      <c r="BI204" s="178"/>
      <c r="BJ204" s="179"/>
      <c r="BK204" s="32" t="str">
        <f t="shared" si="43"/>
        <v>ENT_51_01_セレクト_疾患データ_大区分.sql</v>
      </c>
    </row>
    <row r="205" spans="1:63" ht="37.5" customHeight="1">
      <c r="A205" s="34" t="str">
        <f t="shared" ref="A205" si="129">P205</f>
        <v>セレクト_疾患データ_小区分</v>
      </c>
      <c r="B205" s="139" t="str">
        <f>TEXT(51,"00")</f>
        <v>51</v>
      </c>
      <c r="C205" s="140"/>
      <c r="D205" s="140"/>
      <c r="E205" s="140"/>
      <c r="F205" s="141"/>
      <c r="G205" s="142" t="s">
        <v>560</v>
      </c>
      <c r="H205" s="143"/>
      <c r="I205" s="143"/>
      <c r="J205" s="143"/>
      <c r="K205" s="143"/>
      <c r="L205" s="143"/>
      <c r="M205" s="143"/>
      <c r="N205" s="144"/>
      <c r="O205" s="79" t="str">
        <f>IF(P205&lt;&gt;"","ENT_"&amp;RIGHT(B205,2)&amp;"_"&amp;TEXT(ROW(O205)-ROW(O$204)+1,"00"),"")</f>
        <v>ENT_51_02</v>
      </c>
      <c r="P205" s="145" t="s">
        <v>901</v>
      </c>
      <c r="Q205" s="146"/>
      <c r="R205" s="146"/>
      <c r="S205" s="146"/>
      <c r="T205" s="146"/>
      <c r="U205" s="146"/>
      <c r="V205" s="146"/>
      <c r="W205" s="146"/>
      <c r="X205" s="146"/>
      <c r="Y205" s="146"/>
      <c r="Z205" s="146"/>
      <c r="AA205" s="146"/>
      <c r="AB205" s="146"/>
      <c r="AC205" s="146"/>
      <c r="AD205" s="147"/>
      <c r="AE205" s="148" t="str">
        <f t="shared" ref="AE205" ca="1" si="130">IFERROR(INDIRECT(P205&amp;"!D8"),"")</f>
        <v/>
      </c>
      <c r="AF205" s="149"/>
      <c r="AG205" s="149"/>
      <c r="AH205" s="149"/>
      <c r="AI205" s="149"/>
      <c r="AJ205" s="149"/>
      <c r="AK205" s="149"/>
      <c r="AL205" s="150"/>
      <c r="AM205" s="148" t="str">
        <f t="shared" ref="AM205" ca="1" si="131">IFERROR(INDIRECT(P205&amp;"!D9"),"")</f>
        <v/>
      </c>
      <c r="AN205" s="149"/>
      <c r="AO205" s="149"/>
      <c r="AP205" s="149"/>
      <c r="AQ205" s="149"/>
      <c r="AR205" s="149"/>
      <c r="AS205" s="149"/>
      <c r="AT205" s="149"/>
      <c r="AU205" s="149"/>
      <c r="AV205" s="149"/>
      <c r="AW205" s="149"/>
      <c r="AX205" s="149"/>
      <c r="AY205" s="149"/>
      <c r="AZ205" s="149"/>
      <c r="BA205" s="149"/>
      <c r="BB205" s="149"/>
      <c r="BC205" s="149"/>
      <c r="BD205" s="149"/>
      <c r="BE205" s="149"/>
      <c r="BF205" s="149"/>
      <c r="BG205" s="149"/>
      <c r="BH205" s="149"/>
      <c r="BI205" s="149"/>
      <c r="BJ205" s="151"/>
      <c r="BK205" s="32" t="str">
        <f t="shared" si="43"/>
        <v>ENT_51_02_セレクト_疾患データ_小区分.sql</v>
      </c>
    </row>
    <row r="206" spans="1:63" ht="37.5" customHeight="1" thickBot="1">
      <c r="A206" s="34">
        <f t="shared" si="78"/>
        <v>0</v>
      </c>
      <c r="B206" s="164" t="str">
        <f>TEXT(51,"00")</f>
        <v>51</v>
      </c>
      <c r="C206" s="165"/>
      <c r="D206" s="165"/>
      <c r="E206" s="165"/>
      <c r="F206" s="166"/>
      <c r="G206" s="167" t="s">
        <v>560</v>
      </c>
      <c r="H206" s="168"/>
      <c r="I206" s="168"/>
      <c r="J206" s="168"/>
      <c r="K206" s="168"/>
      <c r="L206" s="168"/>
      <c r="M206" s="168"/>
      <c r="N206" s="169"/>
      <c r="O206" s="80" t="str">
        <f>IF(P206&lt;&gt;"","ENT_"&amp;RIGHT(B206,2)&amp;"_"&amp;TEXT(ROW(O206)-ROW(O$204)+1,"00"),"")</f>
        <v/>
      </c>
      <c r="P206" s="170"/>
      <c r="Q206" s="171"/>
      <c r="R206" s="171"/>
      <c r="S206" s="171"/>
      <c r="T206" s="171"/>
      <c r="U206" s="171"/>
      <c r="V206" s="171"/>
      <c r="W206" s="171"/>
      <c r="X206" s="171"/>
      <c r="Y206" s="171"/>
      <c r="Z206" s="171"/>
      <c r="AA206" s="171"/>
      <c r="AB206" s="171"/>
      <c r="AC206" s="171"/>
      <c r="AD206" s="172"/>
      <c r="AE206" s="173" t="str">
        <f t="shared" ca="1" si="127"/>
        <v/>
      </c>
      <c r="AF206" s="174"/>
      <c r="AG206" s="174"/>
      <c r="AH206" s="174"/>
      <c r="AI206" s="174"/>
      <c r="AJ206" s="174"/>
      <c r="AK206" s="174"/>
      <c r="AL206" s="175"/>
      <c r="AM206" s="173" t="str">
        <f t="shared" ca="1" si="128"/>
        <v/>
      </c>
      <c r="AN206" s="174"/>
      <c r="AO206" s="174"/>
      <c r="AP206" s="174"/>
      <c r="AQ206" s="174"/>
      <c r="AR206" s="174"/>
      <c r="AS206" s="174"/>
      <c r="AT206" s="174"/>
      <c r="AU206" s="174"/>
      <c r="AV206" s="174"/>
      <c r="AW206" s="174"/>
      <c r="AX206" s="174"/>
      <c r="AY206" s="174"/>
      <c r="AZ206" s="174"/>
      <c r="BA206" s="174"/>
      <c r="BB206" s="174"/>
      <c r="BC206" s="174"/>
      <c r="BD206" s="174"/>
      <c r="BE206" s="174"/>
      <c r="BF206" s="174"/>
      <c r="BG206" s="174"/>
      <c r="BH206" s="174"/>
      <c r="BI206" s="174"/>
      <c r="BJ206" s="176"/>
      <c r="BK206" s="32" t="str">
        <f t="shared" si="43"/>
        <v/>
      </c>
    </row>
    <row r="210" ht="13.5" customHeight="1"/>
    <row r="211" ht="13.5" customHeight="1"/>
    <row r="212" ht="13.5" customHeight="1"/>
    <row r="213" ht="13.5" customHeight="1"/>
    <row r="214" ht="13.5" customHeight="1"/>
    <row r="215" ht="13.5" customHeight="1"/>
    <row r="216" ht="13.5" customHeight="1"/>
    <row r="217" ht="13.5" customHeight="1"/>
  </sheetData>
  <mergeCells count="1022">
    <mergeCell ref="G158:N158"/>
    <mergeCell ref="P133:AD133"/>
    <mergeCell ref="P132:AD132"/>
    <mergeCell ref="AE164:AL164"/>
    <mergeCell ref="AM164:BJ164"/>
    <mergeCell ref="AE160:AL160"/>
    <mergeCell ref="AE103:AL103"/>
    <mergeCell ref="B177:F177"/>
    <mergeCell ref="G177:N177"/>
    <mergeCell ref="P177:AD177"/>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G154:N154"/>
    <mergeCell ref="P154:AD154"/>
    <mergeCell ref="AE154:AL154"/>
    <mergeCell ref="AM154:BJ154"/>
    <mergeCell ref="B155:F155"/>
    <mergeCell ref="G155:N155"/>
    <mergeCell ref="P155:AD155"/>
    <mergeCell ref="B158:F158"/>
    <mergeCell ref="B87:F87"/>
    <mergeCell ref="B88:F88"/>
    <mergeCell ref="B89:F89"/>
    <mergeCell ref="B202:F202"/>
    <mergeCell ref="G202:N202"/>
    <mergeCell ref="P202:AD202"/>
    <mergeCell ref="AE202:AL202"/>
    <mergeCell ref="AM202:BJ202"/>
    <mergeCell ref="B174:F174"/>
    <mergeCell ref="G174:N174"/>
    <mergeCell ref="P174:AD174"/>
    <mergeCell ref="AE174:AL174"/>
    <mergeCell ref="AM174:BJ174"/>
    <mergeCell ref="AE155:AL155"/>
    <mergeCell ref="AM155:BJ155"/>
    <mergeCell ref="B163:F163"/>
    <mergeCell ref="G163:N163"/>
    <mergeCell ref="P163:AD163"/>
    <mergeCell ref="AE163:AL163"/>
    <mergeCell ref="AM163:BJ163"/>
    <mergeCell ref="B164:F164"/>
    <mergeCell ref="G164:N164"/>
    <mergeCell ref="P164:AD164"/>
    <mergeCell ref="B160:F160"/>
    <mergeCell ref="G160:N160"/>
    <mergeCell ref="AE162:AL162"/>
    <mergeCell ref="AE167:AL167"/>
    <mergeCell ref="AE161:AL161"/>
    <mergeCell ref="AE166:AL166"/>
    <mergeCell ref="B168:F168"/>
    <mergeCell ref="G168:N168"/>
    <mergeCell ref="P168:AD168"/>
    <mergeCell ref="G75:N75"/>
    <mergeCell ref="P75:AD75"/>
    <mergeCell ref="AE75:AL75"/>
    <mergeCell ref="AM75:BJ75"/>
    <mergeCell ref="B76:F76"/>
    <mergeCell ref="G76:N76"/>
    <mergeCell ref="P76:AD76"/>
    <mergeCell ref="AE76:AL76"/>
    <mergeCell ref="AM76:BJ76"/>
    <mergeCell ref="P81:AD81"/>
    <mergeCell ref="AE81:AL81"/>
    <mergeCell ref="AM81:BJ81"/>
    <mergeCell ref="P82:AD82"/>
    <mergeCell ref="AE82:AL82"/>
    <mergeCell ref="AM82:BJ82"/>
    <mergeCell ref="P83:AD83"/>
    <mergeCell ref="AE83:AL83"/>
    <mergeCell ref="AM83:BJ83"/>
    <mergeCell ref="AM156:BJ156"/>
    <mergeCell ref="P157:AD157"/>
    <mergeCell ref="AE157:AL157"/>
    <mergeCell ref="AM157:BJ157"/>
    <mergeCell ref="P103:AD103"/>
    <mergeCell ref="AE102:AL102"/>
    <mergeCell ref="P158:AD158"/>
    <mergeCell ref="AE158:AL158"/>
    <mergeCell ref="P84:AD84"/>
    <mergeCell ref="AE84:AL84"/>
    <mergeCell ref="AM84:BJ84"/>
    <mergeCell ref="P93:AD93"/>
    <mergeCell ref="AE93:AL93"/>
    <mergeCell ref="AM93:BJ93"/>
    <mergeCell ref="P94:AD94"/>
    <mergeCell ref="AE94:AL94"/>
    <mergeCell ref="AE74:AL74"/>
    <mergeCell ref="AM74:BJ74"/>
    <mergeCell ref="AM91:BJ91"/>
    <mergeCell ref="P92:AD92"/>
    <mergeCell ref="AE92:AL92"/>
    <mergeCell ref="AM92:BJ92"/>
    <mergeCell ref="AM94:BJ94"/>
    <mergeCell ref="P90:AD90"/>
    <mergeCell ref="AE90:AL90"/>
    <mergeCell ref="AM90:BJ90"/>
    <mergeCell ref="P99:AD99"/>
    <mergeCell ref="AE99:AL99"/>
    <mergeCell ref="AM99:BJ99"/>
    <mergeCell ref="P159:AD159"/>
    <mergeCell ref="P104:AD104"/>
    <mergeCell ref="AE104:AL104"/>
    <mergeCell ref="P96:AD96"/>
    <mergeCell ref="AE96:AL96"/>
    <mergeCell ref="AM96:BJ96"/>
    <mergeCell ref="P97:AD97"/>
    <mergeCell ref="AE97:AL97"/>
    <mergeCell ref="AM97:BJ97"/>
    <mergeCell ref="P100:AD100"/>
    <mergeCell ref="AE100:AL100"/>
    <mergeCell ref="AM100:BJ100"/>
    <mergeCell ref="P101:AD101"/>
    <mergeCell ref="AE101:AL101"/>
    <mergeCell ref="AM101:BJ101"/>
    <mergeCell ref="P98:AD98"/>
    <mergeCell ref="AE98:AL98"/>
    <mergeCell ref="AM98:BJ98"/>
    <mergeCell ref="P102:AD102"/>
    <mergeCell ref="P156:AD156"/>
    <mergeCell ref="AE156:AL156"/>
    <mergeCell ref="P68:AD68"/>
    <mergeCell ref="P73:AD73"/>
    <mergeCell ref="AE73:AL73"/>
    <mergeCell ref="AM73:BJ73"/>
    <mergeCell ref="P74:AD74"/>
    <mergeCell ref="P77:AD77"/>
    <mergeCell ref="AE77:AL77"/>
    <mergeCell ref="AM77:BJ77"/>
    <mergeCell ref="P78:AD78"/>
    <mergeCell ref="AE78:AL78"/>
    <mergeCell ref="AM78:BJ78"/>
    <mergeCell ref="AE108:AL108"/>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1:AD91"/>
    <mergeCell ref="AE91:AL91"/>
    <mergeCell ref="P64:AD64"/>
    <mergeCell ref="AE64:AL64"/>
    <mergeCell ref="AM64:BJ64"/>
    <mergeCell ref="P65:AD65"/>
    <mergeCell ref="AE65:AL65"/>
    <mergeCell ref="AM65:BJ65"/>
    <mergeCell ref="P66:AD66"/>
    <mergeCell ref="AE66:AL66"/>
    <mergeCell ref="AM66:BJ66"/>
    <mergeCell ref="P67:AD67"/>
    <mergeCell ref="AE67:AL67"/>
    <mergeCell ref="AM67:BJ67"/>
    <mergeCell ref="AE132:AL132"/>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AE46:AL46"/>
    <mergeCell ref="AM46:BJ46"/>
    <mergeCell ref="P47:AD47"/>
    <mergeCell ref="P58:AD58"/>
    <mergeCell ref="AE58:AL58"/>
    <mergeCell ref="AM58:BJ58"/>
    <mergeCell ref="P50:AD50"/>
    <mergeCell ref="AE50:AL50"/>
    <mergeCell ref="AM50:BJ50"/>
    <mergeCell ref="P51:AD51"/>
    <mergeCell ref="AE51:AL51"/>
    <mergeCell ref="P62:AD62"/>
    <mergeCell ref="AE62:AL62"/>
    <mergeCell ref="AM62:BJ62"/>
    <mergeCell ref="P63:AD63"/>
    <mergeCell ref="AE63:AL63"/>
    <mergeCell ref="AM63:BJ63"/>
    <mergeCell ref="AM57:BJ57"/>
    <mergeCell ref="P55:AD55"/>
    <mergeCell ref="AE55:AL55"/>
    <mergeCell ref="AM55:BJ55"/>
    <mergeCell ref="P52:AD52"/>
    <mergeCell ref="AE52:AL52"/>
    <mergeCell ref="AM52:BJ52"/>
    <mergeCell ref="P53:AD53"/>
    <mergeCell ref="P54:AD54"/>
    <mergeCell ref="AE54:AL54"/>
    <mergeCell ref="AM54:BJ54"/>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29:AL29"/>
    <mergeCell ref="AM29:BJ29"/>
    <mergeCell ref="P30:AD30"/>
    <mergeCell ref="AE30:AL30"/>
    <mergeCell ref="AM30:BJ30"/>
    <mergeCell ref="P35:AD35"/>
    <mergeCell ref="AE35:AL35"/>
    <mergeCell ref="AM35:BJ35"/>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AM51:BJ51"/>
    <mergeCell ref="P57:AD57"/>
    <mergeCell ref="AE57:AL57"/>
    <mergeCell ref="AM130:BJ130"/>
    <mergeCell ref="P125:AD125"/>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P10:AD10"/>
    <mergeCell ref="AE10:AL10"/>
    <mergeCell ref="AM10:BJ10"/>
    <mergeCell ref="P49:AD49"/>
    <mergeCell ref="AE49:AL49"/>
    <mergeCell ref="AM49:BJ49"/>
    <mergeCell ref="P28:AD28"/>
    <mergeCell ref="AE28:AL28"/>
    <mergeCell ref="AM28:BJ28"/>
    <mergeCell ref="P29:AD29"/>
    <mergeCell ref="AE111:AL111"/>
    <mergeCell ref="AM111:BJ111"/>
    <mergeCell ref="AE133:AL133"/>
    <mergeCell ref="AM133:BJ133"/>
    <mergeCell ref="P137:AD137"/>
    <mergeCell ref="AE137:AL137"/>
    <mergeCell ref="AM137:BJ137"/>
    <mergeCell ref="P138:AD138"/>
    <mergeCell ref="AE138:AL138"/>
    <mergeCell ref="AM138:BJ138"/>
    <mergeCell ref="P135:AD135"/>
    <mergeCell ref="AE135:AL135"/>
    <mergeCell ref="AM135:BJ135"/>
    <mergeCell ref="P136:AD136"/>
    <mergeCell ref="AE136:AL136"/>
    <mergeCell ref="AM136:BJ136"/>
    <mergeCell ref="P121:AD121"/>
    <mergeCell ref="AE121:AL121"/>
    <mergeCell ref="AM121:BJ121"/>
    <mergeCell ref="P131:AD131"/>
    <mergeCell ref="AE131:AL131"/>
    <mergeCell ref="AM131:BJ131"/>
    <mergeCell ref="P122:AD122"/>
    <mergeCell ref="AE122:AL122"/>
    <mergeCell ref="AM122:BJ122"/>
    <mergeCell ref="P123:AD123"/>
    <mergeCell ref="AE127:AL127"/>
    <mergeCell ref="P134:AD134"/>
    <mergeCell ref="AE134:AL134"/>
    <mergeCell ref="AM134:BJ134"/>
    <mergeCell ref="P130:AD130"/>
    <mergeCell ref="AE130:AL130"/>
    <mergeCell ref="AM26:BJ26"/>
    <mergeCell ref="P27:AD27"/>
    <mergeCell ref="AE25:AL25"/>
    <mergeCell ref="AM25:BJ25"/>
    <mergeCell ref="P23:AD23"/>
    <mergeCell ref="AE23:AL23"/>
    <mergeCell ref="P129:AD129"/>
    <mergeCell ref="AE129:AL129"/>
    <mergeCell ref="AM129:BJ129"/>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06:AD106"/>
    <mergeCell ref="AE106:AL106"/>
    <mergeCell ref="P109:AD109"/>
    <mergeCell ref="P110:AD110"/>
    <mergeCell ref="AS1:AX1"/>
    <mergeCell ref="BE1:BJ1"/>
    <mergeCell ref="AM108:BJ108"/>
    <mergeCell ref="AE53:AL53"/>
    <mergeCell ref="AM53:BJ53"/>
    <mergeCell ref="P56:AD56"/>
    <mergeCell ref="AE56:AL56"/>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AM13:BJ13"/>
    <mergeCell ref="P15:AD15"/>
    <mergeCell ref="AE15:AL15"/>
    <mergeCell ref="AM15:BJ15"/>
    <mergeCell ref="AM23:BJ23"/>
    <mergeCell ref="P26:AD26"/>
    <mergeCell ref="AE26:AL26"/>
    <mergeCell ref="AM103:BJ103"/>
    <mergeCell ref="AM158:BJ158"/>
    <mergeCell ref="AE27:AL27"/>
    <mergeCell ref="AM27:BJ27"/>
    <mergeCell ref="P25:AD25"/>
    <mergeCell ref="AE109:AL109"/>
    <mergeCell ref="AM109:BJ109"/>
    <mergeCell ref="AE110:AL110"/>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AE180:AL180"/>
    <mergeCell ref="AM180:BJ180"/>
    <mergeCell ref="B181:F181"/>
    <mergeCell ref="AS2:AX2"/>
    <mergeCell ref="AY2:BD2"/>
    <mergeCell ref="BE2:BJ2"/>
    <mergeCell ref="AY1:BD1"/>
    <mergeCell ref="AM179:BJ179"/>
    <mergeCell ref="AM167:BJ167"/>
    <mergeCell ref="AM160:BJ160"/>
    <mergeCell ref="AM107:BJ107"/>
    <mergeCell ref="AM4:BJ5"/>
    <mergeCell ref="AM153:BJ153"/>
    <mergeCell ref="AM112:BJ112"/>
    <mergeCell ref="AM149:BJ149"/>
    <mergeCell ref="AM150:BJ150"/>
    <mergeCell ref="AM9:BJ9"/>
    <mergeCell ref="AM161:BJ161"/>
    <mergeCell ref="AM106:BJ106"/>
    <mergeCell ref="AM70:BJ70"/>
    <mergeCell ref="AM128:BJ128"/>
    <mergeCell ref="AM22:BJ22"/>
    <mergeCell ref="AM12:BJ12"/>
    <mergeCell ref="AM34:BJ34"/>
    <mergeCell ref="AM127:BJ127"/>
    <mergeCell ref="AM132:BJ132"/>
    <mergeCell ref="AM56:BJ56"/>
    <mergeCell ref="AM123:BJ123"/>
    <mergeCell ref="AM104:BJ104"/>
    <mergeCell ref="AM162:BJ162"/>
    <mergeCell ref="AM166:BJ166"/>
    <mergeCell ref="AM102:BJ102"/>
    <mergeCell ref="B154:F154"/>
    <mergeCell ref="B166:F166"/>
    <mergeCell ref="B161:F161"/>
    <mergeCell ref="B206:F206"/>
    <mergeCell ref="G206:N206"/>
    <mergeCell ref="P206:AD206"/>
    <mergeCell ref="AE206:AL206"/>
    <mergeCell ref="AM206:BJ206"/>
    <mergeCell ref="AE179:AL179"/>
    <mergeCell ref="AM203:BJ203"/>
    <mergeCell ref="B205:F205"/>
    <mergeCell ref="G205:N205"/>
    <mergeCell ref="P205:AD205"/>
    <mergeCell ref="AE205:AL205"/>
    <mergeCell ref="AM205:BJ205"/>
    <mergeCell ref="B204:F204"/>
    <mergeCell ref="G204:N204"/>
    <mergeCell ref="P204:AD204"/>
    <mergeCell ref="AE204:AL204"/>
    <mergeCell ref="B203:F203"/>
    <mergeCell ref="G203:N203"/>
    <mergeCell ref="P203:AD203"/>
    <mergeCell ref="AE203:AL203"/>
    <mergeCell ref="AM204:BJ204"/>
    <mergeCell ref="P179:AD179"/>
    <mergeCell ref="B182:F182"/>
    <mergeCell ref="B180:F180"/>
    <mergeCell ref="G180:N180"/>
    <mergeCell ref="P180:AD180"/>
    <mergeCell ref="B185:F185"/>
    <mergeCell ref="G185:N185"/>
    <mergeCell ref="P185:AD185"/>
    <mergeCell ref="P160:AD160"/>
    <mergeCell ref="B179:F179"/>
    <mergeCell ref="G179:N179"/>
    <mergeCell ref="G167:N167"/>
    <mergeCell ref="P167:AD167"/>
    <mergeCell ref="B162:F162"/>
    <mergeCell ref="G162:N162"/>
    <mergeCell ref="P162:AD162"/>
    <mergeCell ref="G166:N166"/>
    <mergeCell ref="P166:AD166"/>
    <mergeCell ref="B170:F170"/>
    <mergeCell ref="G170:N170"/>
    <mergeCell ref="P170:AD170"/>
    <mergeCell ref="B173:F173"/>
    <mergeCell ref="G173:N173"/>
    <mergeCell ref="P173:AD173"/>
    <mergeCell ref="G161:N161"/>
    <mergeCell ref="B169:F169"/>
    <mergeCell ref="G169:N169"/>
    <mergeCell ref="P169:AD169"/>
    <mergeCell ref="P161:AD161"/>
    <mergeCell ref="AE159:AL159"/>
    <mergeCell ref="AM159:BJ159"/>
    <mergeCell ref="AE153:AL153"/>
    <mergeCell ref="B159:F159"/>
    <mergeCell ref="P117:AD117"/>
    <mergeCell ref="AE117:AL117"/>
    <mergeCell ref="AM117:BJ117"/>
    <mergeCell ref="B118:F118"/>
    <mergeCell ref="G118:N118"/>
    <mergeCell ref="P118:AD118"/>
    <mergeCell ref="AE118:AL118"/>
    <mergeCell ref="AM118:BJ118"/>
    <mergeCell ref="B115:F115"/>
    <mergeCell ref="G115:N115"/>
    <mergeCell ref="P115:AD115"/>
    <mergeCell ref="AE115:AL115"/>
    <mergeCell ref="AM115:BJ115"/>
    <mergeCell ref="B116:F116"/>
    <mergeCell ref="P116:AD116"/>
    <mergeCell ref="AE116:AL116"/>
    <mergeCell ref="AM116:BJ116"/>
    <mergeCell ref="B128:F128"/>
    <mergeCell ref="G128:N128"/>
    <mergeCell ref="B119:F119"/>
    <mergeCell ref="B153:F153"/>
    <mergeCell ref="G153:N153"/>
    <mergeCell ref="P153:AD153"/>
    <mergeCell ref="B156:F156"/>
    <mergeCell ref="G156:N156"/>
    <mergeCell ref="B157:F157"/>
    <mergeCell ref="G157:N157"/>
    <mergeCell ref="G159:N159"/>
    <mergeCell ref="G123:N123"/>
    <mergeCell ref="G124:N124"/>
    <mergeCell ref="G125:N125"/>
    <mergeCell ref="G126:N126"/>
    <mergeCell ref="B122:F122"/>
    <mergeCell ref="B123:F123"/>
    <mergeCell ref="B124:F124"/>
    <mergeCell ref="B125:F125"/>
    <mergeCell ref="B126:F126"/>
    <mergeCell ref="P113:AD113"/>
    <mergeCell ref="AE113:AL113"/>
    <mergeCell ref="AM113:BJ113"/>
    <mergeCell ref="B114:F114"/>
    <mergeCell ref="G114:N114"/>
    <mergeCell ref="P114:AD114"/>
    <mergeCell ref="AE114:AL114"/>
    <mergeCell ref="AM114:BJ114"/>
    <mergeCell ref="AE145:AL145"/>
    <mergeCell ref="AM145:BJ145"/>
    <mergeCell ref="P143:AD143"/>
    <mergeCell ref="AE143:AL143"/>
    <mergeCell ref="AM143:BJ143"/>
    <mergeCell ref="P144:AD144"/>
    <mergeCell ref="AE144:AL144"/>
    <mergeCell ref="AM144:BJ144"/>
    <mergeCell ref="B141:F141"/>
    <mergeCell ref="B142:F142"/>
    <mergeCell ref="B143:F143"/>
    <mergeCell ref="B144:F144"/>
    <mergeCell ref="B145:F145"/>
    <mergeCell ref="G138:N138"/>
    <mergeCell ref="G139:N139"/>
    <mergeCell ref="G140:N140"/>
    <mergeCell ref="G141:N141"/>
    <mergeCell ref="AE120:AL120"/>
    <mergeCell ref="AM120:BJ120"/>
    <mergeCell ref="P124:AD124"/>
    <mergeCell ref="AE124:AL124"/>
    <mergeCell ref="AM124:BJ124"/>
    <mergeCell ref="B138:F138"/>
    <mergeCell ref="B139:F139"/>
    <mergeCell ref="B140:F140"/>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AE125:AL125"/>
    <mergeCell ref="AM125:BJ125"/>
    <mergeCell ref="P128:AD128"/>
    <mergeCell ref="AE128:AL128"/>
    <mergeCell ref="P126:AD126"/>
    <mergeCell ref="AE126:AL126"/>
    <mergeCell ref="AM126:BJ126"/>
    <mergeCell ref="P127:AD127"/>
    <mergeCell ref="B127:F127"/>
    <mergeCell ref="G127:N127"/>
    <mergeCell ref="AE123:AL123"/>
    <mergeCell ref="G122:N122"/>
    <mergeCell ref="B28:F28"/>
    <mergeCell ref="B34:F34"/>
    <mergeCell ref="B35:F35"/>
    <mergeCell ref="B36:F36"/>
    <mergeCell ref="B37:F37"/>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P146:AD146"/>
    <mergeCell ref="AE146:AL146"/>
    <mergeCell ref="AM146:BJ146"/>
    <mergeCell ref="P119:AD119"/>
    <mergeCell ref="AE119:AL119"/>
    <mergeCell ref="AM119:BJ119"/>
    <mergeCell ref="P120:AD120"/>
    <mergeCell ref="B29:F29"/>
    <mergeCell ref="B30:F30"/>
    <mergeCell ref="B31:F31"/>
    <mergeCell ref="B32:F32"/>
    <mergeCell ref="B33:F33"/>
    <mergeCell ref="B146:F146"/>
    <mergeCell ref="B147:F147"/>
    <mergeCell ref="B148:F148"/>
    <mergeCell ref="B149:F1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53:F53"/>
    <mergeCell ref="B54:F54"/>
    <mergeCell ref="B55:F55"/>
    <mergeCell ref="B56:F56"/>
    <mergeCell ref="B57:F57"/>
    <mergeCell ref="B58:F58"/>
    <mergeCell ref="B59:F59"/>
    <mergeCell ref="B60:F60"/>
    <mergeCell ref="B61:F61"/>
    <mergeCell ref="B62:F62"/>
    <mergeCell ref="B63:F63"/>
    <mergeCell ref="B64:F64"/>
    <mergeCell ref="B65:F65"/>
    <mergeCell ref="B66:F66"/>
    <mergeCell ref="B38:F38"/>
    <mergeCell ref="B39:F39"/>
    <mergeCell ref="B40:F40"/>
    <mergeCell ref="B41:F41"/>
    <mergeCell ref="B42:F42"/>
    <mergeCell ref="B43:F43"/>
    <mergeCell ref="B44:F44"/>
    <mergeCell ref="B45:F45"/>
    <mergeCell ref="B46:F46"/>
    <mergeCell ref="B47:F47"/>
    <mergeCell ref="B48:F48"/>
    <mergeCell ref="B49:F49"/>
    <mergeCell ref="B67:F67"/>
    <mergeCell ref="B68:F68"/>
    <mergeCell ref="B69:F69"/>
    <mergeCell ref="B70:F70"/>
    <mergeCell ref="B71:F71"/>
    <mergeCell ref="B72:F72"/>
    <mergeCell ref="B79:F79"/>
    <mergeCell ref="B80:F80"/>
    <mergeCell ref="B81:F81"/>
    <mergeCell ref="B82:F82"/>
    <mergeCell ref="B83:F83"/>
    <mergeCell ref="B84:F84"/>
    <mergeCell ref="B73:F73"/>
    <mergeCell ref="B74:F74"/>
    <mergeCell ref="B77:F77"/>
    <mergeCell ref="B85:F85"/>
    <mergeCell ref="B86:F86"/>
    <mergeCell ref="B78:F78"/>
    <mergeCell ref="B75:F75"/>
    <mergeCell ref="B90:F90"/>
    <mergeCell ref="B91:F91"/>
    <mergeCell ref="B92:F92"/>
    <mergeCell ref="B93:F93"/>
    <mergeCell ref="B94:F94"/>
    <mergeCell ref="B95:F95"/>
    <mergeCell ref="B96:F96"/>
    <mergeCell ref="B97:F97"/>
    <mergeCell ref="B98:F98"/>
    <mergeCell ref="B99:F99"/>
    <mergeCell ref="B100:F100"/>
    <mergeCell ref="B101:F101"/>
    <mergeCell ref="B102:F102"/>
    <mergeCell ref="B103:F103"/>
    <mergeCell ref="B104:F104"/>
    <mergeCell ref="B105:F105"/>
    <mergeCell ref="G121:N121"/>
    <mergeCell ref="G100:N100"/>
    <mergeCell ref="G101:N101"/>
    <mergeCell ref="G104:N104"/>
    <mergeCell ref="G105:N105"/>
    <mergeCell ref="B121:F121"/>
    <mergeCell ref="G119:N119"/>
    <mergeCell ref="B120:F120"/>
    <mergeCell ref="G120:N120"/>
    <mergeCell ref="B117:F117"/>
    <mergeCell ref="G117:N117"/>
    <mergeCell ref="B113:F113"/>
    <mergeCell ref="G113:N113"/>
    <mergeCell ref="B106:F106"/>
    <mergeCell ref="G106:N106"/>
    <mergeCell ref="G116:N116"/>
    <mergeCell ref="G130:N130"/>
    <mergeCell ref="G131:N131"/>
    <mergeCell ref="G132:N132"/>
    <mergeCell ref="G133:N133"/>
    <mergeCell ref="G134:N134"/>
    <mergeCell ref="G135:N135"/>
    <mergeCell ref="G136:N136"/>
    <mergeCell ref="G137:N137"/>
    <mergeCell ref="G129:N129"/>
    <mergeCell ref="B130:F130"/>
    <mergeCell ref="B131:F131"/>
    <mergeCell ref="B129:F129"/>
    <mergeCell ref="B132:F132"/>
    <mergeCell ref="B133:F133"/>
    <mergeCell ref="B134:F134"/>
    <mergeCell ref="B135:F135"/>
    <mergeCell ref="B136:F136"/>
    <mergeCell ref="B137:F137"/>
    <mergeCell ref="G142:N142"/>
    <mergeCell ref="G143:N143"/>
    <mergeCell ref="G144:N144"/>
    <mergeCell ref="G145:N145"/>
    <mergeCell ref="G146:N146"/>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26:N26"/>
    <mergeCell ref="G27:N27"/>
    <mergeCell ref="G28:N28"/>
    <mergeCell ref="G73:N73"/>
    <mergeCell ref="G74:N74"/>
    <mergeCell ref="G77:N77"/>
    <mergeCell ref="G86:N86"/>
    <mergeCell ref="G78:N78"/>
    <mergeCell ref="G66:N66"/>
    <mergeCell ref="G67:N67"/>
    <mergeCell ref="G68:N68"/>
    <mergeCell ref="G69:N69"/>
    <mergeCell ref="G70:N70"/>
    <mergeCell ref="G71:N71"/>
    <mergeCell ref="G72:N72"/>
    <mergeCell ref="G79:N79"/>
    <mergeCell ref="G80:N80"/>
    <mergeCell ref="G81:N81"/>
    <mergeCell ref="G29:N29"/>
    <mergeCell ref="G30:N30"/>
    <mergeCell ref="G31:N31"/>
    <mergeCell ref="G32:N32"/>
    <mergeCell ref="G33:N33"/>
    <mergeCell ref="G34:N34"/>
    <mergeCell ref="G35:N35"/>
    <mergeCell ref="G36:N36"/>
    <mergeCell ref="G37:N37"/>
    <mergeCell ref="G38:N38"/>
    <mergeCell ref="G39:N39"/>
    <mergeCell ref="G40:N40"/>
    <mergeCell ref="G41:N41"/>
    <mergeCell ref="G42:N42"/>
    <mergeCell ref="G43:N43"/>
    <mergeCell ref="G44:N44"/>
    <mergeCell ref="G45:N45"/>
    <mergeCell ref="B6:F6"/>
    <mergeCell ref="G6:N6"/>
    <mergeCell ref="P6:AD6"/>
    <mergeCell ref="AE6:AL6"/>
    <mergeCell ref="AM6:BJ6"/>
    <mergeCell ref="B7:F7"/>
    <mergeCell ref="G7:N7"/>
    <mergeCell ref="P7:AD7"/>
    <mergeCell ref="AE7:AL7"/>
    <mergeCell ref="AM7:BJ7"/>
    <mergeCell ref="G59:N59"/>
    <mergeCell ref="G60:N60"/>
    <mergeCell ref="G61:N61"/>
    <mergeCell ref="G62:N62"/>
    <mergeCell ref="G63:N63"/>
    <mergeCell ref="G64:N64"/>
    <mergeCell ref="G65:N65"/>
    <mergeCell ref="G46:N46"/>
    <mergeCell ref="G47:N47"/>
    <mergeCell ref="G48:N48"/>
    <mergeCell ref="G49:N49"/>
    <mergeCell ref="G50:N50"/>
    <mergeCell ref="G51:N51"/>
    <mergeCell ref="G52:N52"/>
    <mergeCell ref="G53:N53"/>
    <mergeCell ref="G54:N54"/>
    <mergeCell ref="G55:N55"/>
    <mergeCell ref="G56:N56"/>
    <mergeCell ref="G57:N57"/>
    <mergeCell ref="G58:N58"/>
    <mergeCell ref="B50:F50"/>
    <mergeCell ref="B51:F51"/>
    <mergeCell ref="G87:N87"/>
    <mergeCell ref="G88:N88"/>
    <mergeCell ref="G89:N89"/>
    <mergeCell ref="G90:N90"/>
    <mergeCell ref="G91:N91"/>
    <mergeCell ref="G92:N92"/>
    <mergeCell ref="G102:N102"/>
    <mergeCell ref="G103:N103"/>
    <mergeCell ref="G93:N93"/>
    <mergeCell ref="G94:N94"/>
    <mergeCell ref="G95:N95"/>
    <mergeCell ref="G96:N96"/>
    <mergeCell ref="G97:N97"/>
    <mergeCell ref="G98:N98"/>
    <mergeCell ref="G99:N99"/>
    <mergeCell ref="G82:N82"/>
    <mergeCell ref="G83:N83"/>
    <mergeCell ref="G84:N84"/>
    <mergeCell ref="G85:N85"/>
    <mergeCell ref="AE169:AL169"/>
    <mergeCell ref="AM169:BJ169"/>
    <mergeCell ref="B167:F167"/>
    <mergeCell ref="AE170:AL170"/>
    <mergeCell ref="AM170:BJ170"/>
    <mergeCell ref="B171:F171"/>
    <mergeCell ref="G171:N171"/>
    <mergeCell ref="P171:AD171"/>
    <mergeCell ref="AE171:AL171"/>
    <mergeCell ref="AM171:BJ171"/>
    <mergeCell ref="B172:F172"/>
    <mergeCell ref="G172:N172"/>
    <mergeCell ref="P172:AD172"/>
    <mergeCell ref="AE172:AL172"/>
    <mergeCell ref="AM172:BJ172"/>
    <mergeCell ref="AE173:AL173"/>
    <mergeCell ref="AM173:BJ173"/>
    <mergeCell ref="AE168:AL168"/>
    <mergeCell ref="AM168:BJ168"/>
    <mergeCell ref="G181:N181"/>
    <mergeCell ref="P181:AD181"/>
    <mergeCell ref="AE181:AL181"/>
    <mergeCell ref="AM181:BJ181"/>
    <mergeCell ref="G182:N182"/>
    <mergeCell ref="P182:AD182"/>
    <mergeCell ref="AE182:AL182"/>
    <mergeCell ref="AM182:BJ182"/>
    <mergeCell ref="B183:F183"/>
    <mergeCell ref="G183:N183"/>
    <mergeCell ref="P183:AD183"/>
    <mergeCell ref="AE183:AL183"/>
    <mergeCell ref="AM183:BJ183"/>
    <mergeCell ref="B184:F184"/>
    <mergeCell ref="G184:N184"/>
    <mergeCell ref="P184:AD184"/>
    <mergeCell ref="AE184:AL184"/>
    <mergeCell ref="AM184:BJ184"/>
    <mergeCell ref="AE185:AL185"/>
    <mergeCell ref="AM185:BJ185"/>
    <mergeCell ref="B186:F186"/>
    <mergeCell ref="G186:N186"/>
    <mergeCell ref="P186:AD186"/>
    <mergeCell ref="AE186:AL186"/>
    <mergeCell ref="AM186:BJ186"/>
    <mergeCell ref="B187:F187"/>
    <mergeCell ref="G187:N187"/>
    <mergeCell ref="P187:AD187"/>
    <mergeCell ref="AE187:AL187"/>
    <mergeCell ref="AM187:BJ187"/>
    <mergeCell ref="B188:F188"/>
    <mergeCell ref="G188:N188"/>
    <mergeCell ref="P188:AD188"/>
    <mergeCell ref="AE188:AL188"/>
    <mergeCell ref="AM188:BJ188"/>
    <mergeCell ref="B189:F189"/>
    <mergeCell ref="G189:N189"/>
    <mergeCell ref="P189:AD189"/>
    <mergeCell ref="AE189:AL189"/>
    <mergeCell ref="AM189:BJ189"/>
    <mergeCell ref="B190:F190"/>
    <mergeCell ref="G190:N190"/>
    <mergeCell ref="P190:AD190"/>
    <mergeCell ref="AE190:AL190"/>
    <mergeCell ref="AM190:BJ190"/>
    <mergeCell ref="B191:F191"/>
    <mergeCell ref="G191:N191"/>
    <mergeCell ref="P191:AD191"/>
    <mergeCell ref="AE191:AL191"/>
    <mergeCell ref="AM191:BJ191"/>
    <mergeCell ref="B192:F192"/>
    <mergeCell ref="G192:N192"/>
    <mergeCell ref="P192:AD192"/>
    <mergeCell ref="AE192:AL192"/>
    <mergeCell ref="AM192:BJ192"/>
    <mergeCell ref="P193:AD193"/>
    <mergeCell ref="AE193:AL193"/>
    <mergeCell ref="AM193:BJ193"/>
    <mergeCell ref="B194:F194"/>
    <mergeCell ref="G194:N194"/>
    <mergeCell ref="P194:AD194"/>
    <mergeCell ref="AE194:AL194"/>
    <mergeCell ref="AM194:BJ194"/>
    <mergeCell ref="B195:F195"/>
    <mergeCell ref="G195:N195"/>
    <mergeCell ref="P195:AD195"/>
    <mergeCell ref="AE195:AL195"/>
    <mergeCell ref="AM195:BJ195"/>
    <mergeCell ref="B196:F196"/>
    <mergeCell ref="G196:N196"/>
    <mergeCell ref="P196:AD196"/>
    <mergeCell ref="AE196:AL196"/>
    <mergeCell ref="AM196:BJ196"/>
    <mergeCell ref="B165:F165"/>
    <mergeCell ref="G165:N165"/>
    <mergeCell ref="P165:AD165"/>
    <mergeCell ref="AE165:AL165"/>
    <mergeCell ref="AM165:BJ165"/>
    <mergeCell ref="B197:F197"/>
    <mergeCell ref="G197:N197"/>
    <mergeCell ref="P197:AD197"/>
    <mergeCell ref="AE197:AL197"/>
    <mergeCell ref="AM197:BJ197"/>
    <mergeCell ref="B198:F198"/>
    <mergeCell ref="G198:N198"/>
    <mergeCell ref="P198:AD198"/>
    <mergeCell ref="AE198:AL198"/>
    <mergeCell ref="AM198:BJ198"/>
    <mergeCell ref="B201:F201"/>
    <mergeCell ref="G201:N201"/>
    <mergeCell ref="P201:AD201"/>
    <mergeCell ref="AE201:AL201"/>
    <mergeCell ref="AM201:BJ201"/>
    <mergeCell ref="B199:F199"/>
    <mergeCell ref="G199:N199"/>
    <mergeCell ref="P199:AD199"/>
    <mergeCell ref="AE199:AL199"/>
    <mergeCell ref="AM199:BJ199"/>
    <mergeCell ref="B200:F200"/>
    <mergeCell ref="G200:N200"/>
    <mergeCell ref="P200:AD200"/>
    <mergeCell ref="AE200:AL200"/>
    <mergeCell ref="AM200:BJ200"/>
    <mergeCell ref="B193:F193"/>
    <mergeCell ref="G193:N193"/>
  </mergeCells>
  <phoneticPr fontId="8"/>
  <conditionalFormatting sqref="G204:N204 B110:F112 B108:N109 G7:N7 G110:N152 G9:N19 G80:N106 G21:N72 B169:N173 B181:N201">
    <cfRule type="expression" dxfId="65" priority="157">
      <formula>B6=B7</formula>
    </cfRule>
  </conditionalFormatting>
  <conditionalFormatting sqref="O2:AD2">
    <cfRule type="expression" dxfId="64" priority="151">
      <formula>$O$2=""</formula>
    </cfRule>
  </conditionalFormatting>
  <conditionalFormatting sqref="B167:N167">
    <cfRule type="expression" dxfId="63" priority="112">
      <formula>#REF!=B167</formula>
    </cfRule>
  </conditionalFormatting>
  <conditionalFormatting sqref="G203:N203">
    <cfRule type="expression" dxfId="62" priority="117">
      <formula>#REF!=G203</formula>
    </cfRule>
  </conditionalFormatting>
  <conditionalFormatting sqref="G160:N160">
    <cfRule type="expression" dxfId="61" priority="159">
      <formula>#REF!=G160</formula>
    </cfRule>
  </conditionalFormatting>
  <conditionalFormatting sqref="B160:F160">
    <cfRule type="expression" dxfId="60" priority="114">
      <formula>#REF!=B160</formula>
    </cfRule>
  </conditionalFormatting>
  <conditionalFormatting sqref="B204:F204">
    <cfRule type="expression" dxfId="59" priority="106">
      <formula>B203=B204</formula>
    </cfRule>
  </conditionalFormatting>
  <conditionalFormatting sqref="B203:F203">
    <cfRule type="expression" dxfId="58" priority="107">
      <formula>#REF!=B203</formula>
    </cfRule>
  </conditionalFormatting>
  <conditionalFormatting sqref="B206:N206 B119:F152 B10:F19 B81:F106 B22:F72">
    <cfRule type="expression" dxfId="57" priority="160">
      <formula>B8=B10</formula>
    </cfRule>
  </conditionalFormatting>
  <conditionalFormatting sqref="B205:F205">
    <cfRule type="expression" dxfId="56" priority="102">
      <formula>B204=B205</formula>
    </cfRule>
  </conditionalFormatting>
  <conditionalFormatting sqref="G205:N205">
    <cfRule type="expression" dxfId="55" priority="103">
      <formula>G204=G205</formula>
    </cfRule>
  </conditionalFormatting>
  <conditionalFormatting sqref="G161:N161">
    <cfRule type="expression" dxfId="54" priority="100">
      <formula>G160=G161</formula>
    </cfRule>
  </conditionalFormatting>
  <conditionalFormatting sqref="B161:F161">
    <cfRule type="expression" dxfId="53" priority="99">
      <formula>B160=B161</formula>
    </cfRule>
  </conditionalFormatting>
  <conditionalFormatting sqref="G159:N159">
    <cfRule type="expression" dxfId="52" priority="85">
      <formula>G153=G159</formula>
    </cfRule>
  </conditionalFormatting>
  <conditionalFormatting sqref="B159:F159">
    <cfRule type="expression" dxfId="51" priority="84">
      <formula>B153=B159</formula>
    </cfRule>
  </conditionalFormatting>
  <conditionalFormatting sqref="B153:N153">
    <cfRule type="expression" dxfId="50" priority="161">
      <formula>#REF!=B153</formula>
    </cfRule>
  </conditionalFormatting>
  <conditionalFormatting sqref="B113:F113">
    <cfRule type="expression" dxfId="49" priority="77">
      <formula>B111=B113</formula>
    </cfRule>
  </conditionalFormatting>
  <conditionalFormatting sqref="B114:F118">
    <cfRule type="expression" dxfId="48" priority="76">
      <formula>B112=B114</formula>
    </cfRule>
  </conditionalFormatting>
  <conditionalFormatting sqref="B7:F7">
    <cfRule type="expression" dxfId="47" priority="41">
      <formula>B106=B7</formula>
    </cfRule>
  </conditionalFormatting>
  <conditionalFormatting sqref="G162:N162">
    <cfRule type="expression" dxfId="46" priority="39">
      <formula>G161=G162</formula>
    </cfRule>
  </conditionalFormatting>
  <conditionalFormatting sqref="B162:F162">
    <cfRule type="expression" dxfId="45" priority="38">
      <formula>B161=B162</formula>
    </cfRule>
  </conditionalFormatting>
  <conditionalFormatting sqref="G166:N166">
    <cfRule type="expression" dxfId="44" priority="37">
      <formula>G162=G166</formula>
    </cfRule>
  </conditionalFormatting>
  <conditionalFormatting sqref="B166:F166">
    <cfRule type="expression" dxfId="43" priority="36">
      <formula>B162=B166</formula>
    </cfRule>
  </conditionalFormatting>
  <conditionalFormatting sqref="G168:N168">
    <cfRule type="expression" dxfId="42" priority="34">
      <formula>G167=G168</formula>
    </cfRule>
  </conditionalFormatting>
  <conditionalFormatting sqref="B168:F168">
    <cfRule type="expression" dxfId="41" priority="33">
      <formula>B167=B168</formula>
    </cfRule>
  </conditionalFormatting>
  <conditionalFormatting sqref="B6:N6">
    <cfRule type="expression" dxfId="40" priority="30">
      <formula>B3=B6</formula>
    </cfRule>
  </conditionalFormatting>
  <conditionalFormatting sqref="G107:N107">
    <cfRule type="expression" dxfId="39" priority="29">
      <formula>G7=G107</formula>
    </cfRule>
  </conditionalFormatting>
  <conditionalFormatting sqref="B107:F107">
    <cfRule type="expression" dxfId="38" priority="26">
      <formula>B7=B107</formula>
    </cfRule>
  </conditionalFormatting>
  <conditionalFormatting sqref="B20:F21">
    <cfRule type="expression" dxfId="37" priority="164">
      <formula>B18=B20</formula>
    </cfRule>
  </conditionalFormatting>
  <conditionalFormatting sqref="G20:N20">
    <cfRule type="expression" dxfId="36" priority="168">
      <formula>G19=G20</formula>
    </cfRule>
  </conditionalFormatting>
  <conditionalFormatting sqref="B8:F9">
    <cfRule type="expression" dxfId="35" priority="169">
      <formula>B151=B8</formula>
    </cfRule>
  </conditionalFormatting>
  <conditionalFormatting sqref="G8:N8">
    <cfRule type="expression" dxfId="34" priority="170">
      <formula>G152=G8</formula>
    </cfRule>
  </conditionalFormatting>
  <conditionalFormatting sqref="G163:N163">
    <cfRule type="expression" dxfId="33" priority="25">
      <formula>G162=G163</formula>
    </cfRule>
  </conditionalFormatting>
  <conditionalFormatting sqref="B163:F163">
    <cfRule type="expression" dxfId="32" priority="24">
      <formula>B162=B163</formula>
    </cfRule>
  </conditionalFormatting>
  <conditionalFormatting sqref="G164:N164">
    <cfRule type="expression" dxfId="31" priority="23">
      <formula>G163=G164</formula>
    </cfRule>
  </conditionalFormatting>
  <conditionalFormatting sqref="B164:F164">
    <cfRule type="expression" dxfId="30" priority="22">
      <formula>B163=B164</formula>
    </cfRule>
  </conditionalFormatting>
  <conditionalFormatting sqref="G154:N154">
    <cfRule type="expression" dxfId="29" priority="19">
      <formula>G153=G154</formula>
    </cfRule>
  </conditionalFormatting>
  <conditionalFormatting sqref="B154:F154">
    <cfRule type="expression" dxfId="28" priority="18">
      <formula>B153=B154</formula>
    </cfRule>
  </conditionalFormatting>
  <conditionalFormatting sqref="G155:N155">
    <cfRule type="expression" dxfId="27" priority="17">
      <formula>G154=G155</formula>
    </cfRule>
  </conditionalFormatting>
  <conditionalFormatting sqref="B155:F155">
    <cfRule type="expression" dxfId="26" priority="16">
      <formula>B154=B155</formula>
    </cfRule>
  </conditionalFormatting>
  <conditionalFormatting sqref="G156:N156">
    <cfRule type="expression" dxfId="25" priority="15">
      <formula>G155=G156</formula>
    </cfRule>
  </conditionalFormatting>
  <conditionalFormatting sqref="B156:F156">
    <cfRule type="expression" dxfId="24" priority="14">
      <formula>B155=B156</formula>
    </cfRule>
  </conditionalFormatting>
  <conditionalFormatting sqref="G157:N157">
    <cfRule type="expression" dxfId="23" priority="13">
      <formula>G156=G157</formula>
    </cfRule>
  </conditionalFormatting>
  <conditionalFormatting sqref="B157:F157">
    <cfRule type="expression" dxfId="22" priority="12">
      <formula>B156=B157</formula>
    </cfRule>
  </conditionalFormatting>
  <conditionalFormatting sqref="G79:N79 B180:N180">
    <cfRule type="expression" dxfId="21" priority="172">
      <formula>B72=B79</formula>
    </cfRule>
  </conditionalFormatting>
  <conditionalFormatting sqref="B79:F80 B202:N202">
    <cfRule type="expression" dxfId="20" priority="175">
      <formula>B71=B79</formula>
    </cfRule>
  </conditionalFormatting>
  <conditionalFormatting sqref="G73:N78">
    <cfRule type="expression" dxfId="19" priority="8">
      <formula>G72=G73</formula>
    </cfRule>
  </conditionalFormatting>
  <conditionalFormatting sqref="B73:F78">
    <cfRule type="expression" dxfId="18" priority="9">
      <formula>B71=B73</formula>
    </cfRule>
  </conditionalFormatting>
  <conditionalFormatting sqref="G158:N158">
    <cfRule type="expression" dxfId="17" priority="4">
      <formula>G157=G158</formula>
    </cfRule>
  </conditionalFormatting>
  <conditionalFormatting sqref="B158:F158">
    <cfRule type="expression" dxfId="16" priority="3">
      <formula>B157=B158</formula>
    </cfRule>
  </conditionalFormatting>
  <conditionalFormatting sqref="B179:N179">
    <cfRule type="expression" dxfId="15" priority="176">
      <formula>B201=B179</formula>
    </cfRule>
  </conditionalFormatting>
  <conditionalFormatting sqref="B174:N178">
    <cfRule type="expression" dxfId="14" priority="178">
      <formula>B195=B174</formula>
    </cfRule>
  </conditionalFormatting>
  <conditionalFormatting sqref="G165:N165">
    <cfRule type="expression" dxfId="13" priority="2">
      <formula>G164=G165</formula>
    </cfRule>
  </conditionalFormatting>
  <conditionalFormatting sqref="B165:F165">
    <cfRule type="expression" dxfId="12" priority="1">
      <formula>B164=B165</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60:AD160" location="患者ID一覧マスタ!A1" display="患者ID一覧マスタ"/>
    <hyperlink ref="P203:AD203" location="ワーク_疾患データ!A1" display="ワーク_疾患データ"/>
    <hyperlink ref="P204:AD204" location="セレクト_疾患データ_大区分!A1" display="セレクト_疾患データ_大区分"/>
    <hyperlink ref="P205:AD205" location="セレクト_疾患データ_小区分!A1" display="セレクト_疾患データ_小区分"/>
    <hyperlink ref="P161:AD161" location="施設マスタ!A1" display="施設マスタ"/>
    <hyperlink ref="P159:AD159" location="組入れ_対象患者!A1" display="組入れ_対象患者"/>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疾患データ_組み入れ第一条件!A1" display="バックアップ_疾患データ_組み入れ第一条件"/>
    <hyperlink ref="P7:AD7" location="バックアップ_患者マスタ_組入れ第一条件!A1" display="バックアップ_患者マスタ_組入れ第一条件"/>
    <hyperlink ref="P162:AD162" location="患者マスタ!A1" display="患者マスタ"/>
    <hyperlink ref="P166:AD166" location="診療行為マスタ!A1" display="診療行為マスタ"/>
    <hyperlink ref="P168:AD168" location="ベース_診療行為データ!A1" display="ベース_診療行為データ"/>
    <hyperlink ref="P169:AD169" location="ベース_入院退院データ!A1" display="ベース_入院退院データ"/>
    <hyperlink ref="P170:AD170" location="ベース_患者基本データ!A1" display="ベース_患者基本データ"/>
    <hyperlink ref="P171:AD171" location="ベース_MML共通!A1" display="ベース_MML共通"/>
    <hyperlink ref="P172:AD172" location="ベース_MML_診断履歴情報モジュール_本文!A1" display="ベース_MML_診断履歴情報モジュール_本文"/>
    <hyperlink ref="P173:AD173" location="ベース_MML_診断履歴情報モジュール_病名!A1" display="ベース_MML_診断履歴情報モジュール_病名"/>
    <hyperlink ref="P180:AD180" location="ベース_MML_処方箋モジュール_本文!A1" display="ベース_MML_処方箋モジュール_本文"/>
    <hyperlink ref="P181:AD181" location="ベース_MML_処方箋モジュール_投薬!A1" display="ベース_MML_処方箋モジュール_投薬"/>
    <hyperlink ref="P182:AD182" location="ベース_MML_処方箋モジュール_薬剤!A1" display="ベース_MML_処方箋モジュール_薬剤"/>
    <hyperlink ref="P183:AD183" location="ベース_DPC調査データ_入院EF統合ファイル!A1" display="ベース_DPC調査データ_入院EF統合ファイル"/>
    <hyperlink ref="P188:AD188" location="ベース_診断履歴情報モジュール_診断履歴情報レコード!A1" display="ベース_診断履歴情報モジュール_診断履歴情報レコード"/>
    <hyperlink ref="P189:AD189" location="ベース_診断履歴情報モジュール_診断病名レコード!A1" display="ベース_診断履歴情報モジュール_診断病名レコード"/>
    <hyperlink ref="P190:AD190" location="ベース_経過記録情報モジュール_経過記録情報レコード!A1" display="ベース_経過記録情報モジュール_経過記録情報レコード"/>
    <hyperlink ref="P184:AD184" location="ベース_DPC調査データ_外来EF統合ファイル!A1" display="ベース_DPC調査データ_外来EF統合ファイル"/>
    <hyperlink ref="P185:AD185" location="ベース_DPC調査データ_様式1!A1" display="ベース_DPC調査データ_様式1"/>
    <hyperlink ref="P186:AD186" location="ベース_DPC調査データ_様式1_診断情報_併存症!A1" display="ベース_DPC調査データ_様式1_診断情報_併存症"/>
    <hyperlink ref="P187:AD187" location="ベース_DPC調査データ_様式1_診断情報_続発症!A1" display="ベース_DPC調査データ_様式1_診断情報_続発症"/>
    <hyperlink ref="P191:AD191" location="ベース_経過記録情報モジュール_プロブレムレコード!A1" display="ベース_経過記録情報モジュール_プロブレムレコード"/>
    <hyperlink ref="P192:AD192" location="ベース_経過記録情報モジュール_身体所見レコード!A1" display="ベース_経過記録情報モジュール_身体所見レコード"/>
    <hyperlink ref="P193:AD193" location="ベース_経過記録情報モジュール_アセスメントレコード!A1" display="ベース_経過記録情報モジュール_アセスメントレコード"/>
    <hyperlink ref="P194:AD194" location="ベース_経過記録情報モジュール_外部参照レコード!A1" display="ベース_経過記録情報モジュール_外部参照レコード"/>
    <hyperlink ref="P195:AD195" location="ベース_臨床サマリーモジュール_臨床サマリー情報レコード!A1" display="ベース_臨床サマリーモジュール_臨床サマリー情報レコード"/>
    <hyperlink ref="P196:AD196" location="ベース_臨床サマリーモジュール_外来受診レコード!A1" display="ベース_臨床サマリーモジュール_外来受診レコード"/>
    <hyperlink ref="P197:AD197" location="ベース_臨床サマリーモジュール_入院レコード!A1" display="ベース_臨床サマリーモジュール_入院レコード"/>
    <hyperlink ref="P198:AD198" location="ベース_臨床サマリーモジュール_経過記録レコード!A1" display="ベース_臨床サマリーモジュール_経過記録レコード"/>
    <hyperlink ref="P199:AD199" location="ベース_臨床サマリーモジュール_検査結果レコード!A1" display="ベース_臨床サマリーモジュール_検査結果レコード"/>
    <hyperlink ref="P200:AD200" location="ベース_検歴情報モジュール_検歴情報!A1" display="ベース_検歴情報モジュール_検歴情報"/>
    <hyperlink ref="P201:AD201" location="ベース_検歴情報モジュール_検歴検体材料!A1" display="ベース_検歴情報モジュール_検歴検体材料"/>
    <hyperlink ref="P163:AD163" location="疾患マスタ!A1" display="疾患マスタ"/>
    <hyperlink ref="P164:AD164" location="薬剤マスタ!A1" display="薬剤マスタ"/>
    <hyperlink ref="P154:AD154" location="組入れ_対象疾患!A1" display="組入れ_対象疾患"/>
    <hyperlink ref="P155:AD155" location="組入れ_対象診療行為!A1" display="組入れ_対象診療行為"/>
    <hyperlink ref="P156:AD156" location="組入れ_検体検査マスタ!A1" display="組入れ_検体検査マスタ"/>
    <hyperlink ref="P157:AD157" location="組入れ_対象検体検査!A1" display="組入れ_対象検体検査"/>
    <hyperlink ref="P153:AD153" location="組入れ_対象施設!A1" display="組入れ_対象施設"/>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202:AD202" location="ベース_検歴情報モジュール_検歴項目情報!A1" display="ベース_検歴情報モジュール_検歴項目情報"/>
    <hyperlink ref="P174:AD174" location="ベース_MML_検歴情報モジュール_本文!A1" display="ベース_MML_検歴情報モジュール_本文"/>
    <hyperlink ref="P175:AD175" location="ベース_MML_検歴情報モジュール_報告コメント!A1" display="ベース_MML_検歴情報モジュール_報告コメント"/>
    <hyperlink ref="P176:AD176" location="ベース_MML_検歴情報モジュール_検体検査結果情報!A1" display="ベース_MML_検歴情報モジュール_検体検査結果情報"/>
    <hyperlink ref="P177:AD177" location="ベース_MML_検歴情報モジュール_検体コメント!A1" display="ベース_MML_検歴情報モジュール_検体コメント"/>
    <hyperlink ref="P178:AD178" location="ベース_MML_検歴情報モジュール_検査項目!A1" display="ベース_MML_検歴情報モジュール_検査項目"/>
    <hyperlink ref="P179:AD179" location="ベース_MML_検歴情報モジュール_検査項目コメント!A1" display="ベース_MML_検歴情報モジュール_検査項目コメント"/>
    <hyperlink ref="P158:AD158" location="組入れ_対象検体検査_対象患者!A1" display="組入れ_対象検体検査_対象患者"/>
    <hyperlink ref="P167:AD167" location="ベース_処方データ!A1" display="ベース_処方データ"/>
    <hyperlink ref="P165:AD165" location="検体検査マスタ!A1" display="検体検査マスタ"/>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6:F206"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ENT_01_01</v>
      </c>
      <c r="E6" s="234"/>
      <c r="F6" s="234"/>
      <c r="G6" s="234"/>
      <c r="H6" s="234"/>
      <c r="I6" s="234"/>
      <c r="J6" s="235"/>
    </row>
    <row r="7" spans="1:45">
      <c r="B7" s="223" t="s">
        <v>115</v>
      </c>
      <c r="C7" s="224"/>
      <c r="D7" s="225" t="s">
        <v>3792</v>
      </c>
      <c r="E7" s="226"/>
      <c r="F7" s="226"/>
      <c r="G7" s="226"/>
      <c r="H7" s="226"/>
      <c r="I7" s="226"/>
      <c r="J7" s="227"/>
    </row>
    <row r="8" spans="1:45">
      <c r="B8" s="223" t="s">
        <v>116</v>
      </c>
      <c r="C8" s="224"/>
      <c r="D8" s="225" t="str">
        <f>エンティティ一覧!AE2&amp;"_"&amp;D5&amp;"_shikkan_first_criteria"</f>
        <v>sny_202310_backup_shikkan_first_criteria</v>
      </c>
      <c r="E8" s="226"/>
      <c r="F8" s="226"/>
      <c r="G8" s="226"/>
      <c r="H8" s="226"/>
      <c r="I8" s="226"/>
      <c r="J8" s="227"/>
    </row>
    <row r="9" spans="1:45" ht="19.5" customHeight="1" thickBot="1">
      <c r="B9" s="228" t="s">
        <v>117</v>
      </c>
      <c r="C9" s="229"/>
      <c r="D9" s="230" t="s">
        <v>3793</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milscm_2023_009.sny_202310_backup_shikkan_first_criteria;</v>
      </c>
      <c r="O10" s="76"/>
      <c r="P10" s="76"/>
      <c r="Q10" s="76"/>
      <c r="R10" s="76"/>
      <c r="S10" s="76"/>
      <c r="T10" s="76"/>
      <c r="AJ10" s="76" t="str">
        <f>"ALTER TABLE ONLY "&amp;エンティティ一覧!$O$2&amp;"."&amp;D$8</f>
        <v>ALTER TABLE ONLY milscm_2023_009.sny_202310_backup_shikkan_first_criteria</v>
      </c>
      <c r="AS10" s="76" t="str">
        <f>"ALTER TABLE "&amp;エンティティ一覧!$O$2&amp;"."&amp;D$8&amp;" OWNER TO pgmisgrp1;"</f>
        <v>ALTER TABLE milscm_2023_009.sny_202310_backup_shikkan_first_criteria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milscm_2023_009.sny_202310_backup_shikkan_first_criteria</v>
      </c>
      <c r="O11" s="76"/>
      <c r="P11" s="76"/>
      <c r="Q11" s="76"/>
      <c r="R11" s="76"/>
      <c r="S11" s="76"/>
      <c r="T11" s="76"/>
      <c r="AJ11" s="76" t="str">
        <f>"ADD CONSTRAINT "&amp;D$8&amp;"_pkey PRIMARY KEY"</f>
        <v>ADD CONSTRAINT sny_202310_backup_shikkan_first_criteria_pkey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milscm_2023_009.sny_202310_backup_shikkan_first_criteria IS 'バックアップ_疾患データ_組み入れ第一条件';</v>
      </c>
    </row>
    <row r="13" spans="1:45" s="25" customFormat="1">
      <c r="A13" s="4"/>
      <c r="B13" s="21">
        <f>ROW()-12</f>
        <v>1</v>
      </c>
      <c r="C13" s="6" t="s">
        <v>137</v>
      </c>
      <c r="D13" s="6" t="s">
        <v>128</v>
      </c>
      <c r="E13" s="8" t="s">
        <v>127</v>
      </c>
      <c r="F13" s="8" t="s">
        <v>865</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milscm_2023_009.sny_202310_backup_shikkan_first_criteria.facility_id IS '施設ID';</v>
      </c>
    </row>
    <row r="14" spans="1:45" s="25" customFormat="1">
      <c r="A14" s="4"/>
      <c r="B14" s="21">
        <f t="shared" ref="B14:B15" si="2">ROW()-12</f>
        <v>2</v>
      </c>
      <c r="C14" s="6" t="s">
        <v>1249</v>
      </c>
      <c r="D14" s="6" t="s">
        <v>1250</v>
      </c>
      <c r="E14" s="8" t="s">
        <v>127</v>
      </c>
      <c r="F14" s="7" t="s">
        <v>865</v>
      </c>
      <c r="G14" s="7" t="str">
        <f t="shared" ref="G14:G15" si="3">IF(F14="フラグ","boolean",IF(F14="文字列","text",IF(F14="整数","integer",IF(F14="実数","numeric",""))))</f>
        <v>text</v>
      </c>
      <c r="H14" s="26"/>
      <c r="I14" s="10" t="s">
        <v>127</v>
      </c>
      <c r="J14" s="11"/>
      <c r="M14" s="4"/>
      <c r="N14" s="76"/>
      <c r="O14" s="76"/>
      <c r="P14" s="76" t="str">
        <f t="shared" ref="P14:P16" si="4">IF(B14&lt;&gt;1,","&amp;D14,D14)</f>
        <v>,master_id</v>
      </c>
      <c r="Q14" s="76" t="str">
        <f t="shared" si="0"/>
        <v>TEXT</v>
      </c>
      <c r="R14" s="76" t="str">
        <f t="shared" si="1"/>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milscm_2023_009.sny_202310_backup_shikkan_first_criteria.master_id IS '患者ID';</v>
      </c>
    </row>
    <row r="15" spans="1:45" s="25" customFormat="1">
      <c r="A15" s="4"/>
      <c r="B15" s="21">
        <f t="shared" si="2"/>
        <v>3</v>
      </c>
      <c r="C15" s="13" t="s">
        <v>1325</v>
      </c>
      <c r="D15" s="13" t="s">
        <v>1326</v>
      </c>
      <c r="E15" s="7" t="s">
        <v>127</v>
      </c>
      <c r="F15" s="7" t="s">
        <v>865</v>
      </c>
      <c r="G15" s="7" t="str">
        <f t="shared" si="3"/>
        <v>text</v>
      </c>
      <c r="H15" s="58"/>
      <c r="I15" s="23" t="s">
        <v>127</v>
      </c>
      <c r="J15" s="24"/>
      <c r="M15" s="4"/>
      <c r="N15" s="76"/>
      <c r="O15" s="76"/>
      <c r="P15" s="76" t="str">
        <f t="shared" si="4"/>
        <v>,byomei</v>
      </c>
      <c r="Q15" s="76" t="str">
        <f t="shared" si="0"/>
        <v>TEXT</v>
      </c>
      <c r="R15" s="76" t="str">
        <f t="shared" si="1"/>
        <v/>
      </c>
      <c r="S15" s="76" t="str">
        <f t="shared" ref="S15:S16" si="5">IF(I15="○","NOT NULL","")</f>
        <v>NOT NULL</v>
      </c>
      <c r="T15" s="76" t="str">
        <f t="shared" ref="T15:T16" si="6">"--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milscm_2023_009.sny_202310_backup_shikkan_first_criteria.byomei IS '病名';</v>
      </c>
    </row>
    <row r="16" spans="1:45" s="25" customFormat="1" ht="18" thickBot="1">
      <c r="A16" s="4"/>
      <c r="B16" s="27">
        <f>ROW()-12</f>
        <v>4</v>
      </c>
      <c r="C16" s="57" t="s">
        <v>1327</v>
      </c>
      <c r="D16" s="57" t="s">
        <v>1328</v>
      </c>
      <c r="E16" s="56" t="s">
        <v>127</v>
      </c>
      <c r="F16" s="56" t="s">
        <v>865</v>
      </c>
      <c r="G16" s="56" t="s">
        <v>57</v>
      </c>
      <c r="H16" s="59"/>
      <c r="I16" s="60" t="s">
        <v>127</v>
      </c>
      <c r="J16" s="64"/>
      <c r="N16" s="76"/>
      <c r="O16" s="76"/>
      <c r="P16" s="76" t="str">
        <f t="shared" si="4"/>
        <v>,byomei_code</v>
      </c>
      <c r="Q16" s="76" t="str">
        <f t="shared" si="0"/>
        <v>TEXT</v>
      </c>
      <c r="R16" s="76" t="str">
        <f t="shared" si="1"/>
        <v/>
      </c>
      <c r="S16" s="76" t="str">
        <f t="shared" si="5"/>
        <v>NOT NULL</v>
      </c>
      <c r="T16" s="76" t="str">
        <f t="shared" si="6"/>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milscm_2023_009.sny_202310_backup_shikkan_first_criteria.byomei_code IS '病名コード値';</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ENT_01_02</v>
      </c>
      <c r="E6" s="234"/>
      <c r="F6" s="234"/>
      <c r="G6" s="234"/>
      <c r="H6" s="234"/>
      <c r="I6" s="234"/>
      <c r="J6" s="235"/>
    </row>
    <row r="7" spans="1:45">
      <c r="B7" s="223" t="s">
        <v>115</v>
      </c>
      <c r="C7" s="224"/>
      <c r="D7" s="225" t="s">
        <v>3679</v>
      </c>
      <c r="E7" s="226"/>
      <c r="F7" s="226"/>
      <c r="G7" s="226"/>
      <c r="H7" s="226"/>
      <c r="I7" s="226"/>
      <c r="J7" s="227"/>
    </row>
    <row r="8" spans="1:45">
      <c r="B8" s="223" t="s">
        <v>116</v>
      </c>
      <c r="C8" s="224"/>
      <c r="D8" s="225" t="str">
        <f>エンティティ一覧!AE2&amp;"_"&amp;D5&amp;"_kanja_first_criteria"</f>
        <v>sny_202310_backup_kanja_first_criteria</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milscm_2023_009.sny_202310_backup_kanja_first_criteria;</v>
      </c>
      <c r="O10" s="76"/>
      <c r="P10" s="76"/>
      <c r="Q10" s="76"/>
      <c r="R10" s="76"/>
      <c r="S10" s="76"/>
      <c r="T10" s="76"/>
      <c r="AJ10" s="76" t="str">
        <f>"ALTER TABLE ONLY "&amp;エンティティ一覧!$O$2&amp;"."&amp;D$8</f>
        <v>ALTER TABLE ONLY milscm_2023_009.sny_202310_backup_kanja_first_criteria</v>
      </c>
      <c r="AS10" s="76" t="str">
        <f>"ALTER TABLE "&amp;エンティティ一覧!$O$2&amp;"."&amp;D$8&amp;" OWNER TO pgmisgrp1;"</f>
        <v>ALTER TABLE milscm_2023_009.sny_202310_backup_kanja_first_criteria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milscm_2023_009.sny_202310_backup_kanja_first_criteria</v>
      </c>
      <c r="O11" s="76"/>
      <c r="P11" s="76"/>
      <c r="Q11" s="76"/>
      <c r="R11" s="76"/>
      <c r="S11" s="76"/>
      <c r="T11" s="76"/>
      <c r="AJ11" s="76" t="str">
        <f>"ADD CONSTRAINT "&amp;D$8&amp;"_pkey PRIMARY KEY"</f>
        <v>ADD CONSTRAINT sny_202310_backup_kanja_first_criteria_pkey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6"/>
      <c r="O14" s="76"/>
      <c r="P14" s="76" t="str">
        <f t="shared" ref="P14" si="4">IF(B14&lt;&gt;1,","&amp;D14,D14)</f>
        <v>,facility_id_mml</v>
      </c>
      <c r="Q14" s="76" t="str">
        <f t="shared" si="0"/>
        <v>TEXT</v>
      </c>
      <c r="R14" s="76" t="str">
        <f t="shared" si="1"/>
        <v/>
      </c>
      <c r="S14" s="76" t="str">
        <f t="shared" ref="S14" si="5">IF(I14="○","NOT NULL","")</f>
        <v>NOT NULL</v>
      </c>
      <c r="T14" s="76" t="str">
        <f t="shared" ref="T14"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6"/>
      <c r="O15" s="76"/>
      <c r="P15" s="76" t="str">
        <f t="shared" ref="P15:P17" si="9">IF(B15&lt;&gt;1,","&amp;D15,D15)</f>
        <v>,himoduke_id</v>
      </c>
      <c r="Q15" s="76" t="str">
        <f t="shared" si="0"/>
        <v>TEXT</v>
      </c>
      <c r="R15" s="76" t="str">
        <f t="shared" si="1"/>
        <v/>
      </c>
      <c r="S15" s="76" t="str">
        <f t="shared" ref="S15:S17" si="10">IF(I15="○","NOT NULL","")</f>
        <v>NOT NULL</v>
      </c>
      <c r="T15" s="76" t="str">
        <f t="shared" ref="T15:T17" si="11">"-- "&amp;C15</f>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milscm_2023_009.sny_202310_backup_kanja_first_criteria.himoduke_id IS '紐付けID';</v>
      </c>
    </row>
    <row r="16" spans="1:45" s="25" customFormat="1">
      <c r="A16" s="4"/>
      <c r="B16" s="21">
        <f t="shared" si="7"/>
        <v>4</v>
      </c>
      <c r="C16" s="6" t="s">
        <v>1824</v>
      </c>
      <c r="D16" s="6" t="s">
        <v>208</v>
      </c>
      <c r="E16" s="8" t="s">
        <v>127</v>
      </c>
      <c r="F16" s="7" t="s">
        <v>1825</v>
      </c>
      <c r="G16" s="7" t="str">
        <f t="shared" si="8"/>
        <v>text</v>
      </c>
      <c r="H16" s="26"/>
      <c r="I16" s="10" t="s">
        <v>127</v>
      </c>
      <c r="J16" s="11" t="s">
        <v>1828</v>
      </c>
      <c r="M16" s="4"/>
      <c r="N16" s="76"/>
      <c r="O16" s="76"/>
      <c r="P16" s="76" t="str">
        <f t="shared" si="9"/>
        <v>,data_type</v>
      </c>
      <c r="Q16" s="76" t="str">
        <f t="shared" si="0"/>
        <v>TEXT</v>
      </c>
      <c r="R16" s="76" t="str">
        <f t="shared" si="1"/>
        <v/>
      </c>
      <c r="S16" s="76" t="str">
        <f t="shared" si="10"/>
        <v>NOT NULL</v>
      </c>
      <c r="T16" s="76" t="str">
        <f t="shared" si="11"/>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4"/>
      <c r="N17" s="76"/>
      <c r="O17" s="76"/>
      <c r="P17" s="76" t="str">
        <f t="shared" si="9"/>
        <v>,patient_id</v>
      </c>
      <c r="Q17" s="76" t="str">
        <f t="shared" si="0"/>
        <v>TEXT</v>
      </c>
      <c r="R17" s="76" t="str">
        <f t="shared" si="1"/>
        <v/>
      </c>
      <c r="S17" s="76" t="str">
        <f t="shared" si="10"/>
        <v>NOT NULL</v>
      </c>
      <c r="T17" s="76" t="str">
        <f t="shared" si="11"/>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milscm_2023_009.sny_202310_backup_kanja_first_criteria.patient_id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ENT_01_A1-02</v>
      </c>
      <c r="E6" s="234"/>
      <c r="F6" s="234"/>
      <c r="G6" s="234"/>
      <c r="H6" s="234"/>
      <c r="I6" s="234"/>
      <c r="J6" s="235"/>
    </row>
    <row r="7" spans="1:45">
      <c r="B7" s="223" t="s">
        <v>115</v>
      </c>
      <c r="C7" s="224"/>
      <c r="D7" s="225" t="s">
        <v>1739</v>
      </c>
      <c r="E7" s="226"/>
      <c r="F7" s="226"/>
      <c r="G7" s="226"/>
      <c r="H7" s="226"/>
      <c r="I7" s="226"/>
      <c r="J7" s="227"/>
    </row>
    <row r="8" spans="1:45">
      <c r="B8" s="223" t="s">
        <v>116</v>
      </c>
      <c r="C8" s="224"/>
      <c r="D8" s="225" t="str">
        <f>エンティティ一覧!AE2&amp;"_"&amp;D5&amp;"_mart_shohou"</f>
        <v>sny_202310_backup_mart_shohou</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処方データテーブルから組入れ条件の第一条件で絞り込んだ結果を格納するテーブル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milscm_2023_009.sny_202310_backup_mart_shohou;</v>
      </c>
      <c r="O10" s="76"/>
      <c r="P10" s="76"/>
      <c r="Q10" s="76"/>
      <c r="R10" s="76"/>
      <c r="S10" s="76"/>
      <c r="T10" s="76"/>
      <c r="AJ10" s="76" t="str">
        <f>"ALTER TABLE ONLY "&amp;エンティティ一覧!$O$2&amp;"."&amp;D$8</f>
        <v>ALTER TABLE ONLY milscm_2023_009.sny_202310_backup_mart_shohou</v>
      </c>
      <c r="AS10" s="76" t="str">
        <f>"ALTER TABLE "&amp;エンティティ一覧!$O$2&amp;"."&amp;D$8&amp;" OWNER TO pgmisgrp1;"</f>
        <v>ALTER TABLE milscm_2023_009.sny_202310_backup_mart_shohou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milscm_2023_009.sny_202310_backup_mart_shohou</v>
      </c>
      <c r="O11" s="76"/>
      <c r="P11" s="76"/>
      <c r="Q11" s="76"/>
      <c r="R11" s="76"/>
      <c r="S11" s="76"/>
      <c r="T11" s="76"/>
      <c r="AJ11" s="76" t="str">
        <f>"ADD CONSTRAINT "&amp;D$8&amp;"_pkey PRIMARY KEY"</f>
        <v>ADD CONSTRAINT sny_202310_backup_mart_shohou_pkey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milscm_2023_009.sny_202310_backup_mart_shohou IS 'バックアップ_処方データ';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milscm_2023_009.sny_202310_backup_mart_shohou.facility_id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milscm_2023_009.sny_202310_backup_mart_shohou.shinryo_ym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milscm_2023_009.sny_202310_backup_mart_shohou.data_kubun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milscm_2023_009.sny_202310_backup_mart_shohou.receipt_densan_code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t="s">
        <v>1760</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milscm_2023_009.sny_202310_backup_mart_shohou.shiyoryo IS '使用量';</v>
      </c>
    </row>
    <row r="22" spans="1:45" s="25" customFormat="1">
      <c r="A22" s="4"/>
      <c r="B22" s="21">
        <f t="shared" si="2"/>
        <v>10</v>
      </c>
      <c r="C22" s="13" t="s">
        <v>1749</v>
      </c>
      <c r="D22" s="13" t="s">
        <v>276</v>
      </c>
      <c r="E22" s="7"/>
      <c r="F22" s="7" t="s">
        <v>1741</v>
      </c>
      <c r="G22" s="7" t="str">
        <f t="shared" si="3"/>
        <v>text</v>
      </c>
      <c r="H22" s="58"/>
      <c r="I22" s="23"/>
      <c r="J22" s="24" t="s">
        <v>1760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milscm_2023_009.sny_202310_backup_mart_shohou.koi_times IS '行為回数';</v>
      </c>
    </row>
    <row r="27" spans="1:45" s="25" customFormat="1">
      <c r="A27" s="4"/>
      <c r="B27" s="21">
        <f t="shared" si="2"/>
        <v>15</v>
      </c>
      <c r="C27" s="13" t="s">
        <v>1754</v>
      </c>
      <c r="D27" s="13" t="s">
        <v>233</v>
      </c>
      <c r="E27" s="7"/>
      <c r="F27" s="7" t="s">
        <v>1741</v>
      </c>
      <c r="G27" s="7" t="str">
        <f t="shared" si="3"/>
        <v>text</v>
      </c>
      <c r="H27" s="58"/>
      <c r="I27" s="23"/>
      <c r="J27" s="24" t="s">
        <v>1760</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milscm_2023_009.sny_202310_backup_mart_shohou.jisshi_ymd IS '実施年月日';</v>
      </c>
    </row>
    <row r="29" spans="1:45" s="25" customFormat="1">
      <c r="A29" s="4"/>
      <c r="B29" s="21">
        <f t="shared" si="2"/>
        <v>17</v>
      </c>
      <c r="C29" s="13" t="s">
        <v>1756</v>
      </c>
      <c r="D29" s="13" t="s">
        <v>235</v>
      </c>
      <c r="E29" s="7"/>
      <c r="F29" s="7" t="s">
        <v>1741</v>
      </c>
      <c r="G29" s="7" t="str">
        <f t="shared" si="3"/>
        <v>text</v>
      </c>
      <c r="H29" s="58"/>
      <c r="I29" s="23"/>
      <c r="J29" s="24" t="s">
        <v>1760</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milscm_2023_009.sny_202310_backup_mart_shohou.department_kubun IS '診療科区分';</v>
      </c>
    </row>
    <row r="31" spans="1:45" s="25" customFormat="1" ht="34.799999999999997">
      <c r="A31" s="4"/>
      <c r="B31" s="21">
        <f t="shared" si="2"/>
        <v>19</v>
      </c>
      <c r="C31" s="13" t="s">
        <v>1757</v>
      </c>
      <c r="D31" s="13" t="s">
        <v>243</v>
      </c>
      <c r="E31" s="7"/>
      <c r="F31" s="7" t="s">
        <v>1741</v>
      </c>
      <c r="G31" s="7" t="str">
        <f t="shared" si="3"/>
        <v>text</v>
      </c>
      <c r="H31" s="58"/>
      <c r="I31" s="23"/>
      <c r="J31" s="24" t="s">
        <v>1764</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milscm_2023_009.sny_202310_backup_mart_shohou.nyugai_kubun IS '入外区分';</v>
      </c>
    </row>
    <row r="32" spans="1:45" s="25" customFormat="1" ht="18" thickBot="1">
      <c r="A32" s="4"/>
      <c r="B32" s="27">
        <f>ROW()-12</f>
        <v>20</v>
      </c>
      <c r="C32" s="57" t="s">
        <v>1758</v>
      </c>
      <c r="D32" s="57" t="s">
        <v>1759</v>
      </c>
      <c r="E32" s="56" t="s">
        <v>127</v>
      </c>
      <c r="F32" s="56" t="s">
        <v>204</v>
      </c>
      <c r="G32" s="56" t="str">
        <f t="shared" si="3"/>
        <v>integer</v>
      </c>
      <c r="H32" s="59"/>
      <c r="I32" s="60"/>
      <c r="J32" s="64" t="s">
        <v>1765</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milscm_2023_009.sny_202310_backup_mart_shohou.seq_no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ENT_01_A1-03</v>
      </c>
      <c r="E6" s="234"/>
      <c r="F6" s="234"/>
      <c r="G6" s="234"/>
      <c r="H6" s="234"/>
      <c r="I6" s="234"/>
      <c r="J6" s="235"/>
    </row>
    <row r="7" spans="1:45">
      <c r="B7" s="223" t="s">
        <v>115</v>
      </c>
      <c r="C7" s="224"/>
      <c r="D7" s="225" t="s">
        <v>1766</v>
      </c>
      <c r="E7" s="226"/>
      <c r="F7" s="226"/>
      <c r="G7" s="226"/>
      <c r="H7" s="226"/>
      <c r="I7" s="226"/>
      <c r="J7" s="227"/>
    </row>
    <row r="8" spans="1:45">
      <c r="B8" s="223" t="s">
        <v>116</v>
      </c>
      <c r="C8" s="224"/>
      <c r="D8" s="225" t="str">
        <f>エンティティ一覧!AE2&amp;"_"&amp;D5&amp;"_mart_shinryou_koui"</f>
        <v>sny_202310_backup_mart_shinryou_koui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診療行為データテーブルから組入れ条件の第一条件で絞り込んだ結果を格納するテーブル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milscm_2023_009.sny_202310_backup_mart_shinryou_koui;</v>
      </c>
      <c r="O10" s="76"/>
      <c r="P10" s="76"/>
      <c r="Q10" s="76"/>
      <c r="R10" s="76"/>
      <c r="S10" s="76"/>
      <c r="T10" s="76"/>
      <c r="AJ10" s="76" t="str">
        <f>"ALTER TABLE ONLY "&amp;エンティティ一覧!$O$2&amp;"."&amp;D$8</f>
        <v>ALTER TABLE ONLY milscm_2023_009.sny_202310_backup_mart_shinryou_koui</v>
      </c>
      <c r="AS10" s="76" t="str">
        <f>"ALTER TABLE "&amp;エンティティ一覧!$O$2&amp;"."&amp;D$8&amp;" OWNER TO pgmisgrp1;"</f>
        <v>ALTER TABLE milscm_2023_009.sny_202310_backup_mart_shinryou_koui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milscm_2023_009.sny_202310_backup_mart_shinryou_koui</v>
      </c>
      <c r="O11" s="76"/>
      <c r="P11" s="76"/>
      <c r="Q11" s="76"/>
      <c r="R11" s="76"/>
      <c r="S11" s="76"/>
      <c r="T11" s="76"/>
      <c r="AJ11" s="76" t="str">
        <f>"ADD CONSTRAINT "&amp;D$8&amp;"_pkey PRIMARY KEY"</f>
        <v>ADD CONSTRAINT sny_202310_backup_mart_shinryou_koui_pkey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milscm_2023_009.sny_202310_backup_mart_shinryou_koui IS 'バックアップ_診療行為データ';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milscm_2023_009.sny_202310_backup_mart_shinryou_koui.facility_id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milscm_2023_009.sny_202310_backup_mart_shinryou_koui.shinryo_ym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milscm_2023_009.sny_202310_backup_mart_shinryou_koui.data_kubun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milscm_2023_009.sny_202310_backup_mart_shinryou_koui.receipt_densan_code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milscm_2023_009.sny_202310_backup_mart_shinryou_koui.shiyoryo IS '使用量';</v>
      </c>
    </row>
    <row r="22" spans="1:45" s="25" customFormat="1">
      <c r="A22" s="4"/>
      <c r="B22" s="21">
        <f t="shared" si="2"/>
        <v>10</v>
      </c>
      <c r="C22" s="13" t="s">
        <v>1749</v>
      </c>
      <c r="D22" s="13" t="s">
        <v>276</v>
      </c>
      <c r="E22" s="7"/>
      <c r="F22" s="7" t="s">
        <v>1741</v>
      </c>
      <c r="G22" s="7" t="str">
        <f t="shared" si="3"/>
        <v>text</v>
      </c>
      <c r="H22" s="58"/>
      <c r="I22" s="23"/>
      <c r="J22" s="24" t="s">
        <v>1772</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milscm_2023_009.sny_202310_backup_mart_shinryou_koui.ten_kubun IS '円・点区分';</v>
      </c>
    </row>
    <row r="25" spans="1:45" s="25" customFormat="1">
      <c r="A25" s="4"/>
      <c r="B25" s="21">
        <f t="shared" si="2"/>
        <v>13</v>
      </c>
      <c r="C25" s="13" t="s">
        <v>1767</v>
      </c>
      <c r="D25" s="13" t="s">
        <v>280</v>
      </c>
      <c r="E25" s="7"/>
      <c r="F25" s="7" t="s">
        <v>1748</v>
      </c>
      <c r="G25" s="7" t="str">
        <f t="shared" si="3"/>
        <v>numeric</v>
      </c>
      <c r="H25" s="58"/>
      <c r="I25" s="23"/>
      <c r="J25" s="24" t="s">
        <v>1772</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milscm_2023_009.sny_202310_backup_mart_shinryou_koui.koi_meisai_kubun IS '行為明細区分情報';</v>
      </c>
    </row>
    <row r="27" spans="1:45" s="25" customFormat="1" ht="34.799999999999997">
      <c r="A27" s="4"/>
      <c r="B27" s="21">
        <f t="shared" si="2"/>
        <v>15</v>
      </c>
      <c r="C27" s="13" t="s">
        <v>1768</v>
      </c>
      <c r="D27" s="13" t="s">
        <v>224</v>
      </c>
      <c r="E27" s="7"/>
      <c r="F27" s="7" t="s">
        <v>1748</v>
      </c>
      <c r="G27" s="7" t="str">
        <f t="shared" si="3"/>
        <v>numeric</v>
      </c>
      <c r="H27" s="58"/>
      <c r="I27" s="23"/>
      <c r="J27" s="24" t="s">
        <v>1774</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milscm_2023_009.sny_202310_backup_mart_shinryou_koui.koi_tensu IS '行為点数';</v>
      </c>
    </row>
    <row r="28" spans="1:45" s="25" customFormat="1">
      <c r="A28" s="4"/>
      <c r="B28" s="21">
        <f t="shared" si="2"/>
        <v>16</v>
      </c>
      <c r="C28" s="13" t="s">
        <v>1769</v>
      </c>
      <c r="D28" s="13" t="s">
        <v>227</v>
      </c>
      <c r="E28" s="7"/>
      <c r="F28" s="7" t="s">
        <v>1748</v>
      </c>
      <c r="G28" s="7" t="str">
        <f t="shared" si="3"/>
        <v>numeric</v>
      </c>
      <c r="H28" s="58"/>
      <c r="I28" s="23"/>
      <c r="J28" s="24" t="s">
        <v>1772</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milscm_2023_009.sny_202310_backup_mart_shinryou_koui.koi_yakuzai IS '行為薬剤料';</v>
      </c>
    </row>
    <row r="29" spans="1:45" s="25" customFormat="1">
      <c r="A29" s="4"/>
      <c r="B29" s="21">
        <f t="shared" si="2"/>
        <v>17</v>
      </c>
      <c r="C29" s="13" t="s">
        <v>1770</v>
      </c>
      <c r="D29" s="13" t="s">
        <v>229</v>
      </c>
      <c r="E29" s="7"/>
      <c r="F29" s="7" t="s">
        <v>1748</v>
      </c>
      <c r="G29" s="7" t="str">
        <f t="shared" si="3"/>
        <v>numeric</v>
      </c>
      <c r="H29" s="58"/>
      <c r="I29" s="23"/>
      <c r="J29" s="24" t="s">
        <v>1772</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milscm_2023_009.sny_202310_backup_mart_shinryou_koui.koi_times IS '行為回数';</v>
      </c>
    </row>
    <row r="31" spans="1:45" s="25" customFormat="1">
      <c r="A31" s="4"/>
      <c r="B31" s="21">
        <f t="shared" si="2"/>
        <v>19</v>
      </c>
      <c r="C31" s="13" t="s">
        <v>1754</v>
      </c>
      <c r="D31" s="13" t="s">
        <v>233</v>
      </c>
      <c r="E31" s="7"/>
      <c r="F31" s="7" t="s">
        <v>1741</v>
      </c>
      <c r="G31" s="7" t="str">
        <f t="shared" ref="G31:G34" si="7">IF(F31="フラグ","boolean",IF(F31="文字列","text",IF(F31="整数","integer",IF(F31="実数","numeric",""))))</f>
        <v>text</v>
      </c>
      <c r="H31" s="58"/>
      <c r="I31" s="23"/>
      <c r="J31" s="24" t="s">
        <v>1772</v>
      </c>
      <c r="M31" s="4"/>
      <c r="N31" s="76"/>
      <c r="O31" s="76"/>
      <c r="P31" s="76" t="str">
        <f t="shared" ref="P31:P34" si="8">IF(B31&lt;&gt;1,","&amp;D31,D31)</f>
        <v>,receipt_type_code</v>
      </c>
      <c r="Q31" s="76" t="str">
        <f t="shared" ref="Q31:Q34" si="9">UPPER(G31)</f>
        <v>TEXT</v>
      </c>
      <c r="R31" s="76" t="str">
        <f t="shared" ref="R31:R34" si="10">IF(H31&lt;&gt;"","default "&amp;IF(G31="text","'"&amp;H31&amp;"'",H31),"")</f>
        <v/>
      </c>
      <c r="S31" s="76" t="str">
        <f t="shared" ref="S31:S34" si="11">IF(I31="○","NOT NULL","")</f>
        <v/>
      </c>
      <c r="T31" s="76" t="str">
        <f t="shared" ref="T31:T34" si="12">"-- "&amp;C31</f>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6"/>
      <c r="O32" s="76"/>
      <c r="P32" s="76" t="str">
        <f t="shared" si="8"/>
        <v>,jisshi_ymd</v>
      </c>
      <c r="Q32" s="76" t="str">
        <f t="shared" si="9"/>
        <v>TEXT</v>
      </c>
      <c r="R32" s="76" t="str">
        <f t="shared" si="10"/>
        <v/>
      </c>
      <c r="S32" s="76" t="str">
        <f t="shared" si="11"/>
        <v>NOT NULL</v>
      </c>
      <c r="T32" s="76" t="str">
        <f t="shared" si="12"/>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milscm_2023_009.sny_202310_backup_mart_shinryou_koui.jisshi_ymd IS '実施年月日';</v>
      </c>
    </row>
    <row r="33" spans="1:52" s="25" customFormat="1">
      <c r="A33" s="4"/>
      <c r="B33" s="21">
        <f t="shared" si="2"/>
        <v>21</v>
      </c>
      <c r="C33" s="13" t="s">
        <v>1756</v>
      </c>
      <c r="D33" s="13" t="s">
        <v>235</v>
      </c>
      <c r="E33" s="7"/>
      <c r="F33" s="7" t="s">
        <v>1741</v>
      </c>
      <c r="G33" s="7" t="str">
        <f t="shared" si="7"/>
        <v>text</v>
      </c>
      <c r="H33" s="58"/>
      <c r="I33" s="23"/>
      <c r="J33" s="24" t="s">
        <v>1772</v>
      </c>
      <c r="M33" s="4"/>
      <c r="N33" s="76"/>
      <c r="O33" s="76"/>
      <c r="P33" s="76" t="str">
        <f t="shared" si="8"/>
        <v>,receipt_ka_kubun</v>
      </c>
      <c r="Q33" s="76" t="str">
        <f t="shared" si="9"/>
        <v>TEXT</v>
      </c>
      <c r="R33" s="76" t="str">
        <f t="shared" si="10"/>
        <v/>
      </c>
      <c r="S33" s="76" t="str">
        <f t="shared" si="11"/>
        <v/>
      </c>
      <c r="T33" s="76" t="str">
        <f t="shared" si="12"/>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6"/>
      <c r="O34" s="76"/>
      <c r="P34" s="76" t="str">
        <f t="shared" si="8"/>
        <v>,department_kubun</v>
      </c>
      <c r="Q34" s="76" t="str">
        <f t="shared" si="9"/>
        <v>TEXT</v>
      </c>
      <c r="R34" s="76" t="str">
        <f t="shared" si="10"/>
        <v/>
      </c>
      <c r="S34" s="76" t="str">
        <f t="shared" si="11"/>
        <v/>
      </c>
      <c r="T34" s="76" t="str">
        <f t="shared" si="12"/>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milscm_2023_009.sny_202310_backup_mart_shinryou_koui.department_kubun IS '診療科区分';</v>
      </c>
    </row>
    <row r="35" spans="1:52" s="25" customFormat="1" ht="34.799999999999997">
      <c r="A35" s="4"/>
      <c r="B35" s="21">
        <f t="shared" si="2"/>
        <v>23</v>
      </c>
      <c r="C35" s="13" t="s">
        <v>1757</v>
      </c>
      <c r="D35" s="13" t="s">
        <v>243</v>
      </c>
      <c r="E35" s="7"/>
      <c r="F35" s="7" t="s">
        <v>1741</v>
      </c>
      <c r="G35" s="7" t="str">
        <f t="shared" si="3"/>
        <v>text</v>
      </c>
      <c r="H35" s="58"/>
      <c r="I35" s="23"/>
      <c r="J35" s="24" t="s">
        <v>1764</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milscm_2023_009.sny_202310_backup_mart_shinryou_koui.nyugai_kubun IS '入外区分';</v>
      </c>
    </row>
    <row r="36" spans="1:52" s="25" customFormat="1" ht="18" thickBot="1">
      <c r="A36" s="4"/>
      <c r="B36" s="27">
        <f>ROW()-12</f>
        <v>24</v>
      </c>
      <c r="C36" s="57" t="s">
        <v>1758</v>
      </c>
      <c r="D36" s="57" t="s">
        <v>1759</v>
      </c>
      <c r="E36" s="56" t="s">
        <v>127</v>
      </c>
      <c r="F36" s="56" t="s">
        <v>204</v>
      </c>
      <c r="G36" s="56" t="str">
        <f t="shared" si="3"/>
        <v>integer</v>
      </c>
      <c r="H36" s="59"/>
      <c r="I36" s="60"/>
      <c r="J36" s="64" t="s">
        <v>1765</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milscm_2023_009.sny_202310_backup_mart_shinryou_koui.seq_no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ENT_01_A1-04</v>
      </c>
      <c r="E6" s="234"/>
      <c r="F6" s="234"/>
      <c r="G6" s="234"/>
      <c r="H6" s="234"/>
      <c r="I6" s="234"/>
      <c r="J6" s="235"/>
    </row>
    <row r="7" spans="1:45">
      <c r="B7" s="223" t="s">
        <v>115</v>
      </c>
      <c r="C7" s="224"/>
      <c r="D7" s="225" t="s">
        <v>1775</v>
      </c>
      <c r="E7" s="226"/>
      <c r="F7" s="226"/>
      <c r="G7" s="226"/>
      <c r="H7" s="226"/>
      <c r="I7" s="226"/>
      <c r="J7" s="227"/>
    </row>
    <row r="8" spans="1:45">
      <c r="B8" s="223" t="s">
        <v>116</v>
      </c>
      <c r="C8" s="224"/>
      <c r="D8" s="225" t="str">
        <f>エンティティ一覧!AE2&amp;"_"&amp;D5&amp;"_mart_shikkan"</f>
        <v>sny_202310_backup_mart_shikkan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疾患データテーブルから組入れ条件の第一条件で絞り込んだ結果を格納するテーブル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milscm_2023_009.sny_202310_backup_mart_shikkan;</v>
      </c>
      <c r="O10" s="76"/>
      <c r="P10" s="76"/>
      <c r="Q10" s="76"/>
      <c r="R10" s="76"/>
      <c r="S10" s="76"/>
      <c r="T10" s="76"/>
      <c r="AJ10" s="76" t="str">
        <f>"ALTER TABLE ONLY "&amp;エンティティ一覧!$O$2&amp;"."&amp;D$8</f>
        <v>ALTER TABLE ONLY milscm_2023_009.sny_202310_backup_mart_shikkan</v>
      </c>
      <c r="AS10" s="76" t="str">
        <f>"ALTER TABLE "&amp;エンティティ一覧!$O$2&amp;"."&amp;D$8&amp;" OWNER TO pgmisgrp1;"</f>
        <v>ALTER TABLE milscm_2023_009.sny_202310_backup_mart_shikkan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milscm_2023_009.sny_202310_backup_mart_shikkan</v>
      </c>
      <c r="O11" s="76"/>
      <c r="P11" s="76"/>
      <c r="Q11" s="76"/>
      <c r="R11" s="76"/>
      <c r="S11" s="76"/>
      <c r="T11" s="76"/>
      <c r="AJ11" s="76" t="str">
        <f>"ADD CONSTRAINT "&amp;D$8&amp;"_pkey PRIMARY KEY"</f>
        <v>ADD CONSTRAINT sny_202310_backup_mart_shikkan_pkey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 IS 'バックアップ_疾患データ';</v>
      </c>
    </row>
    <row r="13" spans="1:45" s="25" customFormat="1">
      <c r="A13" s="4"/>
      <c r="B13" s="21">
        <f>ROW()-12</f>
        <v>1</v>
      </c>
      <c r="C13" s="6" t="s">
        <v>1776</v>
      </c>
      <c r="D13" s="6" t="s">
        <v>200</v>
      </c>
      <c r="E13" s="8"/>
      <c r="F13" s="8" t="s">
        <v>1741</v>
      </c>
      <c r="G13" s="7" t="str">
        <f>IF(F13="フラグ","boolean",IF(F13="文字列","text",IF(F13="整数","integer",IF(F13="実数","numeric",""))))</f>
        <v>text</v>
      </c>
      <c r="H13" s="9"/>
      <c r="I13" s="10" t="s">
        <v>127</v>
      </c>
      <c r="J13" s="11" t="s">
        <v>1788</v>
      </c>
      <c r="M13" s="4"/>
      <c r="N13" s="76"/>
      <c r="O13" s="76"/>
      <c r="P13" s="76" t="str">
        <f>IF(B13&lt;&gt;1,","&amp;D13,D13)</f>
        <v>torikomi_ym</v>
      </c>
      <c r="Q13" s="76" t="str">
        <f t="shared" ref="Q13:Q59" si="0">UPPER(G13)</f>
        <v>TEXT</v>
      </c>
      <c r="R13" s="76" t="str">
        <f t="shared" ref="R13:R5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6"/>
      <c r="O14" s="76"/>
      <c r="P14" s="76" t="str">
        <f t="shared" ref="P14:P59"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6"/>
      <c r="O15" s="76"/>
      <c r="P15" s="76" t="str">
        <f t="shared" si="4"/>
        <v>,seikyu_ym</v>
      </c>
      <c r="Q15" s="76" t="str">
        <f t="shared" si="0"/>
        <v>TEXT</v>
      </c>
      <c r="R15" s="76" t="str">
        <f t="shared" si="1"/>
        <v/>
      </c>
      <c r="S15" s="76" t="str">
        <f t="shared" ref="S15:S59" si="5">IF(I15="○","NOT NULL","")</f>
        <v>NOT NULL</v>
      </c>
      <c r="T15" s="76" t="str">
        <f t="shared" ref="T15:T59" si="6">"-- "&amp;C15</f>
        <v>-- 請求年月</v>
      </c>
      <c r="U15" s="4"/>
      <c r="AA15" s="4"/>
      <c r="AB15" s="4"/>
      <c r="AC15" s="4"/>
      <c r="AD15" s="4"/>
      <c r="AE15" s="4"/>
      <c r="AF15" s="4"/>
      <c r="AG15" s="4"/>
      <c r="AH15" s="4"/>
      <c r="AI15" s="4"/>
      <c r="AJ15" s="76" t="str">
        <f>IF(E15="○",IF(COUNTA(E$13:E15)=1,"",",")&amp;D15,"")</f>
        <v>,seikyu_ym</v>
      </c>
      <c r="AK15" s="4"/>
      <c r="AL15" s="4"/>
      <c r="AM15" s="4"/>
      <c r="AN15" s="4"/>
      <c r="AO15" s="4"/>
      <c r="AP15" s="4"/>
      <c r="AQ15" s="4"/>
      <c r="AR15" s="4"/>
      <c r="AS15" s="76" t="str">
        <f>"COMMENT ON COLUMN "&amp;エンティティ一覧!$O$2&amp;"."&amp;D$8&amp;"."&amp;D15&amp;" IS '"&amp;C15&amp;"';"</f>
        <v>COMMENT ON COLUMN milscm_2023_009.sny_202310_backup_mart_shikkan.seikyu_ym IS '請求年月';</v>
      </c>
    </row>
    <row r="16" spans="1:45" s="25" customFormat="1">
      <c r="A16" s="4"/>
      <c r="B16" s="21">
        <f t="shared" si="2"/>
        <v>4</v>
      </c>
      <c r="C16" s="13" t="s">
        <v>1742</v>
      </c>
      <c r="D16" s="13" t="s">
        <v>206</v>
      </c>
      <c r="E16" s="7" t="s">
        <v>127</v>
      </c>
      <c r="F16" s="7" t="s">
        <v>1741</v>
      </c>
      <c r="G16" s="7" t="str">
        <f t="shared" si="3"/>
        <v>text</v>
      </c>
      <c r="H16" s="58"/>
      <c r="I16" s="23" t="s">
        <v>127</v>
      </c>
      <c r="J16" s="24" t="s">
        <v>1791</v>
      </c>
      <c r="M16" s="4"/>
      <c r="N16" s="76"/>
      <c r="O16" s="76"/>
      <c r="P16" s="76" t="str">
        <f t="shared" si="4"/>
        <v>,shinryo_ym</v>
      </c>
      <c r="Q16" s="76" t="str">
        <f t="shared" si="0"/>
        <v>TEXT</v>
      </c>
      <c r="R16" s="76" t="str">
        <f t="shared" si="1"/>
        <v/>
      </c>
      <c r="S16" s="76" t="str">
        <f t="shared" si="5"/>
        <v>NOT NULL</v>
      </c>
      <c r="T16" s="76" t="str">
        <f t="shared" si="6"/>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milscm_2023_009.sny_202310_backup_mart_shikkan.shinryo_ym IS '診療年月';</v>
      </c>
    </row>
    <row r="17" spans="1:45" s="25" customFormat="1">
      <c r="A17" s="4"/>
      <c r="B17" s="21">
        <f t="shared" si="2"/>
        <v>5</v>
      </c>
      <c r="C17" s="13" t="s">
        <v>319</v>
      </c>
      <c r="D17" s="13" t="s">
        <v>208</v>
      </c>
      <c r="E17" s="7"/>
      <c r="F17" s="7" t="s">
        <v>1741</v>
      </c>
      <c r="G17" s="7" t="str">
        <f t="shared" ref="G17:G40" si="7">IF(F17="フラグ","boolean",IF(F17="文字列","text",IF(F17="整数","integer",IF(F17="実数","numeric",""))))</f>
        <v>text</v>
      </c>
      <c r="H17" s="58" t="s">
        <v>936</v>
      </c>
      <c r="I17" s="23" t="s">
        <v>127</v>
      </c>
      <c r="J17" s="24" t="s">
        <v>1792</v>
      </c>
      <c r="M17" s="4"/>
      <c r="N17" s="76"/>
      <c r="O17" s="76"/>
      <c r="P17" s="76" t="str">
        <f t="shared" ref="P17:P40" si="8">IF(B17&lt;&gt;1,","&amp;D17,D17)</f>
        <v>,data_type</v>
      </c>
      <c r="Q17" s="76" t="str">
        <f t="shared" ref="Q17:Q40" si="9">UPPER(G17)</f>
        <v>TEXT</v>
      </c>
      <c r="R17" s="76" t="str">
        <f t="shared" ref="R17:R40" si="10">IF(H17&lt;&gt;"","default "&amp;IF(G17="text","'"&amp;H17&amp;"'",H17),"")</f>
        <v>default 'RCP'</v>
      </c>
      <c r="S17" s="76" t="str">
        <f t="shared" ref="S17:S40" si="11">IF(I17="○","NOT NULL","")</f>
        <v>NOT NULL</v>
      </c>
      <c r="T17" s="76" t="str">
        <f t="shared" ref="T17:T40" si="12">"-- "&amp;C17</f>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6"/>
      <c r="O18" s="76"/>
      <c r="P18" s="76" t="str">
        <f t="shared" si="8"/>
        <v>,shinsa_kikan</v>
      </c>
      <c r="Q18" s="76" t="str">
        <f t="shared" si="9"/>
        <v>TEXT</v>
      </c>
      <c r="R18" s="76" t="str">
        <f t="shared" si="10"/>
        <v/>
      </c>
      <c r="S18" s="76" t="str">
        <f t="shared" si="11"/>
        <v>NOT NULL</v>
      </c>
      <c r="T18" s="76" t="str">
        <f t="shared" si="12"/>
        <v>-- 審査支払機関</v>
      </c>
      <c r="U18" s="4"/>
      <c r="AA18" s="4"/>
      <c r="AB18" s="4"/>
      <c r="AC18" s="4"/>
      <c r="AD18" s="4"/>
      <c r="AE18" s="4"/>
      <c r="AF18" s="4"/>
      <c r="AG18" s="4"/>
      <c r="AH18" s="4"/>
      <c r="AI18" s="4"/>
      <c r="AJ18" s="76" t="str">
        <f>IF(E18="○",IF(COUNTA(E$13:E18)=1,"",",")&amp;D18,"")</f>
        <v>,shinsa_kikan</v>
      </c>
      <c r="AK18" s="4"/>
      <c r="AL18" s="4"/>
      <c r="AM18" s="4"/>
      <c r="AN18" s="4"/>
      <c r="AO18" s="4"/>
      <c r="AP18" s="4"/>
      <c r="AQ18" s="4"/>
      <c r="AR18" s="4"/>
      <c r="AS18" s="76" t="str">
        <f>"COMMENT ON COLUMN "&amp;エンティティ一覧!$O$2&amp;"."&amp;D$8&amp;"."&amp;D18&amp;" IS '"&amp;C18&amp;"';"</f>
        <v>COMMENT ON COLUMN milscm_2023_009.sny_202310_backup_mart_shikkan.shinsa_kikan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6"/>
      <c r="O19" s="76"/>
      <c r="P19" s="76" t="str">
        <f t="shared" si="8"/>
        <v>,jyouhoumoto_kubun</v>
      </c>
      <c r="Q19" s="76" t="str">
        <f t="shared" si="9"/>
        <v>TEXT</v>
      </c>
      <c r="R19" s="76" t="str">
        <f t="shared" si="10"/>
        <v/>
      </c>
      <c r="S19" s="76" t="str">
        <f t="shared" si="11"/>
        <v>NOT NULL</v>
      </c>
      <c r="T19" s="76" t="str">
        <f t="shared" si="12"/>
        <v>-- 情報元区分</v>
      </c>
      <c r="U19" s="4"/>
      <c r="AA19" s="4"/>
      <c r="AB19" s="4"/>
      <c r="AC19" s="4"/>
      <c r="AD19" s="4"/>
      <c r="AE19" s="4"/>
      <c r="AF19" s="4"/>
      <c r="AG19" s="4"/>
      <c r="AH19" s="4"/>
      <c r="AI19" s="4"/>
      <c r="AJ19" s="76" t="str">
        <f>IF(E19="○",IF(COUNTA(E$13:E19)=1,"",",")&amp;D19,"")</f>
        <v>,jyouhoumoto_kubun</v>
      </c>
      <c r="AK19" s="4"/>
      <c r="AL19" s="4"/>
      <c r="AM19" s="4"/>
      <c r="AN19" s="4"/>
      <c r="AO19" s="4"/>
      <c r="AP19" s="4"/>
      <c r="AQ19" s="4"/>
      <c r="AR19" s="4"/>
      <c r="AS19" s="76" t="str">
        <f>"COMMENT ON COLUMN "&amp;エンティティ一覧!$O$2&amp;"."&amp;D$8&amp;"."&amp;D19&amp;" IS '"&amp;C19&amp;"';"</f>
        <v>COMMENT ON COLUMN milscm_2023_009.sny_202310_backup_mart_shikkan.jyouhoumoto_kubun IS '情報元区分';</v>
      </c>
    </row>
    <row r="20" spans="1:45" s="25" customFormat="1">
      <c r="A20" s="4"/>
      <c r="B20" s="21">
        <f t="shared" si="2"/>
        <v>8</v>
      </c>
      <c r="C20" s="13" t="s">
        <v>1780</v>
      </c>
      <c r="D20" s="13" t="s">
        <v>915</v>
      </c>
      <c r="E20" s="7" t="s">
        <v>127</v>
      </c>
      <c r="F20" s="7" t="s">
        <v>204</v>
      </c>
      <c r="G20" s="7" t="str">
        <f t="shared" si="7"/>
        <v>integer</v>
      </c>
      <c r="H20" s="58"/>
      <c r="I20" s="23" t="s">
        <v>127</v>
      </c>
      <c r="J20" s="24" t="s">
        <v>1794</v>
      </c>
      <c r="M20" s="4"/>
      <c r="N20" s="76"/>
      <c r="O20" s="76"/>
      <c r="P20" s="76" t="str">
        <f t="shared" si="8"/>
        <v>,receipt_no</v>
      </c>
      <c r="Q20" s="76" t="str">
        <f t="shared" si="9"/>
        <v>INTEGER</v>
      </c>
      <c r="R20" s="76" t="str">
        <f t="shared" si="10"/>
        <v/>
      </c>
      <c r="S20" s="76" t="str">
        <f t="shared" si="11"/>
        <v>NOT NULL</v>
      </c>
      <c r="T20" s="76" t="str">
        <f t="shared" si="12"/>
        <v>-- レセプト番号</v>
      </c>
      <c r="U20" s="4"/>
      <c r="AA20" s="4"/>
      <c r="AB20" s="4"/>
      <c r="AC20" s="4"/>
      <c r="AD20" s="4"/>
      <c r="AE20" s="4"/>
      <c r="AF20" s="4"/>
      <c r="AG20" s="4"/>
      <c r="AH20" s="4"/>
      <c r="AI20" s="4"/>
      <c r="AJ20" s="76" t="str">
        <f>IF(E20="○",IF(COUNTA(E$13:E20)=1,"",",")&amp;D20,"")</f>
        <v>,receipt_no</v>
      </c>
      <c r="AK20" s="4"/>
      <c r="AL20" s="4"/>
      <c r="AM20" s="4"/>
      <c r="AN20" s="4"/>
      <c r="AO20" s="4"/>
      <c r="AP20" s="4"/>
      <c r="AQ20" s="4"/>
      <c r="AR20" s="4"/>
      <c r="AS20" s="76" t="str">
        <f>"COMMENT ON COLUMN "&amp;エンティティ一覧!$O$2&amp;"."&amp;D$8&amp;"."&amp;D20&amp;" IS '"&amp;C20&amp;"';"</f>
        <v>COMMENT ON COLUMN milscm_2023_009.sny_202310_backup_mart_shikkan.receipt_no IS 'レセプト番号';</v>
      </c>
    </row>
    <row r="21" spans="1:45" s="25" customFormat="1">
      <c r="A21" s="4"/>
      <c r="B21" s="21">
        <f t="shared" si="2"/>
        <v>9</v>
      </c>
      <c r="C21" s="13" t="s">
        <v>1781</v>
      </c>
      <c r="D21" s="13" t="s">
        <v>917</v>
      </c>
      <c r="E21" s="7" t="s">
        <v>127</v>
      </c>
      <c r="F21" s="7" t="s">
        <v>204</v>
      </c>
      <c r="G21" s="7" t="str">
        <f t="shared" si="7"/>
        <v>integer</v>
      </c>
      <c r="H21" s="58"/>
      <c r="I21" s="23" t="s">
        <v>127</v>
      </c>
      <c r="J21" s="24" t="s">
        <v>1795</v>
      </c>
      <c r="M21" s="4"/>
      <c r="N21" s="76"/>
      <c r="O21" s="76"/>
      <c r="P21" s="76" t="str">
        <f t="shared" si="8"/>
        <v>,gyo_no</v>
      </c>
      <c r="Q21" s="76" t="str">
        <f t="shared" si="9"/>
        <v>INTEGER</v>
      </c>
      <c r="R21" s="76" t="str">
        <f t="shared" si="10"/>
        <v/>
      </c>
      <c r="S21" s="76" t="str">
        <f t="shared" si="11"/>
        <v>NOT NULL</v>
      </c>
      <c r="T21" s="76" t="str">
        <f t="shared" si="12"/>
        <v>-- 行番号</v>
      </c>
      <c r="U21" s="4"/>
      <c r="AA21" s="4"/>
      <c r="AB21" s="4"/>
      <c r="AC21" s="4"/>
      <c r="AD21" s="4"/>
      <c r="AE21" s="4"/>
      <c r="AF21" s="4"/>
      <c r="AG21" s="4"/>
      <c r="AH21" s="4"/>
      <c r="AI21" s="4"/>
      <c r="AJ21" s="76" t="str">
        <f>IF(E21="○",IF(COUNTA(E$13:E21)=1,"",",")&amp;D21,"")</f>
        <v>,gyo_no</v>
      </c>
      <c r="AK21" s="4"/>
      <c r="AL21" s="4"/>
      <c r="AM21" s="4"/>
      <c r="AN21" s="4"/>
      <c r="AO21" s="4"/>
      <c r="AP21" s="4"/>
      <c r="AQ21" s="4"/>
      <c r="AR21" s="4"/>
      <c r="AS21" s="76" t="str">
        <f>"COMMENT ON COLUMN "&amp;エンティティ一覧!$O$2&amp;"."&amp;D$8&amp;"."&amp;D21&amp;" IS '"&amp;C21&amp;"';"</f>
        <v>COMMENT ON COLUMN milscm_2023_009.sny_202310_backup_mart_shikkan.gyo_no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6"/>
      <c r="O22" s="76"/>
      <c r="P22" s="76" t="str">
        <f t="shared" si="8"/>
        <v>,karute_no</v>
      </c>
      <c r="Q22" s="76" t="str">
        <f t="shared" si="9"/>
        <v>TEXT</v>
      </c>
      <c r="R22" s="76" t="str">
        <f t="shared" si="10"/>
        <v/>
      </c>
      <c r="S22" s="76" t="str">
        <f t="shared" si="11"/>
        <v>NOT NULL</v>
      </c>
      <c r="T22" s="76" t="str">
        <f t="shared" si="12"/>
        <v>-- カルテ番号等</v>
      </c>
      <c r="U22" s="4"/>
      <c r="AA22" s="4"/>
      <c r="AB22" s="4"/>
      <c r="AC22" s="4"/>
      <c r="AD22" s="4"/>
      <c r="AE22" s="4"/>
      <c r="AF22" s="4"/>
      <c r="AG22" s="4"/>
      <c r="AH22" s="4"/>
      <c r="AI22" s="4"/>
      <c r="AJ22" s="76" t="str">
        <f>IF(E22="○",IF(COUNTA(E$13:E22)=1,"",",")&amp;D22,"")</f>
        <v>,karute_no</v>
      </c>
      <c r="AK22" s="4"/>
      <c r="AL22" s="4"/>
      <c r="AM22" s="4"/>
      <c r="AN22" s="4"/>
      <c r="AO22" s="4"/>
      <c r="AP22" s="4"/>
      <c r="AQ22" s="4"/>
      <c r="AR22" s="4"/>
      <c r="AS22" s="76" t="str">
        <f>"COMMENT ON COLUMN "&amp;エンティティ一覧!$O$2&amp;"."&amp;D$8&amp;"."&amp;D22&amp;" IS '"&amp;C22&amp;"';"</f>
        <v>COMMENT ON COLUMN milscm_2023_009.sny_202310_backup_mart_shikkan.karute_no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6"/>
      <c r="O23" s="76"/>
      <c r="P23" s="76" t="str">
        <f t="shared" si="8"/>
        <v>,receipt_sokatsu_kubun</v>
      </c>
      <c r="Q23" s="76" t="str">
        <f t="shared" si="9"/>
        <v>TEXT</v>
      </c>
      <c r="R23" s="76" t="str">
        <f t="shared" si="10"/>
        <v/>
      </c>
      <c r="S23" s="76" t="str">
        <f t="shared" si="11"/>
        <v/>
      </c>
      <c r="T23" s="76" t="str">
        <f t="shared" si="12"/>
        <v>-- レセプト総括区分</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milscm_2023_009.sny_202310_backup_mart_shikkan.receipt_sokatsu_kubun IS 'レセプト総括区分';</v>
      </c>
    </row>
    <row r="24" spans="1:45" s="25" customFormat="1">
      <c r="A24" s="4"/>
      <c r="B24" s="21">
        <f t="shared" si="2"/>
        <v>12</v>
      </c>
      <c r="C24" s="13" t="s">
        <v>665</v>
      </c>
      <c r="D24" s="13" t="s">
        <v>872</v>
      </c>
      <c r="E24" s="7"/>
      <c r="F24" s="7" t="s">
        <v>1741</v>
      </c>
      <c r="G24" s="7" t="str">
        <f t="shared" si="7"/>
        <v>text</v>
      </c>
      <c r="H24" s="58"/>
      <c r="I24" s="23"/>
      <c r="J24" s="24"/>
      <c r="M24" s="4"/>
      <c r="N24" s="76"/>
      <c r="O24" s="76"/>
      <c r="P24" s="76" t="str">
        <f t="shared" si="8"/>
        <v>,shobyo_code</v>
      </c>
      <c r="Q24" s="76" t="str">
        <f t="shared" si="9"/>
        <v>TEXT</v>
      </c>
      <c r="R24" s="76" t="str">
        <f t="shared" si="10"/>
        <v/>
      </c>
      <c r="S24" s="76" t="str">
        <f t="shared" si="11"/>
        <v/>
      </c>
      <c r="T24" s="76" t="str">
        <f t="shared" si="12"/>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6"/>
      <c r="O25" s="76"/>
      <c r="P25" s="76" t="str">
        <f t="shared" si="8"/>
        <v>,shinryo_start_date</v>
      </c>
      <c r="Q25" s="76" t="str">
        <f t="shared" si="9"/>
        <v>TEXT</v>
      </c>
      <c r="R25" s="76" t="str">
        <f t="shared" si="10"/>
        <v/>
      </c>
      <c r="S25" s="76" t="str">
        <f t="shared" si="11"/>
        <v/>
      </c>
      <c r="T25" s="76" t="str">
        <f t="shared" si="12"/>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6"/>
      <c r="O26" s="76"/>
      <c r="P26" s="76" t="str">
        <f t="shared" si="8"/>
        <v>,tenki_kubun</v>
      </c>
      <c r="Q26" s="76" t="str">
        <f t="shared" si="9"/>
        <v>TEXT</v>
      </c>
      <c r="R26" s="76" t="str">
        <f t="shared" si="10"/>
        <v/>
      </c>
      <c r="S26" s="76" t="str">
        <f t="shared" si="11"/>
        <v/>
      </c>
      <c r="T26" s="76" t="str">
        <f t="shared" si="12"/>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milscm_2023_009.sny_202310_backup_mart_shikkan.tenki_kubun IS '転帰区分';</v>
      </c>
    </row>
    <row r="27" spans="1:45" s="25" customFormat="1">
      <c r="A27" s="4"/>
      <c r="B27" s="21">
        <f t="shared" si="2"/>
        <v>15</v>
      </c>
      <c r="C27" s="13" t="s">
        <v>667</v>
      </c>
      <c r="D27" s="13" t="s">
        <v>873</v>
      </c>
      <c r="E27" s="7"/>
      <c r="F27" s="7" t="s">
        <v>1741</v>
      </c>
      <c r="G27" s="7" t="str">
        <f t="shared" si="7"/>
        <v>text</v>
      </c>
      <c r="H27" s="58"/>
      <c r="I27" s="23"/>
      <c r="J27" s="24" t="s">
        <v>1799</v>
      </c>
      <c r="M27" s="4"/>
      <c r="N27" s="76"/>
      <c r="O27" s="76"/>
      <c r="P27" s="76" t="str">
        <f t="shared" si="8"/>
        <v>,shushoku_code1</v>
      </c>
      <c r="Q27" s="76" t="str">
        <f t="shared" si="9"/>
        <v>TEXT</v>
      </c>
      <c r="R27" s="76" t="str">
        <f t="shared" si="10"/>
        <v/>
      </c>
      <c r="S27" s="76" t="str">
        <f t="shared" si="11"/>
        <v/>
      </c>
      <c r="T27" s="76" t="str">
        <f t="shared" si="12"/>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milscm_2023_009.sny_202310_backup_mart_shikkan.shushoku_code1 IS '修飾語コード1';</v>
      </c>
    </row>
    <row r="28" spans="1:45" s="25" customFormat="1">
      <c r="A28" s="4"/>
      <c r="B28" s="21">
        <f t="shared" si="2"/>
        <v>16</v>
      </c>
      <c r="C28" s="13" t="s">
        <v>669</v>
      </c>
      <c r="D28" s="13" t="s">
        <v>874</v>
      </c>
      <c r="E28" s="7"/>
      <c r="F28" s="7" t="s">
        <v>1741</v>
      </c>
      <c r="G28" s="7" t="str">
        <f t="shared" si="7"/>
        <v>text</v>
      </c>
      <c r="H28" s="58"/>
      <c r="I28" s="23"/>
      <c r="J28" s="24"/>
      <c r="M28" s="4"/>
      <c r="N28" s="76"/>
      <c r="O28" s="76"/>
      <c r="P28" s="76" t="str">
        <f t="shared" si="8"/>
        <v>,shushoku_code2</v>
      </c>
      <c r="Q28" s="76" t="str">
        <f t="shared" si="9"/>
        <v>TEXT</v>
      </c>
      <c r="R28" s="76" t="str">
        <f t="shared" si="10"/>
        <v/>
      </c>
      <c r="S28" s="76" t="str">
        <f t="shared" si="11"/>
        <v/>
      </c>
      <c r="T28" s="76" t="str">
        <f t="shared" si="12"/>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milscm_2023_009.sny_202310_backup_mart_shikkan.shushoku_code2 IS '修飾語コード2';</v>
      </c>
    </row>
    <row r="29" spans="1:45" s="25" customFormat="1">
      <c r="A29" s="4"/>
      <c r="B29" s="21">
        <f t="shared" si="2"/>
        <v>17</v>
      </c>
      <c r="C29" s="13" t="s">
        <v>671</v>
      </c>
      <c r="D29" s="13" t="s">
        <v>875</v>
      </c>
      <c r="E29" s="7"/>
      <c r="F29" s="7" t="s">
        <v>1741</v>
      </c>
      <c r="G29" s="7" t="str">
        <f t="shared" si="7"/>
        <v>text</v>
      </c>
      <c r="H29" s="58"/>
      <c r="I29" s="23"/>
      <c r="J29" s="24"/>
      <c r="M29" s="4"/>
      <c r="N29" s="76"/>
      <c r="O29" s="76"/>
      <c r="P29" s="76" t="str">
        <f t="shared" si="8"/>
        <v>,shushoku_code3</v>
      </c>
      <c r="Q29" s="76" t="str">
        <f t="shared" si="9"/>
        <v>TEXT</v>
      </c>
      <c r="R29" s="76" t="str">
        <f t="shared" si="10"/>
        <v/>
      </c>
      <c r="S29" s="76" t="str">
        <f t="shared" si="11"/>
        <v/>
      </c>
      <c r="T29" s="76" t="str">
        <f t="shared" si="12"/>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milscm_2023_009.sny_202310_backup_mart_shikkan.shushoku_code3 IS '修飾語コード3';</v>
      </c>
    </row>
    <row r="30" spans="1:45" s="25" customFormat="1">
      <c r="A30" s="4"/>
      <c r="B30" s="21">
        <f t="shared" si="2"/>
        <v>18</v>
      </c>
      <c r="C30" s="13" t="s">
        <v>673</v>
      </c>
      <c r="D30" s="13" t="s">
        <v>876</v>
      </c>
      <c r="E30" s="7"/>
      <c r="F30" s="7" t="s">
        <v>1741</v>
      </c>
      <c r="G30" s="7" t="str">
        <f t="shared" si="7"/>
        <v>text</v>
      </c>
      <c r="H30" s="58"/>
      <c r="I30" s="23"/>
      <c r="J30" s="24"/>
      <c r="M30" s="4"/>
      <c r="N30" s="76"/>
      <c r="O30" s="76"/>
      <c r="P30" s="76" t="str">
        <f t="shared" si="8"/>
        <v>,shushoku_code4</v>
      </c>
      <c r="Q30" s="76" t="str">
        <f t="shared" si="9"/>
        <v>TEXT</v>
      </c>
      <c r="R30" s="76" t="str">
        <f t="shared" si="10"/>
        <v/>
      </c>
      <c r="S30" s="76" t="str">
        <f t="shared" si="11"/>
        <v/>
      </c>
      <c r="T30" s="76" t="str">
        <f t="shared" si="12"/>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6"/>
      <c r="O31" s="76"/>
      <c r="P31" s="76" t="str">
        <f t="shared" si="8"/>
        <v>,shushoku_code5</v>
      </c>
      <c r="Q31" s="76" t="str">
        <f t="shared" si="9"/>
        <v>TEXT</v>
      </c>
      <c r="R31" s="76" t="str">
        <f t="shared" si="10"/>
        <v/>
      </c>
      <c r="S31" s="76" t="str">
        <f t="shared" si="11"/>
        <v/>
      </c>
      <c r="T31" s="76" t="str">
        <f t="shared" si="12"/>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6"/>
      <c r="O32" s="76"/>
      <c r="P32" s="76" t="str">
        <f t="shared" si="8"/>
        <v>,shushoku_code6</v>
      </c>
      <c r="Q32" s="76" t="str">
        <f t="shared" si="9"/>
        <v>TEXT</v>
      </c>
      <c r="R32" s="76" t="str">
        <f t="shared" si="10"/>
        <v/>
      </c>
      <c r="S32" s="76" t="str">
        <f t="shared" si="11"/>
        <v/>
      </c>
      <c r="T32" s="76" t="str">
        <f t="shared" si="12"/>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6"/>
      <c r="O33" s="76"/>
      <c r="P33" s="76" t="str">
        <f t="shared" si="8"/>
        <v>,shushoku_code7</v>
      </c>
      <c r="Q33" s="76" t="str">
        <f t="shared" si="9"/>
        <v>TEXT</v>
      </c>
      <c r="R33" s="76" t="str">
        <f t="shared" si="10"/>
        <v/>
      </c>
      <c r="S33" s="76" t="str">
        <f t="shared" si="11"/>
        <v/>
      </c>
      <c r="T33" s="76" t="str">
        <f t="shared" si="12"/>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6"/>
      <c r="O34" s="76"/>
      <c r="P34" s="76" t="str">
        <f t="shared" si="8"/>
        <v>,shushoku_code8</v>
      </c>
      <c r="Q34" s="76" t="str">
        <f t="shared" si="9"/>
        <v>TEXT</v>
      </c>
      <c r="R34" s="76" t="str">
        <f t="shared" si="10"/>
        <v/>
      </c>
      <c r="S34" s="76" t="str">
        <f t="shared" si="11"/>
        <v/>
      </c>
      <c r="T34" s="76" t="str">
        <f t="shared" si="12"/>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6"/>
      <c r="O35" s="76"/>
      <c r="P35" s="76" t="str">
        <f t="shared" si="8"/>
        <v>,shushoku_code9</v>
      </c>
      <c r="Q35" s="76" t="str">
        <f t="shared" si="9"/>
        <v>TEXT</v>
      </c>
      <c r="R35" s="76" t="str">
        <f t="shared" si="10"/>
        <v/>
      </c>
      <c r="S35" s="76" t="str">
        <f t="shared" si="11"/>
        <v/>
      </c>
      <c r="T35" s="76" t="str">
        <f t="shared" si="12"/>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6"/>
      <c r="O36" s="76"/>
      <c r="P36" s="76" t="str">
        <f t="shared" si="8"/>
        <v>,shushoku_code10</v>
      </c>
      <c r="Q36" s="76" t="str">
        <f t="shared" si="9"/>
        <v>TEXT</v>
      </c>
      <c r="R36" s="76" t="str">
        <f t="shared" si="10"/>
        <v/>
      </c>
      <c r="S36" s="76" t="str">
        <f t="shared" si="11"/>
        <v/>
      </c>
      <c r="T36" s="76" t="str">
        <f t="shared" si="12"/>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6"/>
      <c r="O37" s="76"/>
      <c r="P37" s="76" t="str">
        <f t="shared" si="8"/>
        <v>,shushoku_code11</v>
      </c>
      <c r="Q37" s="76" t="str">
        <f t="shared" si="9"/>
        <v>TEXT</v>
      </c>
      <c r="R37" s="76" t="str">
        <f t="shared" si="10"/>
        <v/>
      </c>
      <c r="S37" s="76" t="str">
        <f t="shared" si="11"/>
        <v/>
      </c>
      <c r="T37" s="76" t="str">
        <f t="shared" si="12"/>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6"/>
      <c r="O38" s="76"/>
      <c r="P38" s="76" t="str">
        <f t="shared" si="8"/>
        <v>,shushoku_code12</v>
      </c>
      <c r="Q38" s="76" t="str">
        <f t="shared" si="9"/>
        <v>TEXT</v>
      </c>
      <c r="R38" s="76" t="str">
        <f t="shared" si="10"/>
        <v/>
      </c>
      <c r="S38" s="76" t="str">
        <f t="shared" si="11"/>
        <v/>
      </c>
      <c r="T38" s="76" t="str">
        <f t="shared" si="12"/>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6"/>
      <c r="O39" s="76"/>
      <c r="P39" s="76" t="str">
        <f t="shared" si="8"/>
        <v>,shushoku_code13</v>
      </c>
      <c r="Q39" s="76" t="str">
        <f t="shared" si="9"/>
        <v>TEXT</v>
      </c>
      <c r="R39" s="76" t="str">
        <f t="shared" si="10"/>
        <v/>
      </c>
      <c r="S39" s="76" t="str">
        <f t="shared" si="11"/>
        <v/>
      </c>
      <c r="T39" s="76" t="str">
        <f t="shared" si="12"/>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6"/>
      <c r="O40" s="76"/>
      <c r="P40" s="76" t="str">
        <f t="shared" si="8"/>
        <v>,shushoku_code14</v>
      </c>
      <c r="Q40" s="76" t="str">
        <f t="shared" si="9"/>
        <v>TEXT</v>
      </c>
      <c r="R40" s="76" t="str">
        <f t="shared" si="10"/>
        <v/>
      </c>
      <c r="S40" s="76" t="str">
        <f t="shared" si="11"/>
        <v/>
      </c>
      <c r="T40" s="76" t="str">
        <f t="shared" si="12"/>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6"/>
      <c r="O42" s="76"/>
      <c r="P42" s="76" t="str">
        <f t="shared" si="4"/>
        <v>,shushoku_code16</v>
      </c>
      <c r="Q42" s="76" t="str">
        <f t="shared" si="0"/>
        <v>TEXT</v>
      </c>
      <c r="R42" s="76" t="str">
        <f t="shared" si="1"/>
        <v/>
      </c>
      <c r="S42" s="76" t="str">
        <f t="shared" si="5"/>
        <v/>
      </c>
      <c r="T42" s="76" t="str">
        <f t="shared" si="6"/>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6"/>
      <c r="O43" s="76"/>
      <c r="P43" s="76" t="str">
        <f t="shared" si="4"/>
        <v>,shushoku_code17</v>
      </c>
      <c r="Q43" s="76" t="str">
        <f t="shared" si="0"/>
        <v>TEXT</v>
      </c>
      <c r="R43" s="76" t="str">
        <f t="shared" si="1"/>
        <v/>
      </c>
      <c r="S43" s="76" t="str">
        <f t="shared" si="5"/>
        <v/>
      </c>
      <c r="T43" s="76" t="str">
        <f t="shared" si="6"/>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6"/>
      <c r="O44" s="76"/>
      <c r="P44" s="76" t="str">
        <f t="shared" si="4"/>
        <v>,shushoku_code18</v>
      </c>
      <c r="Q44" s="76" t="str">
        <f t="shared" si="0"/>
        <v>TEXT</v>
      </c>
      <c r="R44" s="76" t="str">
        <f t="shared" si="1"/>
        <v/>
      </c>
      <c r="S44" s="76" t="str">
        <f t="shared" si="5"/>
        <v/>
      </c>
      <c r="T44" s="76" t="str">
        <f t="shared" si="6"/>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6"/>
      <c r="O45" s="76"/>
      <c r="P45" s="76" t="str">
        <f t="shared" si="4"/>
        <v>,shushoku_code19</v>
      </c>
      <c r="Q45" s="76" t="str">
        <f t="shared" si="0"/>
        <v>TEXT</v>
      </c>
      <c r="R45" s="76" t="str">
        <f t="shared" si="1"/>
        <v/>
      </c>
      <c r="S45" s="76" t="str">
        <f t="shared" si="5"/>
        <v/>
      </c>
      <c r="T45" s="76" t="str">
        <f t="shared" si="6"/>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6"/>
      <c r="O46" s="76"/>
      <c r="P46" s="76" t="str">
        <f t="shared" si="4"/>
        <v>,shushoku_code20</v>
      </c>
      <c r="Q46" s="76" t="str">
        <f t="shared" si="0"/>
        <v>TEXT</v>
      </c>
      <c r="R46" s="76" t="str">
        <f t="shared" si="1"/>
        <v/>
      </c>
      <c r="S46" s="76" t="str">
        <f t="shared" si="5"/>
        <v/>
      </c>
      <c r="T46" s="76" t="str">
        <f t="shared" si="6"/>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6"/>
      <c r="O47" s="76"/>
      <c r="P47" s="76" t="str">
        <f t="shared" si="4"/>
        <v>,shobyo_name</v>
      </c>
      <c r="Q47" s="76" t="str">
        <f t="shared" si="0"/>
        <v>TEXT</v>
      </c>
      <c r="R47" s="76" t="str">
        <f t="shared" si="1"/>
        <v/>
      </c>
      <c r="S47" s="76" t="str">
        <f t="shared" si="5"/>
        <v/>
      </c>
      <c r="T47" s="76" t="str">
        <f t="shared" si="6"/>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milscm_2023_009.sny_202310_backup_mart_shikkan.main_shobyo_code IS '主傷病';</v>
      </c>
    </row>
    <row r="49" spans="1:52" s="25" customFormat="1">
      <c r="A49" s="4"/>
      <c r="B49" s="21">
        <f t="shared" si="2"/>
        <v>37</v>
      </c>
      <c r="C49" s="13" t="s">
        <v>663</v>
      </c>
      <c r="D49" s="13" t="s">
        <v>871</v>
      </c>
      <c r="E49" s="7"/>
      <c r="F49" s="7" t="s">
        <v>1741</v>
      </c>
      <c r="G49" s="7" t="str">
        <f t="shared" si="3"/>
        <v>text</v>
      </c>
      <c r="H49" s="58"/>
      <c r="I49" s="23"/>
      <c r="J49" s="24"/>
      <c r="M49" s="4"/>
      <c r="N49" s="76"/>
      <c r="O49" s="76"/>
      <c r="P49" s="76" t="str">
        <f t="shared" si="4"/>
        <v>,icd10_code</v>
      </c>
      <c r="Q49" s="76" t="str">
        <f t="shared" si="0"/>
        <v>TEXT</v>
      </c>
      <c r="R49" s="76" t="str">
        <f t="shared" si="1"/>
        <v/>
      </c>
      <c r="S49" s="76" t="str">
        <f t="shared" si="5"/>
        <v/>
      </c>
      <c r="T49" s="76" t="str">
        <f t="shared" si="6"/>
        <v>-- ICD10コード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6"/>
      <c r="O50" s="76"/>
      <c r="P50" s="76" t="str">
        <f t="shared" si="4"/>
        <v>,shobyo_kubun</v>
      </c>
      <c r="Q50" s="76" t="str">
        <f t="shared" si="0"/>
        <v>TEXT</v>
      </c>
      <c r="R50" s="76" t="str">
        <f t="shared" si="1"/>
        <v/>
      </c>
      <c r="S50" s="76" t="str">
        <f t="shared" si="5"/>
        <v/>
      </c>
      <c r="T50" s="76" t="str">
        <f t="shared" si="6"/>
        <v>-- 傷病名区分</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6"/>
      <c r="O51" s="76"/>
      <c r="P51" s="76" t="str">
        <f t="shared" si="4"/>
        <v>,konnyuin_ymd</v>
      </c>
      <c r="Q51" s="76" t="str">
        <f t="shared" si="0"/>
        <v>TEXT</v>
      </c>
      <c r="R51" s="76" t="str">
        <f t="shared" si="1"/>
        <v/>
      </c>
      <c r="S51" s="76" t="str">
        <f t="shared" si="5"/>
        <v/>
      </c>
      <c r="T51" s="76" t="str">
        <f t="shared" si="6"/>
        <v xml:space="preserve">-- 今回入院年月日 </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6"/>
      <c r="O52" s="76"/>
      <c r="P52" s="76" t="str">
        <f t="shared" si="4"/>
        <v>,kontaiin_ymd</v>
      </c>
      <c r="Q52" s="76" t="str">
        <f t="shared" si="0"/>
        <v>TEXT</v>
      </c>
      <c r="R52" s="76" t="str">
        <f t="shared" si="1"/>
        <v/>
      </c>
      <c r="S52" s="76" t="str">
        <f t="shared" si="5"/>
        <v/>
      </c>
      <c r="T52" s="76" t="str">
        <f t="shared" si="6"/>
        <v>-- 今回退院年月日</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6"/>
      <c r="O53" s="76"/>
      <c r="P53" s="76" t="str">
        <f t="shared" si="4"/>
        <v>,dpc_tenki_code</v>
      </c>
      <c r="Q53" s="76" t="str">
        <f t="shared" si="0"/>
        <v>TEXT</v>
      </c>
      <c r="R53" s="76" t="str">
        <f t="shared" si="1"/>
        <v/>
      </c>
      <c r="S53" s="76" t="str">
        <f t="shared" si="5"/>
        <v/>
      </c>
      <c r="T53" s="76" t="str">
        <f t="shared" si="6"/>
        <v>-- DPC転帰区分</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6"/>
      <c r="O54" s="76"/>
      <c r="P54" s="76" t="str">
        <f t="shared" si="4"/>
        <v>,death_cause</v>
      </c>
      <c r="Q54" s="76" t="str">
        <f t="shared" si="0"/>
        <v>TEXT</v>
      </c>
      <c r="R54" s="76" t="str">
        <f t="shared" si="1"/>
        <v/>
      </c>
      <c r="S54" s="76" t="str">
        <f t="shared" si="5"/>
        <v/>
      </c>
      <c r="T54" s="76" t="str">
        <f t="shared" si="6"/>
        <v>-- 死因</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6"/>
      <c r="O55" s="76"/>
      <c r="P55" s="76" t="str">
        <f t="shared" si="4"/>
        <v>,receipt_type</v>
      </c>
      <c r="Q55" s="76" t="str">
        <f t="shared" si="0"/>
        <v>TEXT</v>
      </c>
      <c r="R55" s="76" t="str">
        <f t="shared" si="1"/>
        <v/>
      </c>
      <c r="S55" s="76" t="str">
        <f t="shared" si="5"/>
        <v/>
      </c>
      <c r="T55" s="76" t="str">
        <f t="shared" si="6"/>
        <v>-- レセプト種別</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milscm_2023_009.sny_202310_backup_mart_shikkan.receipt_type IS 'レセプト種別';</v>
      </c>
    </row>
    <row r="56" spans="1:52" s="25" customFormat="1" ht="52.2">
      <c r="A56" s="4"/>
      <c r="B56" s="21">
        <f t="shared" si="2"/>
        <v>44</v>
      </c>
      <c r="C56" s="13" t="s">
        <v>1757</v>
      </c>
      <c r="D56" s="13" t="s">
        <v>243</v>
      </c>
      <c r="E56" s="7"/>
      <c r="F56" s="7" t="s">
        <v>1741</v>
      </c>
      <c r="G56" s="7" t="str">
        <f t="shared" si="3"/>
        <v>text</v>
      </c>
      <c r="H56" s="58"/>
      <c r="I56" s="23"/>
      <c r="J56" s="24" t="s">
        <v>1800</v>
      </c>
      <c r="M56" s="4"/>
      <c r="N56" s="76"/>
      <c r="O56" s="76"/>
      <c r="P56" s="76" t="str">
        <f t="shared" si="4"/>
        <v>,nyugai_kubun</v>
      </c>
      <c r="Q56" s="76" t="str">
        <f t="shared" si="0"/>
        <v>TEXT</v>
      </c>
      <c r="R56" s="76" t="str">
        <f t="shared" si="1"/>
        <v/>
      </c>
      <c r="S56" s="76" t="str">
        <f t="shared" si="5"/>
        <v/>
      </c>
      <c r="T56" s="76" t="str">
        <f t="shared" si="6"/>
        <v>-- 入外区分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6"/>
      <c r="O57" s="76"/>
      <c r="P57" s="76" t="str">
        <f t="shared" si="4"/>
        <v>,utagai_f</v>
      </c>
      <c r="Q57" s="76" t="str">
        <f t="shared" si="0"/>
        <v>TEXT</v>
      </c>
      <c r="R57" s="76" t="str">
        <f t="shared" si="1"/>
        <v/>
      </c>
      <c r="S57" s="76" t="str">
        <f t="shared" si="5"/>
        <v/>
      </c>
      <c r="T57" s="76" t="str">
        <f t="shared" si="6"/>
        <v>-- 疑いフラグ</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6"/>
      <c r="O58" s="76"/>
      <c r="P58" s="76" t="str">
        <f t="shared" si="4"/>
        <v>,hosoku_comment</v>
      </c>
      <c r="Q58" s="76" t="str">
        <f t="shared" si="0"/>
        <v>TEXT</v>
      </c>
      <c r="R58" s="76" t="str">
        <f t="shared" si="1"/>
        <v/>
      </c>
      <c r="S58" s="76" t="str">
        <f t="shared" si="5"/>
        <v/>
      </c>
      <c r="T58" s="76" t="str">
        <f t="shared" si="6"/>
        <v>-- 補足コメント</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milscm_2023_009.sny_202310_backup_mart_shikkan.hosoku_comment IS '補足コメント';</v>
      </c>
    </row>
    <row r="59" spans="1:52" s="25" customFormat="1" ht="18" thickBot="1">
      <c r="A59" s="4"/>
      <c r="B59" s="27">
        <f>ROW()-12</f>
        <v>47</v>
      </c>
      <c r="C59" s="57" t="s">
        <v>1758</v>
      </c>
      <c r="D59" s="57" t="s">
        <v>1759</v>
      </c>
      <c r="E59" s="56"/>
      <c r="F59" s="56" t="s">
        <v>204</v>
      </c>
      <c r="G59" s="56" t="str">
        <f t="shared" si="3"/>
        <v>integer</v>
      </c>
      <c r="H59" s="59"/>
      <c r="I59" s="60"/>
      <c r="J59" s="64" t="s">
        <v>1765</v>
      </c>
      <c r="N59" s="76"/>
      <c r="O59" s="76"/>
      <c r="P59" s="76" t="str">
        <f t="shared" si="4"/>
        <v>,seq_no</v>
      </c>
      <c r="Q59" s="76" t="str">
        <f t="shared" si="0"/>
        <v>INTEGER</v>
      </c>
      <c r="R59" s="76" t="str">
        <f t="shared" si="1"/>
        <v/>
      </c>
      <c r="S59" s="76" t="str">
        <f t="shared" si="5"/>
        <v/>
      </c>
      <c r="T59" s="76" t="str">
        <f t="shared" si="6"/>
        <v>-- シーケンス番号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milscm_2023_009.sny_202310_backup_mart_shikkan.seq_no IS 'シーケンス番号';</v>
      </c>
    </row>
    <row r="60" spans="1:52">
      <c r="L60" s="25"/>
      <c r="M60" s="25"/>
      <c r="N60" s="76" t="s">
        <v>142</v>
      </c>
      <c r="O60" s="76"/>
      <c r="P60" s="76"/>
      <c r="Q60" s="76"/>
      <c r="R60" s="76"/>
      <c r="S60" s="76"/>
      <c r="T60" s="76"/>
      <c r="V60" s="25"/>
      <c r="W60" s="25"/>
      <c r="X60" s="25"/>
      <c r="Y60" s="25"/>
      <c r="Z60" s="25"/>
      <c r="AJ60" s="76"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1" t="s">
        <v>110</v>
      </c>
      <c r="C1" s="242"/>
      <c r="D1" s="245" t="s">
        <v>111</v>
      </c>
      <c r="E1" s="246"/>
      <c r="F1" s="246"/>
      <c r="G1" s="237"/>
      <c r="H1" s="245" t="s">
        <v>112</v>
      </c>
      <c r="I1" s="237"/>
      <c r="J1" s="15" t="s">
        <v>113</v>
      </c>
    </row>
    <row r="2" spans="1:52" ht="18" thickBot="1">
      <c r="B2" s="243"/>
      <c r="C2" s="244"/>
      <c r="D2" s="247" t="s">
        <v>114</v>
      </c>
      <c r="E2" s="248"/>
      <c r="F2" s="248"/>
      <c r="G2" s="249"/>
      <c r="H2" s="250"/>
      <c r="I2" s="251"/>
      <c r="J2" s="17"/>
    </row>
    <row r="3" spans="1:52" ht="18" thickBot="1">
      <c r="B3" s="5"/>
      <c r="C3" s="5"/>
      <c r="D3" s="5"/>
      <c r="E3" s="5"/>
      <c r="F3" s="5"/>
      <c r="G3" s="5"/>
      <c r="H3" s="5"/>
      <c r="I3" s="5"/>
      <c r="J3" s="18"/>
    </row>
    <row r="4" spans="1:52">
      <c r="B4" s="236" t="s">
        <v>3705</v>
      </c>
      <c r="C4" s="237"/>
      <c r="D4" s="238" t="str">
        <f>VLOOKUP(D7,エンティティ一覧!A1:'エンティティ一覧'!AM10161,2,FALSE)</f>
        <v>01</v>
      </c>
      <c r="E4" s="239"/>
      <c r="F4" s="239"/>
      <c r="G4" s="239"/>
      <c r="H4" s="239"/>
      <c r="I4" s="239"/>
      <c r="J4" s="240"/>
    </row>
    <row r="5" spans="1:52">
      <c r="B5" s="223" t="s">
        <v>3706</v>
      </c>
      <c r="C5" s="224"/>
      <c r="D5" s="233" t="str">
        <f>VLOOKUP(D7,エンティティ一覧!A1:'エンティティ一覧'!AM10161,7,FALSE)</f>
        <v>backup</v>
      </c>
      <c r="E5" s="234"/>
      <c r="F5" s="234"/>
      <c r="G5" s="234"/>
      <c r="H5" s="234"/>
      <c r="I5" s="234"/>
      <c r="J5" s="235"/>
    </row>
    <row r="6" spans="1:52">
      <c r="B6" s="223" t="s">
        <v>3707</v>
      </c>
      <c r="C6" s="224"/>
      <c r="D6" s="233" t="str">
        <f>VLOOKUP(D7,エンティティ一覧!A1:'エンティティ一覧'!AM10161,15,FALSE)</f>
        <v>ENT_01_A1-05</v>
      </c>
      <c r="E6" s="234"/>
      <c r="F6" s="234"/>
      <c r="G6" s="234"/>
      <c r="H6" s="234"/>
      <c r="I6" s="234"/>
      <c r="J6" s="235"/>
    </row>
    <row r="7" spans="1:52">
      <c r="B7" s="223" t="s">
        <v>115</v>
      </c>
      <c r="C7" s="224"/>
      <c r="D7" s="225" t="s">
        <v>1802</v>
      </c>
      <c r="E7" s="226"/>
      <c r="F7" s="226"/>
      <c r="G7" s="226"/>
      <c r="H7" s="226"/>
      <c r="I7" s="226"/>
      <c r="J7" s="227"/>
    </row>
    <row r="8" spans="1:52">
      <c r="B8" s="223" t="s">
        <v>116</v>
      </c>
      <c r="C8" s="224"/>
      <c r="D8" s="225" t="str">
        <f>エンティティ一覧!AE2&amp;"_"&amp;D5&amp;"_mart_shikkan_department"</f>
        <v>sny_202310_backup_mart_shikkan_department</v>
      </c>
      <c r="E8" s="226"/>
      <c r="F8" s="226"/>
      <c r="G8" s="226"/>
      <c r="H8" s="226"/>
      <c r="I8" s="226"/>
      <c r="J8" s="227"/>
    </row>
    <row r="9" spans="1:52" ht="19.5" customHeight="1" thickBot="1">
      <c r="B9" s="228" t="s">
        <v>117</v>
      </c>
      <c r="C9" s="229"/>
      <c r="D9" s="230" t="str">
        <f>SUBSTITUTE(D7,"バックアップ_","")&amp;"テーブルから組入れ条件の第一条件で絞り込んだ結果を格納するテーブル"</f>
        <v>疾患診療科データテーブルから組入れ条件の第一条件で絞り込んだ結果を格納するテーブル</v>
      </c>
      <c r="E9" s="231"/>
      <c r="F9" s="231"/>
      <c r="G9" s="231"/>
      <c r="H9" s="231"/>
      <c r="I9" s="231"/>
      <c r="J9" s="232"/>
    </row>
    <row r="10" spans="1:52">
      <c r="B10" s="19"/>
      <c r="C10" s="19"/>
      <c r="D10" s="5"/>
      <c r="E10" s="5"/>
      <c r="F10" s="5"/>
      <c r="G10" s="5"/>
      <c r="H10" s="5"/>
      <c r="I10" s="5"/>
      <c r="J10" s="18"/>
      <c r="N10" s="76" t="str">
        <f>"--DROP TABLE  "&amp;エンティティ一覧!$O$2&amp;"."&amp;D$8&amp;";"</f>
        <v>--DROP TABLE  milscm_2023_009.sny_202310_backup_mart_shikkan_department;</v>
      </c>
      <c r="O10" s="76"/>
      <c r="P10" s="76"/>
      <c r="Q10" s="76"/>
      <c r="R10" s="76"/>
      <c r="S10" s="76"/>
      <c r="T10" s="76"/>
      <c r="AJ10" s="76" t="str">
        <f>"ALTER TABLE ONLY "&amp;エンティティ一覧!$O$2&amp;"."&amp;D$8</f>
        <v>ALTER TABLE ONLY milscm_2023_009.sny_202310_backup_mart_shikkan_department</v>
      </c>
      <c r="AS10" s="76" t="str">
        <f>"ALTER TABLE "&amp;エンティティ一覧!$O$2&amp;"."&amp;D$8&amp;" OWNER TO pgmisgrp1;"</f>
        <v>ALTER TABLE milscm_2023_009.sny_202310_backup_mart_shikkan_department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milscm_2023_009.sny_202310_backup_mart_shikkan_department</v>
      </c>
      <c r="O11" s="76"/>
      <c r="P11" s="76"/>
      <c r="Q11" s="76"/>
      <c r="R11" s="76"/>
      <c r="S11" s="76"/>
      <c r="T11" s="76"/>
      <c r="AJ11" s="76" t="str">
        <f>"ADD CONSTRAINT "&amp;D$8&amp;"_pkey PRIMARY KEY"</f>
        <v>ADD CONSTRAINT sny_202310_backup_mart_shikkan_department_pkey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milscm_2023_009.sny_202310_backup_mart_shikkan_department IS 'バックアップ_疾患診療科データ';</v>
      </c>
    </row>
    <row r="13" spans="1:52" s="25" customFormat="1" ht="34.799999999999997">
      <c r="A13" s="4"/>
      <c r="B13" s="21">
        <f>ROW()-12</f>
        <v>1</v>
      </c>
      <c r="C13" s="6" t="s">
        <v>1803</v>
      </c>
      <c r="D13" s="6" t="s">
        <v>1804</v>
      </c>
      <c r="E13" s="8" t="s">
        <v>127</v>
      </c>
      <c r="F13" s="8" t="s">
        <v>204</v>
      </c>
      <c r="G13" s="7" t="str">
        <f>IF(F13="フラグ","boolean",IF(F13="文字列","text",IF(F13="整数","integer",IF(F13="実数","numeric",""))))</f>
        <v>integer</v>
      </c>
      <c r="H13" s="9"/>
      <c r="I13" s="10" t="s">
        <v>127</v>
      </c>
      <c r="J13" s="11" t="s">
        <v>1807</v>
      </c>
      <c r="M13" s="4"/>
      <c r="N13" s="76"/>
      <c r="O13" s="76"/>
      <c r="P13" s="76" t="str">
        <f>IF(B13&lt;&gt;1,","&amp;D13,D13)</f>
        <v>parent_seq_no</v>
      </c>
      <c r="Q13" s="76" t="str">
        <f t="shared" ref="Q13:Q15" si="0">UPPER(G13)</f>
        <v>INTEGER</v>
      </c>
      <c r="R13" s="76" t="str">
        <f t="shared" ref="R13:R15" si="1">IF(H13&lt;&gt;"","default "&amp;IF(G13="text","'"&amp;H13&amp;"'",H13),"")</f>
        <v/>
      </c>
      <c r="S13" s="76" t="str">
        <f>IF(I13="○","NOT NULL","")</f>
        <v>NOT NULL</v>
      </c>
      <c r="T13" s="76" t="str">
        <f>"-- "&amp;C13</f>
        <v>-- 親シーケンス番号</v>
      </c>
      <c r="U13" s="4"/>
      <c r="AA13" s="4"/>
      <c r="AB13" s="4"/>
      <c r="AC13" s="4"/>
      <c r="AD13" s="4"/>
      <c r="AE13" s="4"/>
      <c r="AF13" s="4"/>
      <c r="AG13" s="4"/>
      <c r="AH13" s="4"/>
      <c r="AI13" s="4"/>
      <c r="AJ13" s="76" t="str">
        <f>IF(E13="○",IF(COUNTA(E$13:E13)=1,"",",")&amp;D13,"")</f>
        <v>parent_seq_no</v>
      </c>
      <c r="AK13" s="4"/>
      <c r="AL13" s="4"/>
      <c r="AM13" s="4"/>
      <c r="AN13" s="4"/>
      <c r="AO13" s="4"/>
      <c r="AP13" s="4"/>
      <c r="AQ13" s="4"/>
      <c r="AR13" s="4"/>
      <c r="AS13" s="76" t="str">
        <f>"COMMENT ON COLUMN "&amp;エンティティ一覧!$O$2&amp;"."&amp;D$8&amp;"."&amp;D13&amp;" IS '"&amp;C13&amp;"';"</f>
        <v>COMMENT ON COLUMN milscm_2023_009.sny_202310_backup_mart_shikkan_department.parent_seq_no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6"/>
      <c r="O14" s="76"/>
      <c r="P14" s="76" t="str">
        <f t="shared" ref="P14:P15" si="4">IF(B14&lt;&gt;1,","&amp;D14,D14)</f>
        <v>,department_name</v>
      </c>
      <c r="Q14" s="76" t="str">
        <f t="shared" si="0"/>
        <v>TEXT</v>
      </c>
      <c r="R14" s="76" t="str">
        <f t="shared" si="1"/>
        <v/>
      </c>
      <c r="S14" s="76" t="str">
        <f>IF(I14="○","NOT NULL","")</f>
        <v/>
      </c>
      <c r="T14" s="76" t="str">
        <f>"-- "&amp;C14</f>
        <v>-- 診療科名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4" t="s">
        <v>1809</v>
      </c>
      <c r="N15" s="76"/>
      <c r="O15" s="76"/>
      <c r="P15" s="76" t="str">
        <f t="shared" si="4"/>
        <v>,department_kubun</v>
      </c>
      <c r="Q15" s="76" t="str">
        <f t="shared" si="0"/>
        <v>TEXT</v>
      </c>
      <c r="R15" s="76" t="str">
        <f t="shared" si="1"/>
        <v/>
      </c>
      <c r="S15" s="76" t="str">
        <f t="shared" ref="S15" si="5">IF(I15="○","NOT NULL","")</f>
        <v/>
      </c>
      <c r="T15" s="76" t="str">
        <f t="shared" ref="T15" si="6">"-- "&amp;C15</f>
        <v>-- 診療科名区分</v>
      </c>
      <c r="U15" s="4"/>
      <c r="AA15" s="4"/>
      <c r="AB15" s="4"/>
      <c r="AC15" s="4"/>
      <c r="AD15" s="4"/>
      <c r="AE15" s="4"/>
      <c r="AF15" s="4"/>
      <c r="AG15" s="4"/>
      <c r="AH15" s="4"/>
      <c r="AI15" s="4"/>
      <c r="AJ15" s="76" t="str">
        <f>IF(E15="○",IF(COUNTA(E$13:E15)=1,"",",")&amp;D15,"")</f>
        <v>,department_kubun</v>
      </c>
      <c r="AK15" s="4"/>
      <c r="AL15" s="4"/>
      <c r="AM15" s="4"/>
      <c r="AN15" s="4"/>
      <c r="AO15" s="4"/>
      <c r="AP15" s="4"/>
      <c r="AQ15" s="4"/>
      <c r="AR15" s="4"/>
      <c r="AS15" s="76" t="str">
        <f>"COMMENT ON COLUMN "&amp;エンティティ一覧!$O$2&amp;"."&amp;D$8&amp;"."&amp;D15&amp;" IS '"&amp;C15&amp;"';"</f>
        <v>COMMENT ON COLUMN milscm_2023_009.sny_202310_backup_mart_shikkan_department.department_kubun IS '診療科名区分';</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ENT_01_A1-06</v>
      </c>
      <c r="E6" s="234"/>
      <c r="F6" s="234"/>
      <c r="G6" s="234"/>
      <c r="H6" s="234"/>
      <c r="I6" s="234"/>
      <c r="J6" s="235"/>
    </row>
    <row r="7" spans="1:45">
      <c r="B7" s="223" t="s">
        <v>115</v>
      </c>
      <c r="C7" s="224"/>
      <c r="D7" s="225" t="s">
        <v>1810</v>
      </c>
      <c r="E7" s="226"/>
      <c r="F7" s="226"/>
      <c r="G7" s="226"/>
      <c r="H7" s="226"/>
      <c r="I7" s="226"/>
      <c r="J7" s="227"/>
    </row>
    <row r="8" spans="1:45">
      <c r="B8" s="223" t="s">
        <v>116</v>
      </c>
      <c r="C8" s="224"/>
      <c r="D8" s="225" t="str">
        <f>エンティティ一覧!AE2&amp;"_"&amp;D5&amp;"_mart_nyu_tai_in"</f>
        <v>sny_202310_backup_mart_nyu_tai_in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入院退院データテーブルから組入れ条件の第一条件で絞り込んだ結果を格納するテーブル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milscm_2023_009.sny_202310_backup_mart_nyu_tai_in;</v>
      </c>
      <c r="O10" s="76"/>
      <c r="P10" s="76"/>
      <c r="Q10" s="76"/>
      <c r="R10" s="76"/>
      <c r="S10" s="76"/>
      <c r="T10" s="76"/>
      <c r="AJ10" s="76" t="str">
        <f>"ALTER TABLE ONLY "&amp;エンティティ一覧!$O$2&amp;"."&amp;D$8</f>
        <v>ALTER TABLE ONLY milscm_2023_009.sny_202310_backup_mart_nyu_tai_in</v>
      </c>
      <c r="AS10" s="76" t="str">
        <f>"ALTER TABLE "&amp;エンティティ一覧!$O$2&amp;"."&amp;D$8&amp;" OWNER TO pgmisgrp1;"</f>
        <v>ALTER TABLE milscm_2023_009.sny_202310_backup_mart_nyu_tai_in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milscm_2023_009.sny_202310_backup_mart_nyu_tai_in</v>
      </c>
      <c r="O11" s="76"/>
      <c r="P11" s="76"/>
      <c r="Q11" s="76"/>
      <c r="R11" s="76"/>
      <c r="S11" s="76"/>
      <c r="T11" s="76"/>
      <c r="AJ11" s="76" t="str">
        <f>"ADD CONSTRAINT "&amp;D$8&amp;"_pkey PRIMARY KEY"</f>
        <v>ADD CONSTRAINT sny_202310_backup_mart_nyu_tai_in_pkey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milscm_2023_009.sny_202310_backup_mart_nyu_tai_in IS 'バックアップ_入院退院データ';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1819</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milscm_2023_009.sny_202310_backup_mart_nyu_tai_in.shikibetsu_no IS 'データ識別番号';</v>
      </c>
    </row>
    <row r="14" spans="1:45" s="25" customFormat="1">
      <c r="A14" s="4"/>
      <c r="B14" s="21">
        <f t="shared" ref="B14:B17" si="2">ROW()-12</f>
        <v>2</v>
      </c>
      <c r="C14" s="6" t="s">
        <v>137</v>
      </c>
      <c r="D14" s="6" t="s">
        <v>128</v>
      </c>
      <c r="E14" s="8" t="s">
        <v>127</v>
      </c>
      <c r="F14" s="7" t="s">
        <v>737</v>
      </c>
      <c r="G14" s="7" t="str">
        <f t="shared" ref="G14:G17" si="3">IF(F14="フラグ","boolean",IF(F14="文字列","text",IF(F14="整数","integer",IF(F14="実数","numeric",""))))</f>
        <v>text</v>
      </c>
      <c r="H14" s="26"/>
      <c r="I14" s="10" t="s">
        <v>127</v>
      </c>
      <c r="J14" s="11" t="s">
        <v>1819</v>
      </c>
      <c r="M14" s="4"/>
      <c r="N14" s="76"/>
      <c r="O14" s="76"/>
      <c r="P14" s="76" t="str">
        <f t="shared" ref="P14:P17" si="4">IF(B14&lt;&gt;1,","&amp;D14,D14)</f>
        <v>,facility_id</v>
      </c>
      <c r="Q14" s="76" t="str">
        <f t="shared" ref="Q14:Q17" si="5">UPPER(G14)</f>
        <v>TEXT</v>
      </c>
      <c r="R14" s="76" t="str">
        <f t="shared" ref="R14:R17" si="6">IF(H14&lt;&gt;"","default "&amp;IF(G14="text","'"&amp;H14&amp;"'",H14),"")</f>
        <v/>
      </c>
      <c r="S14" s="76" t="str">
        <f t="shared" ref="S14:S17" si="7">IF(I14="○","NOT NULL","")</f>
        <v>NOT NULL</v>
      </c>
      <c r="T14" s="76" t="str">
        <f t="shared" ref="T14:T17" si="8">"--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6"/>
      <c r="O15" s="76"/>
      <c r="P15" s="76" t="str">
        <f t="shared" si="4"/>
        <v>,nyuin_ym</v>
      </c>
      <c r="Q15" s="76" t="str">
        <f t="shared" si="5"/>
        <v>TEXT</v>
      </c>
      <c r="R15" s="76" t="str">
        <f t="shared" si="6"/>
        <v/>
      </c>
      <c r="S15" s="76" t="str">
        <f t="shared" si="7"/>
        <v>NOT NULL</v>
      </c>
      <c r="T15" s="76" t="str">
        <f t="shared" si="8"/>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6"/>
      <c r="O16" s="76"/>
      <c r="P16" s="76" t="str">
        <f t="shared" si="4"/>
        <v>,taiin_ym</v>
      </c>
      <c r="Q16" s="76" t="str">
        <f t="shared" si="5"/>
        <v>TEXT</v>
      </c>
      <c r="R16" s="76" t="str">
        <f t="shared" si="6"/>
        <v/>
      </c>
      <c r="S16" s="76" t="str">
        <f t="shared" si="7"/>
        <v>NOT NULL</v>
      </c>
      <c r="T16" s="76" t="str">
        <f t="shared" si="8"/>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6"/>
      <c r="O17" s="76"/>
      <c r="P17" s="76" t="str">
        <f t="shared" si="4"/>
        <v>,nyuin_ymd</v>
      </c>
      <c r="Q17" s="76" t="str">
        <f t="shared" si="5"/>
        <v>TEXT</v>
      </c>
      <c r="R17" s="76" t="str">
        <f t="shared" si="6"/>
        <v/>
      </c>
      <c r="S17" s="76" t="str">
        <f t="shared" si="7"/>
        <v>NOT NULL</v>
      </c>
      <c r="T17" s="76" t="str">
        <f t="shared" si="8"/>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milscm_2023_009.sny_202310_backup_mart_nyu_tai_in.nyuin_ymd IS '入院年月日';</v>
      </c>
    </row>
    <row r="18" spans="1:52" s="25" customFormat="1">
      <c r="A18" s="4"/>
      <c r="B18" s="21">
        <f t="shared" ref="B18" si="9">ROW()-12</f>
        <v>6</v>
      </c>
      <c r="C18" s="6" t="s">
        <v>1816</v>
      </c>
      <c r="D18" s="6" t="s">
        <v>212</v>
      </c>
      <c r="E18" s="8" t="s">
        <v>127</v>
      </c>
      <c r="F18" s="7" t="s">
        <v>1741</v>
      </c>
      <c r="G18" s="7" t="str">
        <f t="shared" ref="G18:G19" si="10">IF(F18="フラグ","boolean",IF(F18="文字列","text",IF(F18="整数","integer",IF(F18="実数","numeric",""))))</f>
        <v>text</v>
      </c>
      <c r="H18" s="26"/>
      <c r="I18" s="10" t="s">
        <v>127</v>
      </c>
      <c r="J18" s="11" t="s">
        <v>1819</v>
      </c>
      <c r="M18" s="4"/>
      <c r="N18" s="76"/>
      <c r="O18" s="76"/>
      <c r="P18" s="76" t="str">
        <f t="shared" ref="P18:P19" si="11">IF(B18&lt;&gt;1,","&amp;D18,D18)</f>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4" t="s">
        <v>1822</v>
      </c>
      <c r="N19" s="76"/>
      <c r="O19" s="76"/>
      <c r="P19" s="76" t="str">
        <f t="shared" si="11"/>
        <v>,nyuinchu_flg</v>
      </c>
      <c r="Q19" s="76" t="str">
        <f t="shared" si="0"/>
        <v>TEXT</v>
      </c>
      <c r="R19" s="76" t="str">
        <f t="shared" si="1"/>
        <v/>
      </c>
      <c r="S19" s="76" t="str">
        <f t="shared" ref="S19" si="12">IF(I19="○","NOT NULL","")</f>
        <v>NOT NULL</v>
      </c>
      <c r="T19" s="76" t="str">
        <f t="shared" ref="T19" si="13">"--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1" t="s">
        <v>110</v>
      </c>
      <c r="C1" s="242"/>
      <c r="D1" s="245" t="s">
        <v>111</v>
      </c>
      <c r="E1" s="246"/>
      <c r="F1" s="246"/>
      <c r="G1" s="237"/>
      <c r="H1" s="245" t="s">
        <v>112</v>
      </c>
      <c r="I1" s="237"/>
      <c r="J1" s="15" t="s">
        <v>113</v>
      </c>
    </row>
    <row r="2" spans="1:52" ht="18" thickBot="1">
      <c r="B2" s="243"/>
      <c r="C2" s="244"/>
      <c r="D2" s="247" t="s">
        <v>114</v>
      </c>
      <c r="E2" s="248"/>
      <c r="F2" s="248"/>
      <c r="G2" s="249"/>
      <c r="H2" s="250"/>
      <c r="I2" s="251"/>
      <c r="J2" s="17"/>
    </row>
    <row r="3" spans="1:52" ht="18" thickBot="1">
      <c r="B3" s="5"/>
      <c r="C3" s="5"/>
      <c r="D3" s="5"/>
      <c r="E3" s="5"/>
      <c r="F3" s="5"/>
      <c r="G3" s="5"/>
      <c r="H3" s="5"/>
      <c r="I3" s="5"/>
      <c r="J3" s="18"/>
    </row>
    <row r="4" spans="1:52">
      <c r="B4" s="236" t="s">
        <v>3705</v>
      </c>
      <c r="C4" s="237"/>
      <c r="D4" s="238" t="str">
        <f>VLOOKUP(D7,エンティティ一覧!A1:'エンティティ一覧'!AM10161,2,FALSE)</f>
        <v>01</v>
      </c>
      <c r="E4" s="239"/>
      <c r="F4" s="239"/>
      <c r="G4" s="239"/>
      <c r="H4" s="239"/>
      <c r="I4" s="239"/>
      <c r="J4" s="240"/>
    </row>
    <row r="5" spans="1:52">
      <c r="B5" s="223" t="s">
        <v>3706</v>
      </c>
      <c r="C5" s="224"/>
      <c r="D5" s="233" t="str">
        <f>VLOOKUP(D7,エンティティ一覧!A1:'エンティティ一覧'!AM10161,7,FALSE)</f>
        <v>backup</v>
      </c>
      <c r="E5" s="234"/>
      <c r="F5" s="234"/>
      <c r="G5" s="234"/>
      <c r="H5" s="234"/>
      <c r="I5" s="234"/>
      <c r="J5" s="235"/>
    </row>
    <row r="6" spans="1:52">
      <c r="B6" s="223" t="s">
        <v>3707</v>
      </c>
      <c r="C6" s="224"/>
      <c r="D6" s="233" t="str">
        <f>VLOOKUP(D7,エンティティ一覧!A1:'エンティティ一覧'!AM10161,15,FALSE)</f>
        <v>ENT_01_A1-07</v>
      </c>
      <c r="E6" s="234"/>
      <c r="F6" s="234"/>
      <c r="G6" s="234"/>
      <c r="H6" s="234"/>
      <c r="I6" s="234"/>
      <c r="J6" s="235"/>
    </row>
    <row r="7" spans="1:52">
      <c r="B7" s="223" t="s">
        <v>115</v>
      </c>
      <c r="C7" s="224"/>
      <c r="D7" s="225" t="s">
        <v>1823</v>
      </c>
      <c r="E7" s="226"/>
      <c r="F7" s="226"/>
      <c r="G7" s="226"/>
      <c r="H7" s="226"/>
      <c r="I7" s="226"/>
      <c r="J7" s="227"/>
    </row>
    <row r="8" spans="1:52">
      <c r="B8" s="223" t="s">
        <v>116</v>
      </c>
      <c r="C8" s="224"/>
      <c r="D8" s="225" t="str">
        <f>エンティティ一覧!AE2&amp;"_"&amp;D5&amp;"_mart_2riyo_patient_id"</f>
        <v>sny_202310_backup_mart_2riyo_patient_id</v>
      </c>
      <c r="E8" s="226"/>
      <c r="F8" s="226"/>
      <c r="G8" s="226"/>
      <c r="H8" s="226"/>
      <c r="I8" s="226"/>
      <c r="J8" s="227"/>
    </row>
    <row r="9" spans="1:52" ht="19.5" customHeight="1" thickBot="1">
      <c r="B9" s="228" t="s">
        <v>117</v>
      </c>
      <c r="C9" s="229"/>
      <c r="D9" s="230"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1"/>
      <c r="F9" s="231"/>
      <c r="G9" s="231"/>
      <c r="H9" s="231"/>
      <c r="I9" s="231"/>
      <c r="J9" s="232"/>
    </row>
    <row r="10" spans="1:52">
      <c r="B10" s="19"/>
      <c r="C10" s="19"/>
      <c r="D10" s="5"/>
      <c r="E10" s="5"/>
      <c r="F10" s="5"/>
      <c r="G10" s="5"/>
      <c r="H10" s="5"/>
      <c r="I10" s="5"/>
      <c r="J10" s="18"/>
      <c r="N10" s="76" t="str">
        <f>"--DROP TABLE  "&amp;エンティティ一覧!$O$2&amp;"."&amp;D$8&amp;";"</f>
        <v>--DROP TABLE  milscm_2023_009.sny_202310_backup_mart_2riyo_patient_id;</v>
      </c>
      <c r="O10" s="76"/>
      <c r="P10" s="76"/>
      <c r="Q10" s="76"/>
      <c r="R10" s="76"/>
      <c r="S10" s="76"/>
      <c r="T10" s="76"/>
      <c r="AJ10" s="76" t="str">
        <f>"ALTER TABLE ONLY "&amp;エンティティ一覧!$O$2&amp;"."&amp;D$8</f>
        <v>ALTER TABLE ONLY milscm_2023_009.sny_202310_backup_mart_2riyo_patient_id</v>
      </c>
      <c r="AS10" s="76" t="str">
        <f>"ALTER TABLE "&amp;エンティティ一覧!$O$2&amp;"."&amp;D$8&amp;" OWNER TO pgmisgrp1;"</f>
        <v>ALTER TABLE milscm_2023_009.sny_202310_backup_mart_2riyo_patient_id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milscm_2023_009.sny_202310_backup_mart_2riyo_patient_id</v>
      </c>
      <c r="O11" s="76"/>
      <c r="P11" s="76"/>
      <c r="Q11" s="76"/>
      <c r="R11" s="76"/>
      <c r="S11" s="76"/>
      <c r="T11" s="76"/>
      <c r="AJ11" s="76" t="str">
        <f>"ADD CONSTRAINT "&amp;D$8&amp;"_pkey PRIMARY KEY"</f>
        <v>ADD CONSTRAINT sny_202310_backup_mart_2riyo_patient_id_pkey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 IS 'バックアップ_二次利用DB登録患者データ';</v>
      </c>
    </row>
    <row r="13" spans="1:52"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c r="M13" s="4"/>
      <c r="N13" s="76"/>
      <c r="O13" s="76"/>
      <c r="P13" s="76" t="str">
        <f>IF(B13&lt;&gt;1,","&amp;D13,D13)</f>
        <v>facility_id</v>
      </c>
      <c r="Q13" s="76" t="str">
        <f t="shared" ref="Q13:Q15" si="0">UPPER(G13)</f>
        <v>TEXT</v>
      </c>
      <c r="R13" s="76" t="str">
        <f t="shared" ref="R13:R15"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milscm_2023_009.sny_202310_backup_mart_2riyo_patient_id.facility_id IS '施設ID';</v>
      </c>
    </row>
    <row r="14" spans="1:52" s="25" customFormat="1">
      <c r="A14" s="4"/>
      <c r="B14" s="21">
        <f t="shared" ref="B14" si="2">ROW()-12</f>
        <v>2</v>
      </c>
      <c r="C14" s="6" t="s">
        <v>1824</v>
      </c>
      <c r="D14" s="6" t="s">
        <v>208</v>
      </c>
      <c r="E14" s="8" t="s">
        <v>127</v>
      </c>
      <c r="F14" s="7" t="s">
        <v>1825</v>
      </c>
      <c r="G14" s="7" t="str">
        <f t="shared" ref="G14:G15" si="3">IF(F14="フラグ","boolean",IF(F14="文字列","text",IF(F14="整数","integer",IF(F14="実数","numeric",""))))</f>
        <v>text</v>
      </c>
      <c r="H14" s="26"/>
      <c r="I14" s="10" t="s">
        <v>127</v>
      </c>
      <c r="J14" s="11" t="s">
        <v>1828</v>
      </c>
      <c r="M14" s="4"/>
      <c r="N14" s="76"/>
      <c r="O14" s="76"/>
      <c r="P14" s="76" t="str">
        <f t="shared" ref="P14:P15" si="4">IF(B14&lt;&gt;1,","&amp;D14,D14)</f>
        <v>,data_type</v>
      </c>
      <c r="Q14" s="76" t="str">
        <f t="shared" si="0"/>
        <v>TEXT</v>
      </c>
      <c r="R14" s="76" t="str">
        <f t="shared" si="1"/>
        <v/>
      </c>
      <c r="S14" s="76" t="str">
        <f t="shared" ref="S14" si="5">IF(I14="○","NOT NULL","")</f>
        <v>NOT NULL</v>
      </c>
      <c r="T14" s="76" t="str">
        <f t="shared" ref="T14" si="6">"-- "&amp;C14</f>
        <v>-- データ種別</v>
      </c>
      <c r="U14" s="4"/>
      <c r="AA14" s="4"/>
      <c r="AB14" s="4"/>
      <c r="AC14" s="4"/>
      <c r="AD14" s="4"/>
      <c r="AE14" s="4"/>
      <c r="AF14" s="4"/>
      <c r="AG14" s="4"/>
      <c r="AH14" s="4"/>
      <c r="AI14" s="4"/>
      <c r="AJ14" s="76" t="str">
        <f>IF(E14="○",IF(COUNTA(E$13:E14)=1,"",",")&amp;D14,"")</f>
        <v>,data_type</v>
      </c>
      <c r="AK14" s="4"/>
      <c r="AL14" s="4"/>
      <c r="AM14" s="4"/>
      <c r="AN14" s="4"/>
      <c r="AO14" s="4"/>
      <c r="AP14" s="4"/>
      <c r="AQ14" s="4"/>
      <c r="AR14" s="4"/>
      <c r="AS14" s="76" t="str">
        <f>"COMMENT ON COLUMN "&amp;エンティティ一覧!$O$2&amp;"."&amp;D$8&amp;"."&amp;D14&amp;" IS '"&amp;C14&amp;"';"</f>
        <v>COMMENT ON COLUMN milscm_2023_009.sny_202310_backup_mart_2riyo_patient_id.data_type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4"/>
      <c r="N15" s="76"/>
      <c r="O15" s="76"/>
      <c r="P15" s="76" t="str">
        <f t="shared" si="4"/>
        <v>,patient_id</v>
      </c>
      <c r="Q15" s="76" t="str">
        <f t="shared" si="0"/>
        <v>TEXT</v>
      </c>
      <c r="R15" s="76" t="str">
        <f t="shared" si="1"/>
        <v/>
      </c>
      <c r="S15" s="76" t="str">
        <f t="shared" ref="S15" si="7">IF(I15="○","NOT NULL","")</f>
        <v>NOT NULL</v>
      </c>
      <c r="T15" s="76" t="str">
        <f t="shared" ref="T15" si="8">"-- "&amp;C15</f>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milscm_2023_009.sny_202310_backup_mart_2riyo_patient_id.patient_id IS '患者ID';</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ENT_01_A1-08</v>
      </c>
      <c r="E6" s="234"/>
      <c r="F6" s="234"/>
      <c r="G6" s="234"/>
      <c r="H6" s="234"/>
      <c r="I6" s="234"/>
      <c r="J6" s="235"/>
    </row>
    <row r="7" spans="1:45">
      <c r="B7" s="223" t="s">
        <v>115</v>
      </c>
      <c r="C7" s="224"/>
      <c r="D7" s="225" t="s">
        <v>1829</v>
      </c>
      <c r="E7" s="226"/>
      <c r="F7" s="226"/>
      <c r="G7" s="226"/>
      <c r="H7" s="226"/>
      <c r="I7" s="226"/>
      <c r="J7" s="227"/>
    </row>
    <row r="8" spans="1:45">
      <c r="B8" s="223" t="s">
        <v>116</v>
      </c>
      <c r="C8" s="224"/>
      <c r="D8" s="225" t="str">
        <f>エンティティ一覧!AE2&amp;"_"&amp;D5&amp;"_mart_2riyo_patient_id_dpc"</f>
        <v>sny_202310_backup_mart_2riyo_patient_id_dpc</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milscm_2023_009.sny_202310_backup_mart_2riyo_patient_id_dpc;</v>
      </c>
      <c r="O10" s="76"/>
      <c r="P10" s="76"/>
      <c r="Q10" s="76"/>
      <c r="R10" s="76"/>
      <c r="S10" s="76"/>
      <c r="T10" s="76"/>
      <c r="AJ10" s="76" t="str">
        <f>"ALTER TABLE ONLY "&amp;エンティティ一覧!$O$2&amp;"."&amp;D$8</f>
        <v>ALTER TABLE ONLY milscm_2023_009.sny_202310_backup_mart_2riyo_patient_id_dpc</v>
      </c>
      <c r="AS10" s="76" t="str">
        <f>"ALTER TABLE "&amp;エンティティ一覧!$O$2&amp;"."&amp;D$8&amp;" OWNER TO pgmisgrp1;"</f>
        <v>ALTER TABLE milscm_2023_009.sny_202310_backup_mart_2riyo_patient_id_dpc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milscm_2023_009.sny_202310_backup_mart_2riyo_patient_id_dpc</v>
      </c>
      <c r="O11" s="76"/>
      <c r="P11" s="76"/>
      <c r="Q11" s="76"/>
      <c r="R11" s="76"/>
      <c r="S11" s="76"/>
      <c r="T11" s="76"/>
      <c r="AJ11" s="76" t="str">
        <f>"ADD CONSTRAINT "&amp;D$8&amp;"_pkey PRIMARY KEY"</f>
        <v>ADD CONSTRAINT sny_202310_backup_mart_2riyo_patient_id_dpc_pkey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milscm_2023_009.sny_202310_backup_mart_2riyo_patient_id_dpc IS 'バックアップ_二次利用DB登録患者データ_DPC';</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milscm_2023_009.sny_202310_backup_mart_2riyo_patient_id_dpc.mil_karute_id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milscm_2023_009.sny_202310_backup_mart_2riyo_patient_id_dpc.sex_kubun IS '男女区分';</v>
      </c>
    </row>
    <row r="19" spans="1:52" s="25" customFormat="1" ht="87.6" thickBot="1">
      <c r="A19" s="4"/>
      <c r="B19" s="27">
        <f>ROW()-12</f>
        <v>7</v>
      </c>
      <c r="C19" s="57" t="s">
        <v>1836</v>
      </c>
      <c r="D19" s="57" t="s">
        <v>322</v>
      </c>
      <c r="E19" s="56" t="s">
        <v>127</v>
      </c>
      <c r="F19" s="56" t="s">
        <v>1741</v>
      </c>
      <c r="G19" s="56" t="str">
        <f t="shared" si="3"/>
        <v>text</v>
      </c>
      <c r="H19" s="59"/>
      <c r="I19" s="60" t="s">
        <v>127</v>
      </c>
      <c r="J19" s="64" t="s">
        <v>1838</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milscm_2023_009.sny_202310_backup_mart_2riyo_patient_id_dpc.birthday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ENT_01_A1-09</v>
      </c>
      <c r="E6" s="234"/>
      <c r="F6" s="234"/>
      <c r="G6" s="234"/>
      <c r="H6" s="234"/>
      <c r="I6" s="234"/>
      <c r="J6" s="235"/>
    </row>
    <row r="7" spans="1:45">
      <c r="B7" s="223" t="s">
        <v>115</v>
      </c>
      <c r="C7" s="224"/>
      <c r="D7" s="225" t="s">
        <v>1839</v>
      </c>
      <c r="E7" s="226"/>
      <c r="F7" s="226"/>
      <c r="G7" s="226"/>
      <c r="H7" s="226"/>
      <c r="I7" s="226"/>
      <c r="J7" s="227"/>
    </row>
    <row r="8" spans="1:45">
      <c r="B8" s="223" t="s">
        <v>116</v>
      </c>
      <c r="C8" s="224"/>
      <c r="D8" s="225" t="str">
        <f>エンティティ一覧!AE2&amp;"_"&amp;D5&amp;"_mart_2riyo_patient_id_rcp"</f>
        <v>sny_202310_backup_mart_2riyo_patient_id_rcp</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milscm_2023_009.sny_202310_backup_mart_2riyo_patient_id_rcp;</v>
      </c>
      <c r="O10" s="76"/>
      <c r="P10" s="76"/>
      <c r="Q10" s="76"/>
      <c r="R10" s="76"/>
      <c r="S10" s="76"/>
      <c r="T10" s="76"/>
      <c r="AJ10" s="76" t="str">
        <f>"ALTER TABLE ONLY "&amp;エンティティ一覧!$O$2&amp;"."&amp;D$8</f>
        <v>ALTER TABLE ONLY milscm_2023_009.sny_202310_backup_mart_2riyo_patient_id_rcp</v>
      </c>
      <c r="AS10" s="76" t="str">
        <f>"ALTER TABLE "&amp;エンティティ一覧!$O$2&amp;"."&amp;D$8&amp;" OWNER TO pgmisgrp1;"</f>
        <v>ALTER TABLE milscm_2023_009.sny_202310_backup_mart_2riyo_patient_id_rcp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milscm_2023_009.sny_202310_backup_mart_2riyo_patient_id_rcp</v>
      </c>
      <c r="O11" s="76"/>
      <c r="P11" s="76"/>
      <c r="Q11" s="76"/>
      <c r="R11" s="76"/>
      <c r="S11" s="76"/>
      <c r="T11" s="76"/>
      <c r="AJ11" s="76" t="str">
        <f>"ADD CONSTRAINT "&amp;D$8&amp;"_pkey PRIMARY KEY"</f>
        <v>ADD CONSTRAINT sny_202310_backup_mart_2riyo_patient_id_rcp_pkey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milscm_2023_009.sny_202310_backup_mart_2riyo_patient_id_rcp IS 'バックアップ_二次利用DB登録患者データ_レセプト';</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milscm_2023_009.sny_202310_backup_mart_2riyo_patient_id_rcp.mil_karute_id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6"/>
      <c r="O16" s="76"/>
      <c r="P16" s="76" t="str">
        <f t="shared" si="4"/>
        <v>,shinryo_ym_min</v>
      </c>
      <c r="Q16" s="76" t="str">
        <f t="shared" si="0"/>
        <v>TEXT</v>
      </c>
      <c r="R16" s="76" t="str">
        <f t="shared" si="1"/>
        <v/>
      </c>
      <c r="S16" s="76" t="str">
        <f t="shared" si="5"/>
        <v>NOT NULL</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6"/>
      <c r="O17" s="76"/>
      <c r="P17" s="76" t="str">
        <f t="shared" si="4"/>
        <v>,shinryo_ym_max</v>
      </c>
      <c r="Q17" s="76" t="str">
        <f t="shared" si="0"/>
        <v>TEXT</v>
      </c>
      <c r="R17" s="76" t="str">
        <f t="shared" si="1"/>
        <v/>
      </c>
      <c r="S17" s="76" t="str">
        <f t="shared" si="5"/>
        <v>NOT NULL</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6"/>
      <c r="O18" s="76"/>
      <c r="P18" s="76" t="str">
        <f t="shared" si="4"/>
        <v>,sex_kubun</v>
      </c>
      <c r="Q18" s="76" t="str">
        <f t="shared" si="0"/>
        <v>TEXT</v>
      </c>
      <c r="R18" s="76" t="str">
        <f t="shared" si="1"/>
        <v/>
      </c>
      <c r="S18" s="76" t="str">
        <f>IF(I18="○","NOT NULL","")</f>
        <v>NOT NULL</v>
      </c>
      <c r="T18" s="76" t="str">
        <f>"-- "&amp;C18</f>
        <v>-- 男女区分</v>
      </c>
      <c r="U18" s="4"/>
      <c r="AA18" s="4"/>
      <c r="AB18" s="4"/>
      <c r="AC18" s="4"/>
      <c r="AD18" s="4"/>
      <c r="AE18" s="4"/>
      <c r="AF18" s="4"/>
      <c r="AG18" s="4"/>
      <c r="AH18" s="4"/>
      <c r="AI18" s="4"/>
      <c r="AJ18" s="76" t="str">
        <f>IF(E18="○",IF(COUNTA(E$13:E18)=1,"",",")&amp;D18,"")</f>
        <v>,sex_kubun</v>
      </c>
      <c r="AK18" s="4"/>
      <c r="AL18" s="4"/>
      <c r="AM18" s="4"/>
      <c r="AN18" s="4"/>
      <c r="AO18" s="4"/>
      <c r="AP18" s="4"/>
      <c r="AQ18" s="4"/>
      <c r="AR18" s="4"/>
      <c r="AS18" s="76" t="str">
        <f>"COMMENT ON COLUMN "&amp;エンティティ一覧!$O$2&amp;"."&amp;D$8&amp;"."&amp;D18&amp;" IS '"&amp;C18&amp;"';"</f>
        <v>COMMENT ON COLUMN milscm_2023_009.sny_202310_backup_mart_2riyo_patient_id_rcp.sex_kubun IS '男女区分';</v>
      </c>
    </row>
    <row r="19" spans="1:52" s="25" customFormat="1" ht="52.8" thickBot="1">
      <c r="A19" s="4"/>
      <c r="B19" s="27">
        <f>ROW()-12</f>
        <v>7</v>
      </c>
      <c r="C19" s="57" t="s">
        <v>1836</v>
      </c>
      <c r="D19" s="57" t="s">
        <v>322</v>
      </c>
      <c r="E19" s="56" t="s">
        <v>127</v>
      </c>
      <c r="F19" s="56" t="s">
        <v>1741</v>
      </c>
      <c r="G19" s="56" t="str">
        <f t="shared" si="3"/>
        <v>text</v>
      </c>
      <c r="H19" s="59"/>
      <c r="I19" s="60" t="s">
        <v>127</v>
      </c>
      <c r="J19" s="64" t="s">
        <v>1841</v>
      </c>
      <c r="N19" s="76"/>
      <c r="O19" s="76"/>
      <c r="P19" s="76" t="str">
        <f t="shared" si="4"/>
        <v>,birthday</v>
      </c>
      <c r="Q19" s="76" t="str">
        <f t="shared" si="0"/>
        <v>TEXT</v>
      </c>
      <c r="R19" s="76" t="str">
        <f t="shared" si="1"/>
        <v/>
      </c>
      <c r="S19" s="76" t="str">
        <f t="shared" ref="S19" si="7">IF(I19="○","NOT NULL","")</f>
        <v>NOT NULL</v>
      </c>
      <c r="T19" s="76" t="str">
        <f t="shared" ref="T19" si="8">"-- "&amp;C19</f>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milscm_2023_009.sny_202310_backup_mart_2riyo_patient_id_rcp.birthday IS '生年月日';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ENT_01_A1-10</v>
      </c>
      <c r="E6" s="234"/>
      <c r="F6" s="234"/>
      <c r="G6" s="234"/>
      <c r="H6" s="234"/>
      <c r="I6" s="234"/>
      <c r="J6" s="235"/>
    </row>
    <row r="7" spans="1:45">
      <c r="B7" s="223" t="s">
        <v>115</v>
      </c>
      <c r="C7" s="224"/>
      <c r="D7" s="225" t="s">
        <v>1842</v>
      </c>
      <c r="E7" s="226"/>
      <c r="F7" s="226"/>
      <c r="G7" s="226"/>
      <c r="H7" s="226"/>
      <c r="I7" s="226"/>
      <c r="J7" s="227"/>
    </row>
    <row r="8" spans="1:45">
      <c r="B8" s="223" t="s">
        <v>116</v>
      </c>
      <c r="C8" s="224"/>
      <c r="D8" s="225" t="str">
        <f>エンティティ一覧!AE2&amp;"_"&amp;D5&amp;"_mart_2riyo_patient_id_mml"</f>
        <v>sny_202310_backup_mart_2riyo_patient_id_mml</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milscm_2023_009.sny_202310_backup_mart_2riyo_patient_id_mml;</v>
      </c>
      <c r="O10" s="76"/>
      <c r="P10" s="76"/>
      <c r="Q10" s="76"/>
      <c r="R10" s="76"/>
      <c r="S10" s="76"/>
      <c r="T10" s="76"/>
      <c r="AJ10" s="76" t="str">
        <f>"ALTER TABLE ONLY "&amp;エンティティ一覧!$O$2&amp;"."&amp;D$8</f>
        <v>ALTER TABLE ONLY milscm_2023_009.sny_202310_backup_mart_2riyo_patient_id_mml</v>
      </c>
      <c r="AS10" s="76" t="str">
        <f>"ALTER TABLE "&amp;エンティティ一覧!$O$2&amp;"."&amp;D$8&amp;" OWNER TO pgmisgrp1;"</f>
        <v>ALTER TABLE milscm_2023_009.sny_202310_backup_mart_2riyo_patient_id_mml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milscm_2023_009.sny_202310_backup_mart_2riyo_patient_id_mml</v>
      </c>
      <c r="O11" s="76"/>
      <c r="P11" s="76"/>
      <c r="Q11" s="76"/>
      <c r="R11" s="76"/>
      <c r="S11" s="76"/>
      <c r="T11" s="76"/>
      <c r="AJ11" s="76" t="str">
        <f>"ADD CONSTRAINT "&amp;D$8&amp;"_pkey PRIMARY KEY"</f>
        <v>ADD CONSTRAINT sny_202310_backup_mart_2riyo_patient_id_mml_pkey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milscm_2023_009.sny_202310_backup_mart_2riyo_patient_id_mml IS 'バックアップ_二次利用DB登録患者データ_MML';</v>
      </c>
    </row>
    <row r="13" spans="1:45" s="25" customFormat="1">
      <c r="A13" s="4"/>
      <c r="B13" s="21">
        <f>ROW()-12</f>
        <v>1</v>
      </c>
      <c r="C13" s="6" t="s">
        <v>202</v>
      </c>
      <c r="D13" s="6" t="s">
        <v>203</v>
      </c>
      <c r="E13" s="8" t="s">
        <v>127</v>
      </c>
      <c r="F13" s="8" t="s">
        <v>204</v>
      </c>
      <c r="G13" s="7" t="str">
        <f>IF(F13="フラグ","boolean",IF(F13="文字列","text",IF(F13="整数","integer",IF(F13="実数","numeric",""))))</f>
        <v>integer</v>
      </c>
      <c r="H13" s="9"/>
      <c r="I13" s="10" t="s">
        <v>127</v>
      </c>
      <c r="J13" s="11"/>
      <c r="M13" s="4"/>
      <c r="N13" s="76"/>
      <c r="O13" s="76"/>
      <c r="P13" s="76" t="str">
        <f>IF(B13&lt;&gt;1,","&amp;D13,D13)</f>
        <v>mil_karute_id</v>
      </c>
      <c r="Q13" s="76" t="str">
        <f t="shared" ref="Q13:Q19" si="0">UPPER(G13)</f>
        <v>INTEGER</v>
      </c>
      <c r="R13" s="76" t="str">
        <f t="shared" ref="R13:R19" si="1">IF(H13&lt;&gt;"","default "&amp;IF(G13="text","'"&amp;H13&amp;"'",H13),"")</f>
        <v/>
      </c>
      <c r="S13" s="76" t="str">
        <f>IF(I13="○","NOT NULL","")</f>
        <v>NOT NULL</v>
      </c>
      <c r="T13" s="76" t="str">
        <f>"-- "&amp;C13</f>
        <v>-- 千年カルテID</v>
      </c>
      <c r="U13" s="4"/>
      <c r="AA13" s="4"/>
      <c r="AB13" s="4"/>
      <c r="AC13" s="4"/>
      <c r="AD13" s="4"/>
      <c r="AE13" s="4"/>
      <c r="AF13" s="4"/>
      <c r="AG13" s="4"/>
      <c r="AH13" s="4"/>
      <c r="AI13" s="4"/>
      <c r="AJ13" s="76" t="str">
        <f>IF(E13="○",IF(COUNTA(E$13:E13)=1,"",",")&amp;D13,"")</f>
        <v>mil_karute_id</v>
      </c>
      <c r="AK13" s="4"/>
      <c r="AL13" s="4"/>
      <c r="AM13" s="4"/>
      <c r="AN13" s="4"/>
      <c r="AO13" s="4"/>
      <c r="AP13" s="4"/>
      <c r="AQ13" s="4"/>
      <c r="AR13" s="4"/>
      <c r="AS13" s="76" t="str">
        <f>"COMMENT ON COLUMN "&amp;エンティティ一覧!$O$2&amp;"."&amp;D$8&amp;"."&amp;D13&amp;" IS '"&amp;C13&amp;"';"</f>
        <v>COMMENT ON COLUMN milscm_2023_009.sny_202310_backup_mart_2riyo_patient_id_mml.mil_karute_id IS '千年カルテID';</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6"/>
      <c r="O15" s="76"/>
      <c r="P15" s="76" t="str">
        <f t="shared" si="4"/>
        <v>,patient_id</v>
      </c>
      <c r="Q15" s="76" t="str">
        <f t="shared" si="0"/>
        <v>TEXT</v>
      </c>
      <c r="R15" s="76" t="str">
        <f t="shared" si="1"/>
        <v/>
      </c>
      <c r="S15" s="76" t="str">
        <f t="shared" si="5"/>
        <v>NOT NULL</v>
      </c>
      <c r="T15" s="76" t="str">
        <f t="shared" si="6"/>
        <v>-- 患者ID</v>
      </c>
      <c r="U15" s="4"/>
      <c r="AA15" s="4"/>
      <c r="AB15" s="4"/>
      <c r="AC15" s="4"/>
      <c r="AD15" s="4"/>
      <c r="AE15" s="4"/>
      <c r="AF15" s="4"/>
      <c r="AG15" s="4"/>
      <c r="AH15" s="4"/>
      <c r="AI15" s="4"/>
      <c r="AJ15" s="76" t="str">
        <f>IF(E15="○",IF(COUNTA(E$13:E15)=1,"",",")&amp;D15,"")</f>
        <v>,patient_id</v>
      </c>
      <c r="AK15" s="4"/>
      <c r="AL15" s="4"/>
      <c r="AM15" s="4"/>
      <c r="AN15" s="4"/>
      <c r="AO15" s="4"/>
      <c r="AP15" s="4"/>
      <c r="AQ15" s="4"/>
      <c r="AR15" s="4"/>
      <c r="AS15" s="76" t="str">
        <f>"COMMENT ON COLUMN "&amp;エンティティ一覧!$O$2&amp;"."&amp;D$8&amp;"."&amp;D15&amp;" IS '"&amp;C15&amp;"';"</f>
        <v>COMMENT ON COLUMN milscm_2023_009.sny_202310_backup_mart_2riyo_patient_id_mml.patient_id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6"/>
      <c r="O16" s="76"/>
      <c r="P16" s="76" t="str">
        <f t="shared" si="4"/>
        <v>,sex_kubun</v>
      </c>
      <c r="Q16" s="76" t="str">
        <f t="shared" si="0"/>
        <v>TEXT</v>
      </c>
      <c r="R16" s="76" t="str">
        <f t="shared" si="1"/>
        <v/>
      </c>
      <c r="S16" s="76" t="str">
        <f t="shared" si="5"/>
        <v>NOT NULL</v>
      </c>
      <c r="T16" s="76" t="str">
        <f t="shared" si="6"/>
        <v>-- 男女区分</v>
      </c>
      <c r="U16" s="4"/>
      <c r="AA16" s="4"/>
      <c r="AB16" s="4"/>
      <c r="AC16" s="4"/>
      <c r="AD16" s="4"/>
      <c r="AE16" s="4"/>
      <c r="AF16" s="4"/>
      <c r="AG16" s="4"/>
      <c r="AH16" s="4"/>
      <c r="AI16" s="4"/>
      <c r="AJ16" s="76" t="str">
        <f>IF(E16="○",IF(COUNTA(E$13:E16)=1,"",",")&amp;D16,"")</f>
        <v>,sex_kubun</v>
      </c>
      <c r="AK16" s="4"/>
      <c r="AL16" s="4"/>
      <c r="AM16" s="4"/>
      <c r="AN16" s="4"/>
      <c r="AO16" s="4"/>
      <c r="AP16" s="4"/>
      <c r="AQ16" s="4"/>
      <c r="AR16" s="4"/>
      <c r="AS16" s="76" t="str">
        <f>"COMMENT ON COLUMN "&amp;エンティティ一覧!$O$2&amp;"."&amp;D$8&amp;"."&amp;D16&amp;" IS '"&amp;C16&amp;"';"</f>
        <v>COMMENT ON COLUMN milscm_2023_009.sny_202310_backup_mart_2riyo_patient_id_mml.sex_kubun IS '男女区分';</v>
      </c>
    </row>
    <row r="17" spans="1:52" s="25" customFormat="1" ht="52.2">
      <c r="A17" s="4"/>
      <c r="B17" s="21">
        <f t="shared" si="2"/>
        <v>5</v>
      </c>
      <c r="C17" s="6" t="s">
        <v>1836</v>
      </c>
      <c r="D17" s="6" t="s">
        <v>322</v>
      </c>
      <c r="E17" s="8" t="s">
        <v>127</v>
      </c>
      <c r="F17" s="7" t="s">
        <v>1741</v>
      </c>
      <c r="G17" s="7" t="str">
        <f t="shared" si="3"/>
        <v>text</v>
      </c>
      <c r="H17" s="26"/>
      <c r="I17" s="10" t="s">
        <v>127</v>
      </c>
      <c r="J17" s="11" t="s">
        <v>1841</v>
      </c>
      <c r="M17" s="4"/>
      <c r="N17" s="76"/>
      <c r="O17" s="76"/>
      <c r="P17" s="76" t="str">
        <f t="shared" si="4"/>
        <v>,birthday</v>
      </c>
      <c r="Q17" s="76" t="str">
        <f t="shared" si="0"/>
        <v>TEXT</v>
      </c>
      <c r="R17" s="76" t="str">
        <f t="shared" si="1"/>
        <v/>
      </c>
      <c r="S17" s="76" t="str">
        <f t="shared" si="5"/>
        <v>NOT NULL</v>
      </c>
      <c r="T17" s="76" t="str">
        <f t="shared" si="6"/>
        <v>-- 生年月日</v>
      </c>
      <c r="U17" s="4"/>
      <c r="AA17" s="4"/>
      <c r="AB17" s="4"/>
      <c r="AC17" s="4"/>
      <c r="AD17" s="4"/>
      <c r="AE17" s="4"/>
      <c r="AF17" s="4"/>
      <c r="AG17" s="4"/>
      <c r="AH17" s="4"/>
      <c r="AI17" s="4"/>
      <c r="AJ17" s="76" t="str">
        <f>IF(E17="○",IF(COUNTA(E$13:E17)=1,"",",")&amp;D17,"")</f>
        <v>,birthday</v>
      </c>
      <c r="AK17" s="4"/>
      <c r="AL17" s="4"/>
      <c r="AM17" s="4"/>
      <c r="AN17" s="4"/>
      <c r="AO17" s="4"/>
      <c r="AP17" s="4"/>
      <c r="AQ17" s="4"/>
      <c r="AR17" s="4"/>
      <c r="AS17" s="76" t="str">
        <f>"COMMENT ON COLUMN "&amp;エンティティ一覧!$O$2&amp;"."&amp;D$8&amp;"."&amp;D17&amp;" IS '"&amp;C17&amp;"';"</f>
        <v>COMMENT ON COLUMN milscm_2023_009.sny_202310_backup_mart_2riyo_patient_id_mml.birthday IS '生年月日';</v>
      </c>
    </row>
    <row r="18" spans="1:52" s="25" customFormat="1" ht="52.2">
      <c r="A18" s="4"/>
      <c r="B18" s="21">
        <f t="shared" si="2"/>
        <v>6</v>
      </c>
      <c r="C18" s="6" t="s">
        <v>1282</v>
      </c>
      <c r="D18" s="6" t="s">
        <v>1283</v>
      </c>
      <c r="E18" s="8" t="s">
        <v>127</v>
      </c>
      <c r="F18" s="7" t="s">
        <v>317</v>
      </c>
      <c r="G18" s="7" t="str">
        <f t="shared" si="3"/>
        <v>text</v>
      </c>
      <c r="H18" s="26"/>
      <c r="I18" s="10" t="s">
        <v>127</v>
      </c>
      <c r="J18" s="11" t="s">
        <v>1844</v>
      </c>
      <c r="M18" s="4"/>
      <c r="N18" s="76"/>
      <c r="O18" s="76"/>
      <c r="P18" s="76" t="str">
        <f t="shared" si="4"/>
        <v>,death_flag</v>
      </c>
      <c r="Q18" s="76" t="str">
        <f t="shared" si="0"/>
        <v>TEXT</v>
      </c>
      <c r="R18" s="76" t="str">
        <f t="shared" si="1"/>
        <v/>
      </c>
      <c r="S18" s="76" t="str">
        <f>IF(I18="○","NOT NULL","")</f>
        <v>NOT NULL</v>
      </c>
      <c r="T18" s="76" t="str">
        <f>"-- "&amp;C18</f>
        <v>-- 死亡フラグ</v>
      </c>
      <c r="U18" s="4"/>
      <c r="AA18" s="4"/>
      <c r="AB18" s="4"/>
      <c r="AC18" s="4"/>
      <c r="AD18" s="4"/>
      <c r="AE18" s="4"/>
      <c r="AF18" s="4"/>
      <c r="AG18" s="4"/>
      <c r="AH18" s="4"/>
      <c r="AI18" s="4"/>
      <c r="AJ18" s="76" t="str">
        <f>IF(E18="○",IF(COUNTA(E$13:E18)=1,"",",")&amp;D18,"")</f>
        <v>,death_flag</v>
      </c>
      <c r="AK18" s="4"/>
      <c r="AL18" s="4"/>
      <c r="AM18" s="4"/>
      <c r="AN18" s="4"/>
      <c r="AO18" s="4"/>
      <c r="AP18" s="4"/>
      <c r="AQ18" s="4"/>
      <c r="AR18" s="4"/>
      <c r="AS18" s="76" t="str">
        <f>"COMMENT ON COLUMN "&amp;エンティティ一覧!$O$2&amp;"."&amp;D$8&amp;"."&amp;D18&amp;" IS '"&amp;C18&amp;"';"</f>
        <v>COMMENT ON COLUMN milscm_2023_009.sny_202310_backup_mart_2riyo_patient_id_mml.death_flag IS '死亡フラグ';</v>
      </c>
    </row>
    <row r="19" spans="1:52" s="25" customFormat="1" ht="52.8" thickBot="1">
      <c r="A19" s="4"/>
      <c r="B19" s="27">
        <f>ROW()-12</f>
        <v>7</v>
      </c>
      <c r="C19" s="57" t="s">
        <v>1284</v>
      </c>
      <c r="D19" s="57" t="s">
        <v>1285</v>
      </c>
      <c r="E19" s="56" t="s">
        <v>127</v>
      </c>
      <c r="F19" s="56" t="s">
        <v>317</v>
      </c>
      <c r="G19" s="56" t="str">
        <f t="shared" si="3"/>
        <v>text</v>
      </c>
      <c r="H19" s="59"/>
      <c r="I19" s="60" t="s">
        <v>127</v>
      </c>
      <c r="J19" s="64" t="s">
        <v>1845</v>
      </c>
      <c r="N19" s="76"/>
      <c r="O19" s="76"/>
      <c r="P19" s="76" t="str">
        <f t="shared" si="4"/>
        <v>,death_date</v>
      </c>
      <c r="Q19" s="76" t="str">
        <f t="shared" si="0"/>
        <v>TEXT</v>
      </c>
      <c r="R19" s="76" t="str">
        <f t="shared" si="1"/>
        <v/>
      </c>
      <c r="S19" s="76" t="str">
        <f t="shared" ref="S19" si="7">IF(I19="○","NOT NULL","")</f>
        <v>NOT NULL</v>
      </c>
      <c r="T19" s="76" t="str">
        <f t="shared" ref="T19" si="8">"-- "&amp;C19</f>
        <v>-- 死亡日時</v>
      </c>
      <c r="U19" s="4"/>
      <c r="AA19" s="4"/>
      <c r="AB19" s="4"/>
      <c r="AC19" s="4"/>
      <c r="AD19" s="4"/>
      <c r="AE19" s="4"/>
      <c r="AF19" s="4"/>
      <c r="AG19" s="4"/>
      <c r="AH19" s="4"/>
      <c r="AI19" s="4"/>
      <c r="AJ19" s="76" t="str">
        <f>IF(E19="○",IF(COUNTA(E$13:E19)=1,"",",")&amp;D19,"")</f>
        <v>,death_date</v>
      </c>
      <c r="AK19" s="4"/>
      <c r="AL19" s="4"/>
      <c r="AM19" s="4"/>
      <c r="AN19" s="4"/>
      <c r="AO19" s="4"/>
      <c r="AP19" s="4"/>
      <c r="AQ19" s="4"/>
      <c r="AR19" s="4"/>
      <c r="AS19" s="76" t="str">
        <f>"COMMENT ON COLUMN "&amp;エンティティ一覧!$O$2&amp;"."&amp;D$8&amp;"."&amp;D19&amp;" IS '"&amp;C19&amp;"';"</f>
        <v>COMMENT ON COLUMN milscm_2023_009.sny_202310_backup_mart_2riyo_patient_id_mml.death_date IS '死亡日時';</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ENT_01_A1-11</v>
      </c>
      <c r="E6" s="234"/>
      <c r="F6" s="234"/>
      <c r="G6" s="234"/>
      <c r="H6" s="234"/>
      <c r="I6" s="234"/>
      <c r="J6" s="235"/>
    </row>
    <row r="7" spans="1:45">
      <c r="B7" s="223" t="s">
        <v>115</v>
      </c>
      <c r="C7" s="224"/>
      <c r="D7" s="225" t="s">
        <v>1846</v>
      </c>
      <c r="E7" s="226"/>
      <c r="F7" s="226"/>
      <c r="G7" s="226"/>
      <c r="H7" s="226"/>
      <c r="I7" s="226"/>
      <c r="J7" s="227"/>
    </row>
    <row r="8" spans="1:45">
      <c r="B8" s="223" t="s">
        <v>116</v>
      </c>
      <c r="C8" s="224"/>
      <c r="D8" s="225" t="str">
        <f>エンティティ一覧!AE2&amp;"_"&amp;D5&amp;"_mart_2riyo_patient_himoduke"</f>
        <v>sny_202310_backup_mart_2riyo_patient_himoduke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milscm_2023_009.sny_202310_backup_mart_2riyo_patient_himoduke;</v>
      </c>
      <c r="O10" s="76"/>
      <c r="P10" s="76"/>
      <c r="Q10" s="76"/>
      <c r="R10" s="76"/>
      <c r="S10" s="76"/>
      <c r="T10" s="76"/>
      <c r="AJ10" s="76" t="str">
        <f>"ALTER TABLE ONLY "&amp;エンティティ一覧!$O$2&amp;"."&amp;D$8</f>
        <v>ALTER TABLE ONLY milscm_2023_009.sny_202310_backup_mart_2riyo_patient_himoduke</v>
      </c>
      <c r="AS10" s="76" t="str">
        <f>"ALTER TABLE "&amp;エンティティ一覧!$O$2&amp;"."&amp;D$8&amp;" OWNER TO pgmisgrp1;"</f>
        <v>ALTER TABLE milscm_2023_009.sny_202310_backup_mart_2riyo_patient_himoduke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milscm_2023_009.sny_202310_backup_mart_2riyo_patient_himoduke</v>
      </c>
      <c r="O11" s="76"/>
      <c r="P11" s="76"/>
      <c r="Q11" s="76"/>
      <c r="R11" s="76"/>
      <c r="S11" s="76"/>
      <c r="T11" s="76"/>
      <c r="AJ11" s="76" t="str">
        <f>"ADD CONSTRAINT "&amp;D$8&amp;"_pkey PRIMARY KEY"</f>
        <v>ADD CONSTRAINT sny_202310_backup_mart_2riyo_patient_himoduke_pkey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6"/>
      <c r="O14" s="76"/>
      <c r="P14" s="76" t="str">
        <f t="shared" ref="P14:P16" si="4">IF(B14&lt;&gt;1,","&amp;D14,D14)</f>
        <v>,himoduke_id</v>
      </c>
      <c r="Q14" s="76" t="str">
        <f t="shared" si="0"/>
        <v>TEXT</v>
      </c>
      <c r="R14" s="76" t="str">
        <f t="shared" si="1"/>
        <v/>
      </c>
      <c r="S14" s="76" t="str">
        <f t="shared" ref="S14:S15" si="5">IF(I14="○","NOT NULL","")</f>
        <v>NOT NULL</v>
      </c>
      <c r="T14" s="76" t="str">
        <f t="shared" ref="T14:T15"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milscm_2023_009.sny_202310_backup_mart_2riyo_patient_himoduke.himoduke_id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4"/>
      <c r="N16" s="76"/>
      <c r="O16" s="76"/>
      <c r="P16" s="76" t="str">
        <f t="shared" si="4"/>
        <v>,patient_id</v>
      </c>
      <c r="Q16" s="76" t="str">
        <f t="shared" si="0"/>
        <v>TEXT</v>
      </c>
      <c r="R16" s="76" t="str">
        <f t="shared" si="1"/>
        <v/>
      </c>
      <c r="S16" s="76" t="str">
        <f t="shared" ref="S16" si="7">IF(I16="○","NOT NULL","")</f>
        <v>NOT NULL</v>
      </c>
      <c r="T16" s="76" t="str">
        <f t="shared" ref="T16" si="8">"-- "&amp;C16</f>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milscm_2023_009.sny_202310_backup_mart_2riyo_patient_himoduke.patient_id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ENT_01_A1-13</v>
      </c>
      <c r="E6" s="234"/>
      <c r="F6" s="234"/>
      <c r="G6" s="234"/>
      <c r="H6" s="234"/>
      <c r="I6" s="234"/>
      <c r="J6" s="235"/>
    </row>
    <row r="7" spans="1:45">
      <c r="B7" s="223" t="s">
        <v>115</v>
      </c>
      <c r="C7" s="224"/>
      <c r="D7" s="225" t="s">
        <v>1852</v>
      </c>
      <c r="E7" s="226"/>
      <c r="F7" s="226"/>
      <c r="G7" s="226"/>
      <c r="H7" s="226"/>
      <c r="I7" s="226"/>
      <c r="J7" s="227"/>
    </row>
    <row r="8" spans="1:45">
      <c r="B8" s="223" t="s">
        <v>116</v>
      </c>
      <c r="C8" s="224"/>
      <c r="D8" s="225" t="str">
        <f>エンティティ一覧!AE2&amp;"_"&amp;D5&amp;"_mart_error_patient"</f>
        <v>sny_202310_backup_mart_error_patient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エラー患者データテーブルから組入れ条件の第一条件で絞り込んだ結果を格納するテーブル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milscm_2023_009.sny_202310_backup_mart_error_patient;</v>
      </c>
      <c r="O10" s="76"/>
      <c r="P10" s="76"/>
      <c r="Q10" s="76"/>
      <c r="R10" s="76"/>
      <c r="S10" s="76"/>
      <c r="T10" s="76"/>
      <c r="AJ10" s="76" t="str">
        <f>"ALTER TABLE ONLY "&amp;エンティティ一覧!$O$2&amp;"."&amp;D$8</f>
        <v>ALTER TABLE ONLY milscm_2023_009.sny_202310_backup_mart_error_patient</v>
      </c>
      <c r="AS10" s="76" t="str">
        <f>"ALTER TABLE "&amp;エンティティ一覧!$O$2&amp;"."&amp;D$8&amp;" OWNER TO pgmisgrp1;"</f>
        <v>ALTER TABLE milscm_2023_009.sny_202310_backup_mart_error_patient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milscm_2023_009.sny_202310_backup_mart_error_patient</v>
      </c>
      <c r="O11" s="76"/>
      <c r="P11" s="76"/>
      <c r="Q11" s="76"/>
      <c r="R11" s="76"/>
      <c r="S11" s="76"/>
      <c r="T11" s="76"/>
      <c r="AJ11" s="76" t="str">
        <f>"ADD CONSTRAINT "&amp;D$8&amp;"_pkey PRIMARY KEY"</f>
        <v>ADD CONSTRAINT sny_202310_backup_mart_error_patient_pkey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6"/>
      <c r="O14" s="76"/>
      <c r="P14" s="76" t="str">
        <f t="shared" ref="P14:P16" si="4">IF(B14&lt;&gt;1,","&amp;D14,D14)</f>
        <v>,himoduke_id</v>
      </c>
      <c r="Q14" s="76" t="str">
        <f t="shared" si="0"/>
        <v>TEXT</v>
      </c>
      <c r="R14" s="76" t="str">
        <f t="shared" si="1"/>
        <v/>
      </c>
      <c r="S14" s="76" t="str">
        <f t="shared" ref="S14:S16" si="5">IF(I14="○","NOT NULL","")</f>
        <v>NOT NULL</v>
      </c>
      <c r="T14" s="76" t="str">
        <f t="shared" ref="T14:T16"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milscm_2023_009.sny_202310_backup_mart_error_patient.himoduke_id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4"/>
      <c r="N16" s="76"/>
      <c r="O16" s="76"/>
      <c r="P16" s="76" t="str">
        <f t="shared" si="4"/>
        <v>,patient_id</v>
      </c>
      <c r="Q16" s="76" t="str">
        <f t="shared" si="0"/>
        <v>TEXT</v>
      </c>
      <c r="R16" s="76" t="str">
        <f t="shared" si="1"/>
        <v/>
      </c>
      <c r="S16" s="76" t="str">
        <f t="shared" si="5"/>
        <v>NOT NULL</v>
      </c>
      <c r="T16" s="76" t="str">
        <f t="shared" si="6"/>
        <v>-- 患者ID</v>
      </c>
      <c r="U16" s="4"/>
      <c r="AA16" s="4"/>
      <c r="AB16" s="4"/>
      <c r="AC16" s="4"/>
      <c r="AD16" s="4"/>
      <c r="AE16" s="4"/>
      <c r="AF16" s="4"/>
      <c r="AG16" s="4"/>
      <c r="AH16" s="4"/>
      <c r="AI16" s="4"/>
      <c r="AJ16" s="76" t="str">
        <f>IF(E16="○",IF(COUNTA(E$13:E16)=1,"",",")&amp;D16,"")</f>
        <v>,patient_id</v>
      </c>
      <c r="AK16" s="4"/>
      <c r="AL16" s="4"/>
      <c r="AM16" s="4"/>
      <c r="AN16" s="4"/>
      <c r="AO16" s="4"/>
      <c r="AP16" s="4"/>
      <c r="AQ16" s="4"/>
      <c r="AR16" s="4"/>
      <c r="AS16" s="76" t="str">
        <f>"COMMENT ON COLUMN "&amp;エンティティ一覧!$O$2&amp;"."&amp;D$8&amp;"."&amp;D16&amp;" IS '"&amp;C16&amp;"';"</f>
        <v>COMMENT ON COLUMN milscm_2023_009.sny_202310_backup_mart_error_patient.patient_id IS '患者ID';</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ENT_01_A1-14</v>
      </c>
      <c r="E6" s="234"/>
      <c r="F6" s="234"/>
      <c r="G6" s="234"/>
      <c r="H6" s="234"/>
      <c r="I6" s="234"/>
      <c r="J6" s="235"/>
    </row>
    <row r="7" spans="1:45">
      <c r="B7" s="223" t="s">
        <v>115</v>
      </c>
      <c r="C7" s="224"/>
      <c r="D7" s="225" t="s">
        <v>1853</v>
      </c>
      <c r="E7" s="226"/>
      <c r="F7" s="226"/>
      <c r="G7" s="226"/>
      <c r="H7" s="226"/>
      <c r="I7" s="226"/>
      <c r="J7" s="227"/>
    </row>
    <row r="8" spans="1:45">
      <c r="B8" s="223" t="s">
        <v>116</v>
      </c>
      <c r="C8" s="224"/>
      <c r="D8" s="225" t="str">
        <f>エンティティ一覧!AE2&amp;"_"&amp;D5&amp;"_mart_patient_basic"</f>
        <v>sny_202310_backup_mart_patient_basic</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患者基本データテーブルから組入れ条件の第一条件で絞り込んだ結果を格納するテーブル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milscm_2023_009.sny_202310_backup_mart_patient_basic;</v>
      </c>
      <c r="O10" s="76"/>
      <c r="P10" s="76"/>
      <c r="Q10" s="76"/>
      <c r="R10" s="76"/>
      <c r="S10" s="76"/>
      <c r="T10" s="76"/>
      <c r="AJ10" s="76" t="str">
        <f>"ALTER TABLE ONLY "&amp;エンティティ一覧!$O$2&amp;"."&amp;D$8</f>
        <v>ALTER TABLE ONLY milscm_2023_009.sny_202310_backup_mart_patient_basic</v>
      </c>
      <c r="AS10" s="76" t="str">
        <f>"ALTER TABLE "&amp;エンティティ一覧!$O$2&amp;"."&amp;D$8&amp;" OWNER TO pgmisgrp1;"</f>
        <v>ALTER TABLE milscm_2023_009.sny_202310_backup_mart_patient_basic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milscm_2023_009.sny_202310_backup_mart_patient_basic</v>
      </c>
      <c r="O11" s="76"/>
      <c r="P11" s="76"/>
      <c r="Q11" s="76"/>
      <c r="R11" s="76"/>
      <c r="S11" s="76"/>
      <c r="T11" s="76"/>
      <c r="AJ11" s="76" t="str">
        <f>"ADD CONSTRAINT "&amp;D$8&amp;"_pkey PRIMARY KEY"</f>
        <v>ADD CONSTRAINT sny_202310_backup_mart_patient_basic_pkey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milscm_2023_009.sny_202310_backup_mart_patient_basic.himoduke_id IS '紐付けID';</v>
      </c>
    </row>
    <row r="15" spans="1:45" s="25" customFormat="1">
      <c r="A15" s="4"/>
      <c r="B15" s="21">
        <f t="shared" si="2"/>
        <v>3</v>
      </c>
      <c r="C15" s="6" t="s">
        <v>1824</v>
      </c>
      <c r="D15" s="6" t="s">
        <v>208</v>
      </c>
      <c r="E15" s="8" t="s">
        <v>127</v>
      </c>
      <c r="F15" s="7" t="s">
        <v>1825</v>
      </c>
      <c r="G15" s="7" t="str">
        <f t="shared" ref="G15:G19" si="7">IF(F15="フラグ","boolean",IF(F15="文字列","text",IF(F15="整数","integer",IF(F15="実数","numeric",""))))</f>
        <v>text</v>
      </c>
      <c r="H15" s="26"/>
      <c r="I15" s="10" t="s">
        <v>127</v>
      </c>
      <c r="J15" s="11" t="s">
        <v>1828</v>
      </c>
      <c r="M15" s="4"/>
      <c r="N15" s="76"/>
      <c r="O15" s="76"/>
      <c r="P15" s="76" t="str">
        <f t="shared" ref="P15:P19" si="8">IF(B15&lt;&gt;1,","&amp;D15,D15)</f>
        <v>,data_type</v>
      </c>
      <c r="Q15" s="76" t="str">
        <f t="shared" ref="Q15:Q19" si="9">UPPER(G15)</f>
        <v>TEXT</v>
      </c>
      <c r="R15" s="76" t="str">
        <f t="shared" ref="R15:R19" si="10">IF(H15&lt;&gt;"","default "&amp;IF(G15="text","'"&amp;H15&amp;"'",H15),"")</f>
        <v/>
      </c>
      <c r="S15" s="76" t="str">
        <f t="shared" ref="S15:S19" si="11">IF(I15="○","NOT NULL","")</f>
        <v>NOT NULL</v>
      </c>
      <c r="T15" s="76" t="str">
        <f t="shared" ref="T15:T19" si="12">"-- "&amp;C15</f>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6"/>
      <c r="O16" s="76"/>
      <c r="P16" s="76" t="str">
        <f t="shared" si="8"/>
        <v>,shinryo_ym_min</v>
      </c>
      <c r="Q16" s="76" t="str">
        <f t="shared" si="9"/>
        <v>TEXT</v>
      </c>
      <c r="R16" s="76" t="str">
        <f t="shared" si="10"/>
        <v/>
      </c>
      <c r="S16" s="76" t="str">
        <f t="shared" si="11"/>
        <v/>
      </c>
      <c r="T16" s="76" t="str">
        <f t="shared" si="12"/>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6"/>
      <c r="O17" s="76"/>
      <c r="P17" s="76" t="str">
        <f t="shared" si="8"/>
        <v>,shinryo_ym_max</v>
      </c>
      <c r="Q17" s="76" t="str">
        <f t="shared" si="9"/>
        <v>TEXT</v>
      </c>
      <c r="R17" s="76" t="str">
        <f t="shared" si="10"/>
        <v/>
      </c>
      <c r="S17" s="76" t="str">
        <f t="shared" si="11"/>
        <v/>
      </c>
      <c r="T17" s="76" t="str">
        <f t="shared" si="12"/>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6"/>
      <c r="O18" s="76"/>
      <c r="P18" s="76" t="str">
        <f t="shared" si="8"/>
        <v>,sex_kubun</v>
      </c>
      <c r="Q18" s="76" t="str">
        <f t="shared" si="9"/>
        <v>TEXT</v>
      </c>
      <c r="R18" s="76" t="str">
        <f t="shared" si="10"/>
        <v/>
      </c>
      <c r="S18" s="76" t="str">
        <f t="shared" si="11"/>
        <v>NOT NULL</v>
      </c>
      <c r="T18" s="76" t="str">
        <f t="shared" si="12"/>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milscm_2023_009.sny_202310_backup_mart_patient_basic.sex_kubun IS '男女区分';</v>
      </c>
    </row>
    <row r="19" spans="1:52" s="25" customFormat="1" ht="52.2">
      <c r="A19" s="4"/>
      <c r="B19" s="21">
        <f t="shared" si="2"/>
        <v>7</v>
      </c>
      <c r="C19" s="6" t="s">
        <v>1836</v>
      </c>
      <c r="D19" s="6" t="s">
        <v>322</v>
      </c>
      <c r="E19" s="8"/>
      <c r="F19" s="7" t="s">
        <v>1741</v>
      </c>
      <c r="G19" s="7" t="str">
        <f t="shared" si="7"/>
        <v>text</v>
      </c>
      <c r="H19" s="26"/>
      <c r="I19" s="10" t="s">
        <v>127</v>
      </c>
      <c r="J19" s="11" t="s">
        <v>1856</v>
      </c>
      <c r="M19" s="4"/>
      <c r="N19" s="76"/>
      <c r="O19" s="76"/>
      <c r="P19" s="76" t="str">
        <f t="shared" si="8"/>
        <v>,birthday</v>
      </c>
      <c r="Q19" s="76" t="str">
        <f t="shared" si="9"/>
        <v>TEXT</v>
      </c>
      <c r="R19" s="76" t="str">
        <f t="shared" si="10"/>
        <v/>
      </c>
      <c r="S19" s="76" t="str">
        <f t="shared" si="11"/>
        <v>NOT NULL</v>
      </c>
      <c r="T19" s="76" t="str">
        <f t="shared" si="12"/>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milscm_2023_009.sny_202310_backup_mart_patient_basic.birthday IS '生年月日';</v>
      </c>
    </row>
    <row r="20" spans="1:52" s="25" customFormat="1" ht="69.599999999999994">
      <c r="A20" s="4"/>
      <c r="B20" s="21">
        <f t="shared" si="2"/>
        <v>8</v>
      </c>
      <c r="C20" s="6" t="s">
        <v>1282</v>
      </c>
      <c r="D20" s="6" t="s">
        <v>1283</v>
      </c>
      <c r="E20" s="8"/>
      <c r="F20" s="7" t="s">
        <v>317</v>
      </c>
      <c r="G20" s="7" t="str">
        <f t="shared" si="3"/>
        <v>text</v>
      </c>
      <c r="H20" s="26"/>
      <c r="I20" s="10"/>
      <c r="J20" s="11" t="s">
        <v>1857</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milscm_2023_009.sny_202310_backup_mart_patient_basic.death_flag IS '死亡フラグ';</v>
      </c>
    </row>
    <row r="21" spans="1:52" s="25" customFormat="1" ht="70.2" thickBot="1">
      <c r="A21" s="4"/>
      <c r="B21" s="27">
        <f>ROW()-12</f>
        <v>9</v>
      </c>
      <c r="C21" s="57" t="s">
        <v>1284</v>
      </c>
      <c r="D21" s="57" t="s">
        <v>1285</v>
      </c>
      <c r="E21" s="56"/>
      <c r="F21" s="56" t="s">
        <v>317</v>
      </c>
      <c r="G21" s="56" t="str">
        <f t="shared" si="3"/>
        <v>text</v>
      </c>
      <c r="H21" s="59"/>
      <c r="I21" s="60"/>
      <c r="J21" s="64" t="s">
        <v>1858</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ENT_01_A3-02</v>
      </c>
      <c r="E6" s="234"/>
      <c r="F6" s="234"/>
      <c r="G6" s="234"/>
      <c r="H6" s="234"/>
      <c r="I6" s="234"/>
      <c r="J6" s="235"/>
    </row>
    <row r="7" spans="1:45">
      <c r="B7" s="223" t="s">
        <v>115</v>
      </c>
      <c r="C7" s="224"/>
      <c r="D7" s="225" t="s">
        <v>1859</v>
      </c>
      <c r="E7" s="226"/>
      <c r="F7" s="226"/>
      <c r="G7" s="226"/>
      <c r="H7" s="226"/>
      <c r="I7" s="226"/>
      <c r="J7" s="227"/>
    </row>
    <row r="8" spans="1:45">
      <c r="B8" s="223" t="s">
        <v>116</v>
      </c>
      <c r="C8" s="224"/>
      <c r="D8" s="225" t="str">
        <f>エンティティ一覧!AE2&amp;"_"&amp;D5&amp;"_mt_shisetsu_zokusei"</f>
        <v>sny_202310_backup_mt_shisetsu_zokusei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milscm_2023_009.sny_202310_backup_mt_shisetsu_zokusei;</v>
      </c>
      <c r="O10" s="76"/>
      <c r="P10" s="76"/>
      <c r="Q10" s="76"/>
      <c r="R10" s="76"/>
      <c r="S10" s="76"/>
      <c r="T10" s="76"/>
      <c r="AJ10" s="76" t="str">
        <f>"ALTER TABLE ONLY "&amp;エンティティ一覧!$O$2&amp;"."&amp;D$8</f>
        <v>ALTER TABLE ONLY milscm_2023_009.sny_202310_backup_mt_shisetsu_zokusei</v>
      </c>
      <c r="AS10" s="76" t="str">
        <f>"ALTER TABLE "&amp;エンティティ一覧!$O$2&amp;"."&amp;D$8&amp;" OWNER TO pgmisgrp1;"</f>
        <v>ALTER TABLE milscm_2023_009.sny_202310_backup_mt_shisetsu_zokusei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milscm_2023_009.sny_202310_backup_mt_shisetsu_zokusei</v>
      </c>
      <c r="O11" s="76"/>
      <c r="P11" s="76"/>
      <c r="Q11" s="76"/>
      <c r="R11" s="76"/>
      <c r="S11" s="76"/>
      <c r="T11" s="76"/>
      <c r="AJ11" s="76" t="str">
        <f>"ADD CONSTRAINT "&amp;D$8&amp;"_pkey PRIMARY KEY"</f>
        <v>ADD CONSTRAINT sny_202310_backup_mt_shisetsu_zokusei_pkey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milscm_2023_009.sny_202310_backup_mt_shisetsu_zokusei IS 'バックアップ_施設属性マスタ取込用';</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1886</v>
      </c>
      <c r="M13" s="4"/>
      <c r="N13" s="76"/>
      <c r="O13" s="76"/>
      <c r="P13" s="76" t="str">
        <f>IF(B13&lt;&gt;1,","&amp;D13,D13)</f>
        <v>facility_id</v>
      </c>
      <c r="Q13" s="76" t="str">
        <f t="shared" ref="Q13:Q26" si="0">UPPER(G13)</f>
        <v>TEXT</v>
      </c>
      <c r="R13" s="76" t="str">
        <f t="shared" ref="R13:R2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milscm_2023_009.sny_202310_backup_mt_shisetsu_zokusei.facility_id IS '施設ID';</v>
      </c>
    </row>
    <row r="14" spans="1:45" s="25" customFormat="1" ht="34.799999999999997">
      <c r="A14" s="4"/>
      <c r="B14" s="21">
        <f t="shared" ref="B14:B25" si="2">ROW()-12</f>
        <v>2</v>
      </c>
      <c r="C14" s="6" t="s">
        <v>1860</v>
      </c>
      <c r="D14" s="6" t="s">
        <v>1861</v>
      </c>
      <c r="E14" s="8"/>
      <c r="F14" s="7" t="s">
        <v>204</v>
      </c>
      <c r="G14" s="7" t="str">
        <f t="shared" ref="G14:G26" si="3">IF(F14="フラグ","boolean",IF(F14="文字列","text",IF(F14="整数","integer",IF(F14="実数","numeric",""))))</f>
        <v>integer</v>
      </c>
      <c r="H14" s="26">
        <v>0</v>
      </c>
      <c r="I14" s="10" t="s">
        <v>127</v>
      </c>
      <c r="J14" s="11" t="s">
        <v>1887</v>
      </c>
      <c r="M14" s="4"/>
      <c r="N14" s="76"/>
      <c r="O14" s="76"/>
      <c r="P14" s="76" t="str">
        <f t="shared" ref="P14:P26" si="4">IF(B14&lt;&gt;1,","&amp;D14,D14)</f>
        <v>,ippan_bed</v>
      </c>
      <c r="Q14" s="76" t="str">
        <f t="shared" si="0"/>
        <v>INTEGER</v>
      </c>
      <c r="R14" s="76" t="str">
        <f t="shared" si="1"/>
        <v>default 0</v>
      </c>
      <c r="S14" s="76" t="str">
        <f t="shared" ref="S14:S26" si="5">IF(I14="○","NOT NULL","")</f>
        <v>NOT NULL</v>
      </c>
      <c r="T14" s="76" t="str">
        <f t="shared" ref="T14:T26" si="6">"-- "&amp;C14</f>
        <v>-- 一般病床</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milscm_2023_009.sny_202310_backup_mt_shisetsu_zokusei.ippan_bed IS '一般病床';</v>
      </c>
    </row>
    <row r="15" spans="1:45" s="25" customFormat="1" ht="34.799999999999997">
      <c r="A15" s="4"/>
      <c r="B15" s="21">
        <f t="shared" si="2"/>
        <v>3</v>
      </c>
      <c r="C15" s="6" t="s">
        <v>1862</v>
      </c>
      <c r="D15" s="6" t="s">
        <v>1863</v>
      </c>
      <c r="E15" s="8"/>
      <c r="F15" s="7" t="s">
        <v>204</v>
      </c>
      <c r="G15" s="7" t="str">
        <f t="shared" si="3"/>
        <v>integer</v>
      </c>
      <c r="H15" s="26">
        <v>0</v>
      </c>
      <c r="I15" s="10" t="s">
        <v>127</v>
      </c>
      <c r="J15" s="11" t="s">
        <v>1887</v>
      </c>
      <c r="M15" s="4"/>
      <c r="N15" s="76"/>
      <c r="O15" s="76"/>
      <c r="P15" s="76" t="str">
        <f t="shared" si="4"/>
        <v>,seishin_bed</v>
      </c>
      <c r="Q15" s="76" t="str">
        <f t="shared" si="0"/>
        <v>INTEGER</v>
      </c>
      <c r="R15" s="76" t="str">
        <f t="shared" si="1"/>
        <v>default 0</v>
      </c>
      <c r="S15" s="76" t="str">
        <f t="shared" si="5"/>
        <v>NOT NULL</v>
      </c>
      <c r="T15" s="76" t="str">
        <f t="shared" si="6"/>
        <v>-- 精神病床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milscm_2023_009.sny_202310_backup_mt_shisetsu_zokusei.seishin_bed IS '精神病床';</v>
      </c>
    </row>
    <row r="16" spans="1:45" s="25" customFormat="1" ht="34.799999999999997">
      <c r="A16" s="4"/>
      <c r="B16" s="21">
        <f t="shared" si="2"/>
        <v>4</v>
      </c>
      <c r="C16" s="6" t="s">
        <v>1864</v>
      </c>
      <c r="D16" s="6" t="s">
        <v>1865</v>
      </c>
      <c r="E16" s="8"/>
      <c r="F16" s="7" t="s">
        <v>204</v>
      </c>
      <c r="G16" s="7" t="str">
        <f t="shared" si="3"/>
        <v>integer</v>
      </c>
      <c r="H16" s="26">
        <v>0</v>
      </c>
      <c r="I16" s="10" t="s">
        <v>127</v>
      </c>
      <c r="J16" s="11" t="s">
        <v>1887</v>
      </c>
      <c r="M16" s="4"/>
      <c r="N16" s="76"/>
      <c r="O16" s="76"/>
      <c r="P16" s="76" t="str">
        <f t="shared" si="4"/>
        <v>,kansen_bed</v>
      </c>
      <c r="Q16" s="76" t="str">
        <f t="shared" si="0"/>
        <v>INTEGER</v>
      </c>
      <c r="R16" s="76" t="str">
        <f t="shared" si="1"/>
        <v>default 0</v>
      </c>
      <c r="S16" s="76" t="str">
        <f t="shared" si="5"/>
        <v>NOT NULL</v>
      </c>
      <c r="T16" s="76" t="str">
        <f t="shared" si="6"/>
        <v>-- 感染症病床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milscm_2023_009.sny_202310_backup_mt_shisetsu_zokusei.kansen_bed IS '感染症病床';</v>
      </c>
    </row>
    <row r="17" spans="1:52" s="25" customFormat="1" ht="34.799999999999997">
      <c r="A17" s="4"/>
      <c r="B17" s="21">
        <f t="shared" si="2"/>
        <v>5</v>
      </c>
      <c r="C17" s="6" t="s">
        <v>1866</v>
      </c>
      <c r="D17" s="6" t="s">
        <v>1867</v>
      </c>
      <c r="E17" s="8"/>
      <c r="F17" s="7" t="s">
        <v>204</v>
      </c>
      <c r="G17" s="7" t="str">
        <f t="shared" si="3"/>
        <v>integer</v>
      </c>
      <c r="H17" s="26">
        <v>0</v>
      </c>
      <c r="I17" s="10" t="s">
        <v>127</v>
      </c>
      <c r="J17" s="11" t="s">
        <v>1887</v>
      </c>
      <c r="M17" s="4"/>
      <c r="N17" s="76"/>
      <c r="O17" s="76"/>
      <c r="P17" s="76" t="str">
        <f t="shared" si="4"/>
        <v>,kekkaku_bed</v>
      </c>
      <c r="Q17" s="76" t="str">
        <f t="shared" si="0"/>
        <v>INTEGER</v>
      </c>
      <c r="R17" s="76" t="str">
        <f t="shared" si="1"/>
        <v>default 0</v>
      </c>
      <c r="S17" s="76" t="str">
        <f t="shared" si="5"/>
        <v>NOT NULL</v>
      </c>
      <c r="T17" s="76" t="str">
        <f t="shared" si="6"/>
        <v>-- 結核病床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milscm_2023_009.sny_202310_backup_mt_shisetsu_zokusei.kekkaku_bed IS '結核病床';</v>
      </c>
    </row>
    <row r="18" spans="1:52" s="25" customFormat="1" ht="34.799999999999997">
      <c r="A18" s="4"/>
      <c r="B18" s="21">
        <f t="shared" si="2"/>
        <v>6</v>
      </c>
      <c r="C18" s="6" t="s">
        <v>1868</v>
      </c>
      <c r="D18" s="6" t="s">
        <v>1869</v>
      </c>
      <c r="E18" s="8"/>
      <c r="F18" s="7" t="s">
        <v>204</v>
      </c>
      <c r="G18" s="7" t="str">
        <f t="shared" si="3"/>
        <v>integer</v>
      </c>
      <c r="H18" s="26">
        <v>0</v>
      </c>
      <c r="I18" s="10" t="s">
        <v>127</v>
      </c>
      <c r="J18" s="11" t="s">
        <v>1887</v>
      </c>
      <c r="M18" s="4"/>
      <c r="N18" s="76"/>
      <c r="O18" s="76"/>
      <c r="P18" s="76" t="str">
        <f t="shared" si="4"/>
        <v>,ryouyou_bed</v>
      </c>
      <c r="Q18" s="76" t="str">
        <f t="shared" si="0"/>
        <v>INTEGER</v>
      </c>
      <c r="R18" s="76" t="str">
        <f t="shared" si="1"/>
        <v>default 0</v>
      </c>
      <c r="S18" s="76" t="str">
        <f t="shared" si="5"/>
        <v>NOT NULL</v>
      </c>
      <c r="T18" s="76" t="str">
        <f t="shared" si="6"/>
        <v>-- 療養病床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milscm_2023_009.sny_202310_backup_mt_shisetsu_zokusei.ryouyou_bed IS '療養病床';</v>
      </c>
    </row>
    <row r="19" spans="1:52" s="25" customFormat="1" ht="34.799999999999997">
      <c r="A19" s="4"/>
      <c r="B19" s="21">
        <f t="shared" si="2"/>
        <v>7</v>
      </c>
      <c r="C19" s="6" t="s">
        <v>1870</v>
      </c>
      <c r="D19" s="6" t="s">
        <v>1871</v>
      </c>
      <c r="E19" s="8"/>
      <c r="F19" s="7" t="s">
        <v>737</v>
      </c>
      <c r="G19" s="7" t="str">
        <f t="shared" si="3"/>
        <v>text</v>
      </c>
      <c r="H19" s="26">
        <v>0</v>
      </c>
      <c r="I19" s="10" t="s">
        <v>127</v>
      </c>
      <c r="J19" s="11" t="s">
        <v>1888</v>
      </c>
      <c r="M19" s="4"/>
      <c r="N19" s="76"/>
      <c r="O19" s="76"/>
      <c r="P19" s="76" t="str">
        <f t="shared" si="4"/>
        <v>,univ_hp_f</v>
      </c>
      <c r="Q19" s="76" t="str">
        <f t="shared" si="0"/>
        <v>TEXT</v>
      </c>
      <c r="R19" s="76" t="str">
        <f t="shared" si="1"/>
        <v>default '0'</v>
      </c>
      <c r="S19" s="76" t="str">
        <f t="shared" si="5"/>
        <v>NOT NULL</v>
      </c>
      <c r="T19" s="76" t="str">
        <f t="shared" si="6"/>
        <v>-- 大学病院F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milscm_2023_009.sny_202310_backup_mt_shisetsu_zokusei.univ_hp_f IS '大学病院F';</v>
      </c>
    </row>
    <row r="20" spans="1:52" s="25" customFormat="1" ht="69.599999999999994">
      <c r="A20" s="4"/>
      <c r="B20" s="21">
        <f t="shared" si="2"/>
        <v>8</v>
      </c>
      <c r="C20" s="6" t="s">
        <v>1872</v>
      </c>
      <c r="D20" s="6" t="s">
        <v>1873</v>
      </c>
      <c r="E20" s="8"/>
      <c r="F20" s="7" t="s">
        <v>737</v>
      </c>
      <c r="G20" s="7" t="str">
        <f t="shared" ref="G20:G24" si="7">IF(F20="フラグ","boolean",IF(F20="文字列","text",IF(F20="整数","integer",IF(F20="実数","numeric",""))))</f>
        <v>text</v>
      </c>
      <c r="H20" s="26">
        <v>0</v>
      </c>
      <c r="I20" s="10" t="s">
        <v>127</v>
      </c>
      <c r="J20" s="11" t="s">
        <v>1889</v>
      </c>
      <c r="M20" s="4"/>
      <c r="N20" s="76"/>
      <c r="O20" s="76"/>
      <c r="P20" s="76" t="str">
        <f t="shared" ref="P20:P24" si="8">IF(B20&lt;&gt;1,","&amp;D20,D20)</f>
        <v>,tokutei_hp_f</v>
      </c>
      <c r="Q20" s="76" t="str">
        <f t="shared" ref="Q20:Q24" si="9">UPPER(G20)</f>
        <v>TEXT</v>
      </c>
      <c r="R20" s="76" t="str">
        <f t="shared" ref="R20:R24" si="10">IF(H20&lt;&gt;"","default "&amp;IF(G20="text","'"&amp;H20&amp;"'",H20),"")</f>
        <v>default '0'</v>
      </c>
      <c r="S20" s="76" t="str">
        <f t="shared" ref="S20:S24" si="11">IF(I20="○","NOT NULL","")</f>
        <v>NOT NULL</v>
      </c>
      <c r="T20" s="76" t="str">
        <f t="shared" ref="T20:T24" si="12">"-- "&amp;C20</f>
        <v>-- 特定機能病院F</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milscm_2023_009.sny_202310_backup_mt_shisetsu_zokusei.tokutei_hp_f IS '特定機能病院F';</v>
      </c>
    </row>
    <row r="21" spans="1:52" s="25" customFormat="1" ht="121.8">
      <c r="A21" s="4"/>
      <c r="B21" s="21">
        <f t="shared" si="2"/>
        <v>9</v>
      </c>
      <c r="C21" s="6" t="s">
        <v>1874</v>
      </c>
      <c r="D21" s="6" t="s">
        <v>1875</v>
      </c>
      <c r="E21" s="8"/>
      <c r="F21" s="7" t="s">
        <v>204</v>
      </c>
      <c r="G21" s="7" t="str">
        <f t="shared" si="7"/>
        <v>integer</v>
      </c>
      <c r="H21" s="26">
        <v>0</v>
      </c>
      <c r="I21" s="10" t="s">
        <v>127</v>
      </c>
      <c r="J21" s="11" t="s">
        <v>1890</v>
      </c>
      <c r="M21" s="4"/>
      <c r="N21" s="76"/>
      <c r="O21" s="76"/>
      <c r="P21" s="76" t="str">
        <f t="shared" si="8"/>
        <v>,cancer_hp_f</v>
      </c>
      <c r="Q21" s="76" t="str">
        <f t="shared" si="9"/>
        <v>INTEGER</v>
      </c>
      <c r="R21" s="76" t="str">
        <f t="shared" si="10"/>
        <v>default 0</v>
      </c>
      <c r="S21" s="76" t="str">
        <f t="shared" si="11"/>
        <v>NOT NULL</v>
      </c>
      <c r="T21" s="76" t="str">
        <f t="shared" si="12"/>
        <v>-- がん拠点病院F</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milscm_2023_009.sny_202310_backup_mt_shisetsu_zokusei.cancer_hp_f IS 'がん拠点病院F';</v>
      </c>
    </row>
    <row r="22" spans="1:52" s="25" customFormat="1" ht="34.799999999999997">
      <c r="A22" s="4"/>
      <c r="B22" s="21">
        <f t="shared" si="2"/>
        <v>10</v>
      </c>
      <c r="C22" s="6" t="s">
        <v>1876</v>
      </c>
      <c r="D22" s="6" t="s">
        <v>1877</v>
      </c>
      <c r="E22" s="8"/>
      <c r="F22" s="7" t="s">
        <v>737</v>
      </c>
      <c r="G22" s="7" t="str">
        <f t="shared" si="7"/>
        <v>text</v>
      </c>
      <c r="H22" s="26">
        <v>0</v>
      </c>
      <c r="I22" s="10" t="s">
        <v>127</v>
      </c>
      <c r="J22" s="11" t="s">
        <v>1891</v>
      </c>
      <c r="M22" s="4"/>
      <c r="N22" s="76"/>
      <c r="O22" s="76"/>
      <c r="P22" s="76" t="str">
        <f t="shared" si="8"/>
        <v>,high_acute_care_hp_f</v>
      </c>
      <c r="Q22" s="76" t="str">
        <f t="shared" si="9"/>
        <v>TEXT</v>
      </c>
      <c r="R22" s="76" t="str">
        <f t="shared" si="10"/>
        <v>default '0'</v>
      </c>
      <c r="S22" s="76" t="str">
        <f t="shared" si="11"/>
        <v>NOT NULL</v>
      </c>
      <c r="T22" s="76" t="str">
        <f t="shared" si="12"/>
        <v>-- 高度急性期病院F</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milscm_2023_009.sny_202310_backup_mt_shisetsu_zokusei.high_acute_care_hp_f IS '高度急性期病院F';</v>
      </c>
    </row>
    <row r="23" spans="1:52" s="25" customFormat="1" ht="34.799999999999997">
      <c r="A23" s="4"/>
      <c r="B23" s="21">
        <f t="shared" si="2"/>
        <v>11</v>
      </c>
      <c r="C23" s="6" t="s">
        <v>1878</v>
      </c>
      <c r="D23" s="6" t="s">
        <v>1879</v>
      </c>
      <c r="E23" s="8"/>
      <c r="F23" s="7" t="s">
        <v>737</v>
      </c>
      <c r="G23" s="7" t="str">
        <f t="shared" si="7"/>
        <v>text</v>
      </c>
      <c r="H23" s="26">
        <v>0</v>
      </c>
      <c r="I23" s="10" t="s">
        <v>127</v>
      </c>
      <c r="J23" s="11" t="s">
        <v>1892</v>
      </c>
      <c r="M23" s="4"/>
      <c r="N23" s="76"/>
      <c r="O23" s="76"/>
      <c r="P23" s="76" t="str">
        <f t="shared" si="8"/>
        <v>,acute_care_hp_f</v>
      </c>
      <c r="Q23" s="76" t="str">
        <f t="shared" si="9"/>
        <v>TEXT</v>
      </c>
      <c r="R23" s="76" t="str">
        <f t="shared" si="10"/>
        <v>default '0'</v>
      </c>
      <c r="S23" s="76" t="str">
        <f t="shared" si="11"/>
        <v>NOT NULL</v>
      </c>
      <c r="T23" s="76" t="str">
        <f t="shared" si="12"/>
        <v>-- 急性期病院F</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milscm_2023_009.sny_202310_backup_mt_shisetsu_zokusei.acute_care_hp_f IS '急性期病院F';</v>
      </c>
    </row>
    <row r="24" spans="1:52" s="25" customFormat="1">
      <c r="A24" s="4"/>
      <c r="B24" s="21">
        <f t="shared" si="2"/>
        <v>12</v>
      </c>
      <c r="C24" s="6" t="s">
        <v>1880</v>
      </c>
      <c r="D24" s="6" t="s">
        <v>1881</v>
      </c>
      <c r="E24" s="8"/>
      <c r="F24" s="7" t="s">
        <v>737</v>
      </c>
      <c r="G24" s="7" t="str">
        <f t="shared" si="7"/>
        <v>text</v>
      </c>
      <c r="H24" s="26">
        <v>0</v>
      </c>
      <c r="I24" s="10" t="s">
        <v>127</v>
      </c>
      <c r="J24" s="11" t="s">
        <v>1893</v>
      </c>
      <c r="M24" s="4"/>
      <c r="N24" s="76"/>
      <c r="O24" s="76"/>
      <c r="P24" s="76" t="str">
        <f t="shared" si="8"/>
        <v>,mil_exit_f</v>
      </c>
      <c r="Q24" s="76" t="str">
        <f t="shared" si="9"/>
        <v>TEXT</v>
      </c>
      <c r="R24" s="76" t="str">
        <f t="shared" si="10"/>
        <v>default '0'</v>
      </c>
      <c r="S24" s="76" t="str">
        <f t="shared" si="11"/>
        <v>NOT NULL</v>
      </c>
      <c r="T24" s="76" t="str">
        <f t="shared" si="12"/>
        <v>-- 千年カルテ離脱施設フラグ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milscm_2023_009.sny_202310_backup_mt_shisetsu_zokusei.mil_exit_f IS '千年カルテ離脱施設フラグ';</v>
      </c>
    </row>
    <row r="25" spans="1:52" s="25" customFormat="1" ht="52.2">
      <c r="A25" s="4"/>
      <c r="B25" s="21">
        <f t="shared" si="2"/>
        <v>13</v>
      </c>
      <c r="C25" s="6" t="s">
        <v>1882</v>
      </c>
      <c r="D25" s="6" t="s">
        <v>1883</v>
      </c>
      <c r="E25" s="8" t="s">
        <v>127</v>
      </c>
      <c r="F25" s="7" t="s">
        <v>737</v>
      </c>
      <c r="G25" s="7" t="str">
        <f t="shared" si="3"/>
        <v>text</v>
      </c>
      <c r="H25" s="26">
        <v>999999</v>
      </c>
      <c r="I25" s="10" t="s">
        <v>127</v>
      </c>
      <c r="J25" s="11" t="s">
        <v>1894</v>
      </c>
      <c r="M25" s="4"/>
      <c r="N25" s="76"/>
      <c r="O25" s="76"/>
      <c r="P25" s="76" t="str">
        <f t="shared" si="4"/>
        <v>,torikomi_kijun_ym</v>
      </c>
      <c r="Q25" s="76" t="str">
        <f t="shared" si="0"/>
        <v>TEXT</v>
      </c>
      <c r="R25" s="76" t="str">
        <f t="shared" si="1"/>
        <v>default '999999'</v>
      </c>
      <c r="S25" s="76" t="str">
        <f t="shared" si="5"/>
        <v>NOT NULL</v>
      </c>
      <c r="T25" s="76" t="str">
        <f t="shared" si="6"/>
        <v>-- 取込基準年月</v>
      </c>
      <c r="U25" s="4"/>
      <c r="AA25" s="4"/>
      <c r="AB25" s="4"/>
      <c r="AC25" s="4"/>
      <c r="AD25" s="4"/>
      <c r="AE25" s="4"/>
      <c r="AF25" s="4"/>
      <c r="AG25" s="4"/>
      <c r="AH25" s="4"/>
      <c r="AI25" s="4"/>
      <c r="AJ25" s="76" t="str">
        <f>IF(E25="○",IF(COUNTA(E$13:E25)=1,"",",")&amp;D25,"")</f>
        <v>,torikomi_kijun_ym</v>
      </c>
      <c r="AK25" s="4"/>
      <c r="AL25" s="4"/>
      <c r="AM25" s="4"/>
      <c r="AN25" s="4"/>
      <c r="AO25" s="4"/>
      <c r="AP25" s="4"/>
      <c r="AQ25" s="4"/>
      <c r="AR25" s="4"/>
      <c r="AS25" s="76" t="str">
        <f>"COMMENT ON COLUMN "&amp;エンティティ一覧!$O$2&amp;"."&amp;D$8&amp;"."&amp;D25&amp;" IS '"&amp;C25&amp;"';"</f>
        <v>COMMENT ON COLUMN milscm_2023_009.sny_202310_backup_mt_shisetsu_zokusei.torikomi_kijun_ym IS '取込基準年月';</v>
      </c>
    </row>
    <row r="26" spans="1:52" s="25" customFormat="1" ht="18" thickBot="1">
      <c r="A26" s="4"/>
      <c r="B26" s="27">
        <f>ROW()-12</f>
        <v>14</v>
      </c>
      <c r="C26" s="57" t="s">
        <v>1884</v>
      </c>
      <c r="D26" s="57" t="s">
        <v>1885</v>
      </c>
      <c r="E26" s="56"/>
      <c r="F26" s="56" t="s">
        <v>737</v>
      </c>
      <c r="G26" s="56" t="str">
        <f t="shared" si="3"/>
        <v>text</v>
      </c>
      <c r="H26" s="59">
        <v>99999999</v>
      </c>
      <c r="I26" s="60" t="s">
        <v>127</v>
      </c>
      <c r="J26" s="64" t="s">
        <v>1798</v>
      </c>
      <c r="N26" s="76"/>
      <c r="O26" s="76"/>
      <c r="P26" s="76" t="str">
        <f t="shared" si="4"/>
        <v>,update_ymd</v>
      </c>
      <c r="Q26" s="76" t="str">
        <f t="shared" si="0"/>
        <v>TEXT</v>
      </c>
      <c r="R26" s="76" t="str">
        <f t="shared" si="1"/>
        <v>default '99999999'</v>
      </c>
      <c r="S26" s="76" t="str">
        <f t="shared" si="5"/>
        <v>NOT NULL</v>
      </c>
      <c r="T26" s="76" t="str">
        <f t="shared" si="6"/>
        <v>-- データ登録年月日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milscm_2023_009.sny_202310_backup_mt_shisetsu_zokusei.update_ymd IS 'データ登録年月日';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ENT_01_A3-03</v>
      </c>
      <c r="E6" s="234"/>
      <c r="F6" s="234"/>
      <c r="G6" s="234"/>
      <c r="H6" s="234"/>
      <c r="I6" s="234"/>
      <c r="J6" s="235"/>
    </row>
    <row r="7" spans="1:45">
      <c r="B7" s="223" t="s">
        <v>115</v>
      </c>
      <c r="C7" s="224"/>
      <c r="D7" s="225" t="s">
        <v>1895</v>
      </c>
      <c r="E7" s="226"/>
      <c r="F7" s="226"/>
      <c r="G7" s="226"/>
      <c r="H7" s="226"/>
      <c r="I7" s="226"/>
      <c r="J7" s="227"/>
    </row>
    <row r="8" spans="1:45">
      <c r="B8" s="223" t="s">
        <v>116</v>
      </c>
      <c r="C8" s="224"/>
      <c r="D8" s="225" t="str">
        <f>エンティティ一覧!AE2&amp;"_"&amp;D5&amp;"_mt_iryouken2"</f>
        <v>sny_202310_backup_mt_iryouken2</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milscm_2023_009.sny_202310_backup_mt_iryouken2;</v>
      </c>
      <c r="O10" s="76"/>
      <c r="P10" s="76"/>
      <c r="Q10" s="76"/>
      <c r="R10" s="76"/>
      <c r="S10" s="76"/>
      <c r="T10" s="76"/>
      <c r="AJ10" s="76" t="str">
        <f>"ALTER TABLE ONLY "&amp;エンティティ一覧!$O$2&amp;"."&amp;D$8</f>
        <v>ALTER TABLE ONLY milscm_2023_009.sny_202310_backup_mt_iryouken2</v>
      </c>
      <c r="AS10" s="76" t="str">
        <f>"ALTER TABLE "&amp;エンティティ一覧!$O$2&amp;"."&amp;D$8&amp;" OWNER TO pgmisgrp1;"</f>
        <v>ALTER TABLE milscm_2023_009.sny_202310_backup_mt_iryouken2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milscm_2023_009.sny_202310_backup_mt_iryouken2</v>
      </c>
      <c r="O11" s="76"/>
      <c r="P11" s="76"/>
      <c r="Q11" s="76"/>
      <c r="R11" s="76"/>
      <c r="S11" s="76"/>
      <c r="T11" s="76"/>
      <c r="AJ11" s="76" t="str">
        <f>"ADD CONSTRAINT "&amp;D$8&amp;"_pkey PRIMARY KEY"</f>
        <v>ADD CONSTRAINT sny_202310_backup_mt_iryouken2_pkey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milscm_2023_009.sny_202310_backup_mt_iryouken2 IS 'バックアップ_二次医療圏マスタ取込用';</v>
      </c>
    </row>
    <row r="13" spans="1:45" s="25" customFormat="1" ht="34.799999999999997">
      <c r="A13" s="4"/>
      <c r="B13" s="21">
        <f>ROW()-12</f>
        <v>1</v>
      </c>
      <c r="C13" s="6" t="s">
        <v>1896</v>
      </c>
      <c r="D13" s="6" t="s">
        <v>1897</v>
      </c>
      <c r="E13" s="8"/>
      <c r="F13" s="8" t="s">
        <v>737</v>
      </c>
      <c r="G13" s="7" t="str">
        <f>IF(F13="フラグ","boolean",IF(F13="文字列","text",IF(F13="整数","integer",IF(F13="実数","numeric",""))))</f>
        <v>text</v>
      </c>
      <c r="H13" s="9"/>
      <c r="I13" s="10" t="s">
        <v>127</v>
      </c>
      <c r="J13" s="11" t="s">
        <v>1913</v>
      </c>
      <c r="M13" s="4"/>
      <c r="N13" s="76"/>
      <c r="O13" s="76"/>
      <c r="P13" s="76" t="str">
        <f>IF(B13&lt;&gt;1,","&amp;D13,D13)</f>
        <v>iryouken2_cd</v>
      </c>
      <c r="Q13" s="76" t="str">
        <f t="shared" ref="Q13:Q22" si="0">UPPER(G13)</f>
        <v>TEXT</v>
      </c>
      <c r="R13" s="76" t="str">
        <f t="shared" ref="R13:R22"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milscm_2023_009.sny_202310_backup_mt_iryouken2.iryouken2_cd IS '二次医療圏コード';</v>
      </c>
    </row>
    <row r="14" spans="1:45" s="25" customFormat="1" ht="34.799999999999997">
      <c r="A14" s="4"/>
      <c r="B14" s="21">
        <f t="shared" ref="B14:B21" si="2">ROW()-12</f>
        <v>2</v>
      </c>
      <c r="C14" s="6" t="s">
        <v>1898</v>
      </c>
      <c r="D14" s="6" t="s">
        <v>1899</v>
      </c>
      <c r="E14" s="8"/>
      <c r="F14" s="7" t="s">
        <v>737</v>
      </c>
      <c r="G14" s="7" t="str">
        <f t="shared" ref="G14:G22" si="3">IF(F14="フラグ","boolean",IF(F14="文字列","text",IF(F14="整数","integer",IF(F14="実数","numeric",""))))</f>
        <v>text</v>
      </c>
      <c r="H14" s="26"/>
      <c r="I14" s="10"/>
      <c r="J14" s="11" t="s">
        <v>1913</v>
      </c>
      <c r="M14" s="4"/>
      <c r="N14" s="76"/>
      <c r="O14" s="76"/>
      <c r="P14" s="76" t="str">
        <f t="shared" ref="P14:P22" si="4">IF(B14&lt;&gt;1,","&amp;D14,D14)</f>
        <v>,iryouken2</v>
      </c>
      <c r="Q14" s="76" t="str">
        <f t="shared" si="0"/>
        <v>TEXT</v>
      </c>
      <c r="R14" s="76" t="str">
        <f t="shared" si="1"/>
        <v/>
      </c>
      <c r="S14" s="76" t="str">
        <f t="shared" ref="S14:S22" si="5">IF(I14="○","NOT NULL","")</f>
        <v/>
      </c>
      <c r="T14" s="76" t="str">
        <f t="shared" ref="T14:T22"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milscm_2023_009.sny_202310_backup_mt_iryouken2.iryouken2 IS '二次医療圏';</v>
      </c>
    </row>
    <row r="15" spans="1:45" s="25" customFormat="1" ht="34.799999999999997">
      <c r="A15" s="4"/>
      <c r="B15" s="21">
        <f t="shared" si="2"/>
        <v>3</v>
      </c>
      <c r="C15" s="6" t="s">
        <v>1900</v>
      </c>
      <c r="D15" s="6" t="s">
        <v>1901</v>
      </c>
      <c r="E15" s="8"/>
      <c r="F15" s="7" t="s">
        <v>737</v>
      </c>
      <c r="G15" s="7" t="str">
        <f t="shared" si="3"/>
        <v>text</v>
      </c>
      <c r="H15" s="26"/>
      <c r="I15" s="10" t="s">
        <v>127</v>
      </c>
      <c r="J15" s="11" t="s">
        <v>1913</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milscm_2023_009.sny_202310_backup_mt_iryouken2.prefecture_cd IS '都道府県コード';</v>
      </c>
    </row>
    <row r="16" spans="1:45" s="25" customFormat="1" ht="34.799999999999997">
      <c r="A16" s="4"/>
      <c r="B16" s="21">
        <f t="shared" si="2"/>
        <v>4</v>
      </c>
      <c r="C16" s="6" t="s">
        <v>1902</v>
      </c>
      <c r="D16" s="6" t="s">
        <v>921</v>
      </c>
      <c r="E16" s="8"/>
      <c r="F16" s="7" t="s">
        <v>737</v>
      </c>
      <c r="G16" s="7" t="str">
        <f t="shared" si="3"/>
        <v>text</v>
      </c>
      <c r="H16" s="26"/>
      <c r="I16" s="10" t="s">
        <v>127</v>
      </c>
      <c r="J16" s="11" t="s">
        <v>1913</v>
      </c>
      <c r="M16" s="4"/>
      <c r="N16" s="76"/>
      <c r="O16" s="76"/>
      <c r="P16" s="76" t="str">
        <f t="shared" si="4"/>
        <v>,prefecture</v>
      </c>
      <c r="Q16" s="76" t="str">
        <f t="shared" si="0"/>
        <v>TEXT</v>
      </c>
      <c r="R16" s="76" t="str">
        <f t="shared" si="1"/>
        <v/>
      </c>
      <c r="S16" s="76" t="str">
        <f t="shared" si="5"/>
        <v>NOT NULL</v>
      </c>
      <c r="T16" s="76" t="str">
        <f t="shared" si="6"/>
        <v>-- 都道府県名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milscm_2023_009.sny_202310_backup_mt_iryouken2.prefecture IS '都道府県名';</v>
      </c>
    </row>
    <row r="17" spans="1:52" s="25" customFormat="1" ht="34.799999999999997">
      <c r="A17" s="4"/>
      <c r="B17" s="21">
        <f t="shared" si="2"/>
        <v>5</v>
      </c>
      <c r="C17" s="6" t="s">
        <v>1903</v>
      </c>
      <c r="D17" s="6" t="s">
        <v>1904</v>
      </c>
      <c r="E17" s="8" t="s">
        <v>127</v>
      </c>
      <c r="F17" s="7" t="s">
        <v>737</v>
      </c>
      <c r="G17" s="7" t="str">
        <f t="shared" si="3"/>
        <v>text</v>
      </c>
      <c r="H17" s="26"/>
      <c r="I17" s="10" t="s">
        <v>127</v>
      </c>
      <c r="J17" s="11" t="s">
        <v>1913</v>
      </c>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milscm_2023_009.sny_202310_backup_mt_iryouken2.city_code IS '市区町村コード';</v>
      </c>
    </row>
    <row r="18" spans="1:52" s="25" customFormat="1" ht="34.799999999999997">
      <c r="A18" s="4"/>
      <c r="B18" s="21">
        <f t="shared" si="2"/>
        <v>6</v>
      </c>
      <c r="C18" s="6" t="s">
        <v>1905</v>
      </c>
      <c r="D18" s="6" t="s">
        <v>1906</v>
      </c>
      <c r="E18" s="8"/>
      <c r="F18" s="7" t="s">
        <v>737</v>
      </c>
      <c r="G18" s="7" t="str">
        <f t="shared" si="3"/>
        <v>text</v>
      </c>
      <c r="H18" s="26"/>
      <c r="I18" s="10" t="s">
        <v>127</v>
      </c>
      <c r="J18" s="11" t="s">
        <v>1913</v>
      </c>
      <c r="M18" s="4"/>
      <c r="N18" s="76"/>
      <c r="O18" s="76"/>
      <c r="P18" s="76" t="str">
        <f t="shared" si="4"/>
        <v>,city</v>
      </c>
      <c r="Q18" s="76" t="str">
        <f t="shared" si="0"/>
        <v>TEXT</v>
      </c>
      <c r="R18" s="76" t="str">
        <f t="shared" si="1"/>
        <v/>
      </c>
      <c r="S18" s="76" t="str">
        <f t="shared" si="5"/>
        <v>NOT NULL</v>
      </c>
      <c r="T18" s="76" t="str">
        <f t="shared" si="6"/>
        <v>-- 市区町村</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milscm_2023_009.sny_202310_backup_mt_iryouken2.city IS '市区町村';</v>
      </c>
    </row>
    <row r="19" spans="1:52" s="25" customFormat="1" ht="34.799999999999997">
      <c r="A19" s="4"/>
      <c r="B19" s="21">
        <f t="shared" si="2"/>
        <v>7</v>
      </c>
      <c r="C19" s="6" t="s">
        <v>1907</v>
      </c>
      <c r="D19" s="6" t="s">
        <v>1908</v>
      </c>
      <c r="E19" s="8"/>
      <c r="F19" s="7" t="s">
        <v>737</v>
      </c>
      <c r="G19" s="7" t="str">
        <f t="shared" si="3"/>
        <v>text</v>
      </c>
      <c r="H19" s="26">
        <v>0</v>
      </c>
      <c r="I19" s="10" t="s">
        <v>127</v>
      </c>
      <c r="J19" s="11" t="s">
        <v>1913</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milscm_2023_009.sny_202310_backup_mt_iryouken2.del_f IS '削除フラグ';</v>
      </c>
    </row>
    <row r="20" spans="1:52" s="25" customFormat="1" ht="52.2">
      <c r="A20" s="4"/>
      <c r="B20" s="21">
        <f t="shared" si="2"/>
        <v>8</v>
      </c>
      <c r="C20" s="6" t="s">
        <v>1884</v>
      </c>
      <c r="D20" s="6" t="s">
        <v>1885</v>
      </c>
      <c r="E20" s="8" t="s">
        <v>127</v>
      </c>
      <c r="F20" s="7" t="s">
        <v>737</v>
      </c>
      <c r="G20" s="7" t="str">
        <f t="shared" si="3"/>
        <v>text</v>
      </c>
      <c r="H20" s="26">
        <v>99999999</v>
      </c>
      <c r="I20" s="10" t="s">
        <v>127</v>
      </c>
      <c r="J20" s="11" t="s">
        <v>1914</v>
      </c>
      <c r="M20" s="4"/>
      <c r="N20" s="76"/>
      <c r="O20" s="76"/>
      <c r="P20" s="76" t="str">
        <f t="shared" si="4"/>
        <v>,update_ymd</v>
      </c>
      <c r="Q20" s="76" t="str">
        <f t="shared" si="0"/>
        <v>TEXT</v>
      </c>
      <c r="R20" s="76" t="str">
        <f t="shared" si="1"/>
        <v>default '99999999'</v>
      </c>
      <c r="S20" s="76" t="str">
        <f t="shared" si="5"/>
        <v>NOT NULL</v>
      </c>
      <c r="T20" s="76" t="str">
        <f t="shared" si="6"/>
        <v>-- データ登録年月日</v>
      </c>
      <c r="U20" s="4"/>
      <c r="AA20" s="4"/>
      <c r="AB20" s="4"/>
      <c r="AC20" s="4"/>
      <c r="AD20" s="4"/>
      <c r="AE20" s="4"/>
      <c r="AF20" s="4"/>
      <c r="AG20" s="4"/>
      <c r="AH20" s="4"/>
      <c r="AI20" s="4"/>
      <c r="AJ20" s="76" t="str">
        <f>IF(E20="○",IF(COUNTA(E$13:E20)=1,"",",")&amp;D20,"")</f>
        <v>,update_ymd</v>
      </c>
      <c r="AK20" s="4"/>
      <c r="AL20" s="4"/>
      <c r="AM20" s="4"/>
      <c r="AN20" s="4"/>
      <c r="AO20" s="4"/>
      <c r="AP20" s="4"/>
      <c r="AQ20" s="4"/>
      <c r="AR20" s="4"/>
      <c r="AS20" s="76" t="str">
        <f>"COMMENT ON COLUMN "&amp;エンティティ一覧!$O$2&amp;"."&amp;D$8&amp;"."&amp;D20&amp;" IS '"&amp;C20&amp;"';"</f>
        <v>COMMENT ON COLUMN milscm_2023_009.sny_202310_backup_mt_iryouken2.update_ymd IS 'データ登録年月日';</v>
      </c>
    </row>
    <row r="21" spans="1:52" s="25" customFormat="1" ht="52.2">
      <c r="A21" s="4"/>
      <c r="B21" s="21">
        <f t="shared" si="2"/>
        <v>9</v>
      </c>
      <c r="C21" s="6" t="s">
        <v>1909</v>
      </c>
      <c r="D21" s="6" t="s">
        <v>1910</v>
      </c>
      <c r="E21" s="8"/>
      <c r="F21" s="7" t="s">
        <v>737</v>
      </c>
      <c r="G21" s="7" t="str">
        <f t="shared" si="3"/>
        <v>text</v>
      </c>
      <c r="H21" s="26">
        <v>99999999</v>
      </c>
      <c r="I21" s="10" t="s">
        <v>127</v>
      </c>
      <c r="J21" s="11" t="s">
        <v>1914</v>
      </c>
      <c r="M21" s="4"/>
      <c r="N21" s="76"/>
      <c r="O21" s="76"/>
      <c r="P21" s="76" t="str">
        <f t="shared" si="4"/>
        <v>,henkou_ymd</v>
      </c>
      <c r="Q21" s="76" t="str">
        <f t="shared" si="0"/>
        <v>TEXT</v>
      </c>
      <c r="R21" s="76" t="str">
        <f t="shared" si="1"/>
        <v>default '99999999'</v>
      </c>
      <c r="S21" s="76" t="str">
        <f t="shared" si="5"/>
        <v>NOT NULL</v>
      </c>
      <c r="T21" s="76" t="str">
        <f t="shared" si="6"/>
        <v>-- 変更年月日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milscm_2023_009.sny_202310_backup_mt_iryouken2.henkou_ymd IS '変更年月日';</v>
      </c>
    </row>
    <row r="22" spans="1:52" s="25" customFormat="1" ht="52.8" thickBot="1">
      <c r="A22" s="4"/>
      <c r="B22" s="27">
        <f>ROW()-12</f>
        <v>10</v>
      </c>
      <c r="C22" s="57" t="s">
        <v>1911</v>
      </c>
      <c r="D22" s="57" t="s">
        <v>1912</v>
      </c>
      <c r="E22" s="56"/>
      <c r="F22" s="56" t="s">
        <v>737</v>
      </c>
      <c r="G22" s="56" t="str">
        <f t="shared" si="3"/>
        <v>text</v>
      </c>
      <c r="H22" s="59">
        <v>99999999</v>
      </c>
      <c r="I22" s="60" t="s">
        <v>127</v>
      </c>
      <c r="J22" s="64" t="s">
        <v>1914</v>
      </c>
      <c r="N22" s="76"/>
      <c r="O22" s="76"/>
      <c r="P22" s="76" t="str">
        <f t="shared" si="4"/>
        <v>,del_ymd</v>
      </c>
      <c r="Q22" s="76" t="str">
        <f t="shared" si="0"/>
        <v>TEXT</v>
      </c>
      <c r="R22" s="76" t="str">
        <f t="shared" si="1"/>
        <v>default '99999999'</v>
      </c>
      <c r="S22" s="76" t="str">
        <f t="shared" si="5"/>
        <v>NOT NULL</v>
      </c>
      <c r="T22" s="76" t="str">
        <f t="shared" si="6"/>
        <v>-- 廃止年月日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milscm_2023_009.sny_202310_backup_mt_iryouken2.del_ymd IS '廃止年月日';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ENT_01_A3-04</v>
      </c>
      <c r="E6" s="234"/>
      <c r="F6" s="234"/>
      <c r="G6" s="234"/>
      <c r="H6" s="234"/>
      <c r="I6" s="234"/>
      <c r="J6" s="235"/>
    </row>
    <row r="7" spans="1:45">
      <c r="B7" s="223" t="s">
        <v>115</v>
      </c>
      <c r="C7" s="224"/>
      <c r="D7" s="225" t="s">
        <v>1915</v>
      </c>
      <c r="E7" s="226"/>
      <c r="F7" s="226"/>
      <c r="G7" s="226"/>
      <c r="H7" s="226"/>
      <c r="I7" s="226"/>
      <c r="J7" s="227"/>
    </row>
    <row r="8" spans="1:45">
      <c r="B8" s="223" t="s">
        <v>116</v>
      </c>
      <c r="C8" s="224"/>
      <c r="D8" s="225" t="str">
        <f>エンティティ一覧!AE2&amp;"_"&amp;D5&amp;"_mt_old_new_iyakuhin"</f>
        <v>sny_202310_backup_mt_old_new_iyakuhin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milscm_2023_009.sny_202310_backup_mt_old_new_iyakuhin;</v>
      </c>
      <c r="O10" s="76"/>
      <c r="P10" s="76"/>
      <c r="Q10" s="76"/>
      <c r="R10" s="76"/>
      <c r="S10" s="76"/>
      <c r="T10" s="76"/>
      <c r="AJ10" s="76" t="str">
        <f>"ALTER TABLE ONLY "&amp;エンティティ一覧!$O$2&amp;"."&amp;D$8</f>
        <v>ALTER TABLE ONLY milscm_2023_009.sny_202310_backup_mt_old_new_iyakuhin</v>
      </c>
      <c r="AS10" s="76" t="str">
        <f>"ALTER TABLE "&amp;エンティティ一覧!$O$2&amp;"."&amp;D$8&amp;" OWNER TO pgmisgrp1;"</f>
        <v>ALTER TABLE milscm_2023_009.sny_202310_backup_mt_old_new_iyakuhin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milscm_2023_009.sny_202310_backup_mt_old_new_iyakuhin</v>
      </c>
      <c r="O11" s="76"/>
      <c r="P11" s="76"/>
      <c r="Q11" s="76"/>
      <c r="R11" s="76"/>
      <c r="S11" s="76"/>
      <c r="T11" s="76"/>
      <c r="AJ11" s="76" t="str">
        <f>"ADD CONSTRAINT "&amp;D$8&amp;"_pkey PRIMARY KEY"</f>
        <v>ADD CONSTRAINT sny_202310_backup_mt_old_new_iyakuhin_pkey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milscm_2023_009.sny_202310_backup_mt_old_new_iyakuhin IS 'バックアップ_新旧医薬品コードマスタ取込用';</v>
      </c>
    </row>
    <row r="13" spans="1:45" s="25" customFormat="1" ht="34.799999999999997">
      <c r="A13" s="4"/>
      <c r="B13" s="21">
        <f>ROW()-12</f>
        <v>1</v>
      </c>
      <c r="C13" s="6" t="s">
        <v>1917</v>
      </c>
      <c r="D13" s="6" t="s">
        <v>1918</v>
      </c>
      <c r="E13" s="8" t="s">
        <v>127</v>
      </c>
      <c r="F13" s="8" t="s">
        <v>737</v>
      </c>
      <c r="G13" s="7" t="str">
        <f>IF(F13="フラグ","boolean",IF(F13="文字列","text",IF(F13="整数","integer",IF(F13="実数","numeric",""))))</f>
        <v>text</v>
      </c>
      <c r="H13" s="9" t="s">
        <v>1924</v>
      </c>
      <c r="I13" s="10" t="s">
        <v>127</v>
      </c>
      <c r="J13" s="11" t="s">
        <v>1925</v>
      </c>
      <c r="M13" s="4"/>
      <c r="N13" s="76"/>
      <c r="O13" s="76"/>
      <c r="P13" s="76" t="str">
        <f>IF(B13&lt;&gt;1,","&amp;D13,D13)</f>
        <v>siko_ymd</v>
      </c>
      <c r="Q13" s="76" t="str">
        <f t="shared" ref="Q13:Q16" si="0">UPPER(G13)</f>
        <v>TEXT</v>
      </c>
      <c r="R13" s="76" t="str">
        <f t="shared" ref="R13:R16"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milscm_2023_009.sny_202310_backup_mt_old_new_iyakuhin.siko_ymd IS '施行年月日';</v>
      </c>
    </row>
    <row r="14" spans="1:45" s="25" customFormat="1" ht="34.799999999999997">
      <c r="A14" s="4"/>
      <c r="B14" s="21">
        <f t="shared" ref="B14:B15" si="2">ROW()-12</f>
        <v>2</v>
      </c>
      <c r="C14" s="6" t="s">
        <v>1919</v>
      </c>
      <c r="D14" s="6" t="s">
        <v>1920</v>
      </c>
      <c r="E14" s="8" t="s">
        <v>127</v>
      </c>
      <c r="F14" s="7" t="s">
        <v>737</v>
      </c>
      <c r="G14" s="7" t="str">
        <f t="shared" ref="G14:G16" si="3">IF(F14="フラグ","boolean",IF(F14="文字列","text",IF(F14="整数","integer",IF(F14="実数","numeric",""))))</f>
        <v>text</v>
      </c>
      <c r="H14" s="26"/>
      <c r="I14" s="10" t="s">
        <v>127</v>
      </c>
      <c r="J14" s="11" t="s">
        <v>1926</v>
      </c>
      <c r="M14" s="4"/>
      <c r="N14" s="76"/>
      <c r="O14" s="76"/>
      <c r="P14" s="76" t="str">
        <f t="shared" ref="P14:P16" si="4">IF(B14&lt;&gt;1,","&amp;D14,D14)</f>
        <v>,old_iyakuhin_cd</v>
      </c>
      <c r="Q14" s="76" t="str">
        <f t="shared" si="0"/>
        <v>TEXT</v>
      </c>
      <c r="R14" s="76" t="str">
        <f t="shared" si="1"/>
        <v/>
      </c>
      <c r="S14" s="76" t="str">
        <f t="shared" ref="S14:S16" si="5">IF(I14="○","NOT NULL","")</f>
        <v>NOT NULL</v>
      </c>
      <c r="T14" s="76" t="str">
        <f t="shared" ref="T14:T16" si="6">"-- "&amp;C14</f>
        <v>-- 旧医薬品コード</v>
      </c>
      <c r="U14" s="4"/>
      <c r="AA14" s="4"/>
      <c r="AB14" s="4"/>
      <c r="AC14" s="4"/>
      <c r="AD14" s="4"/>
      <c r="AE14" s="4"/>
      <c r="AF14" s="4"/>
      <c r="AG14" s="4"/>
      <c r="AH14" s="4"/>
      <c r="AI14" s="4"/>
      <c r="AJ14" s="76" t="str">
        <f>IF(E14="○",IF(COUNTA(E$13:E14)=1,"",",")&amp;D14,"")</f>
        <v>,old_iyakuhin_cd</v>
      </c>
      <c r="AK14" s="4"/>
      <c r="AL14" s="4"/>
      <c r="AM14" s="4"/>
      <c r="AN14" s="4"/>
      <c r="AO14" s="4"/>
      <c r="AP14" s="4"/>
      <c r="AQ14" s="4"/>
      <c r="AR14" s="4"/>
      <c r="AS14" s="76" t="str">
        <f>"COMMENT ON COLUMN "&amp;エンティティ一覧!$O$2&amp;"."&amp;D$8&amp;"."&amp;D14&amp;" IS '"&amp;C14&amp;"';"</f>
        <v>COMMENT ON COLUMN milscm_2023_009.sny_202310_backup_mt_old_new_iyakuhin.old_iyakuhin_cd IS '旧医薬品コード';</v>
      </c>
    </row>
    <row r="15" spans="1:45" s="25" customFormat="1" ht="34.799999999999997">
      <c r="A15" s="4"/>
      <c r="B15" s="21">
        <f t="shared" si="2"/>
        <v>3</v>
      </c>
      <c r="C15" s="6" t="s">
        <v>1921</v>
      </c>
      <c r="D15" s="6" t="s">
        <v>1922</v>
      </c>
      <c r="E15" s="8" t="s">
        <v>127</v>
      </c>
      <c r="F15" s="7" t="s">
        <v>737</v>
      </c>
      <c r="G15" s="7" t="str">
        <f t="shared" si="3"/>
        <v>text</v>
      </c>
      <c r="H15" s="26"/>
      <c r="I15" s="10" t="s">
        <v>127</v>
      </c>
      <c r="J15" s="11" t="s">
        <v>1927</v>
      </c>
      <c r="M15" s="4"/>
      <c r="N15" s="76"/>
      <c r="O15" s="76"/>
      <c r="P15" s="76" t="str">
        <f t="shared" si="4"/>
        <v>,new_iyakuhin_cd</v>
      </c>
      <c r="Q15" s="76" t="str">
        <f t="shared" si="0"/>
        <v>TEXT</v>
      </c>
      <c r="R15" s="76" t="str">
        <f t="shared" si="1"/>
        <v/>
      </c>
      <c r="S15" s="76" t="str">
        <f t="shared" si="5"/>
        <v>NOT NULL</v>
      </c>
      <c r="T15" s="76" t="str">
        <f t="shared" si="6"/>
        <v>-- 新医薬品コード</v>
      </c>
      <c r="U15" s="4"/>
      <c r="AA15" s="4"/>
      <c r="AB15" s="4"/>
      <c r="AC15" s="4"/>
      <c r="AD15" s="4"/>
      <c r="AE15" s="4"/>
      <c r="AF15" s="4"/>
      <c r="AG15" s="4"/>
      <c r="AH15" s="4"/>
      <c r="AI15" s="4"/>
      <c r="AJ15" s="76" t="str">
        <f>IF(E15="○",IF(COUNTA(E$13:E15)=1,"",",")&amp;D15,"")</f>
        <v>,new_iyakuhin_cd</v>
      </c>
      <c r="AK15" s="4"/>
      <c r="AL15" s="4"/>
      <c r="AM15" s="4"/>
      <c r="AN15" s="4"/>
      <c r="AO15" s="4"/>
      <c r="AP15" s="4"/>
      <c r="AQ15" s="4"/>
      <c r="AR15" s="4"/>
      <c r="AS15" s="76" t="str">
        <f>"COMMENT ON COLUMN "&amp;エンティティ一覧!$O$2&amp;"."&amp;D$8&amp;"."&amp;D15&amp;" IS '"&amp;C15&amp;"';"</f>
        <v>COMMENT ON COLUMN milscm_2023_009.sny_202310_backup_mt_old_new_iyakuhin.new_iyakuhin_cd IS '新医薬品コード';</v>
      </c>
    </row>
    <row r="16" spans="1:45" s="25" customFormat="1" ht="35.4" thickBot="1">
      <c r="A16" s="4"/>
      <c r="B16" s="27">
        <f>ROW()-12</f>
        <v>4</v>
      </c>
      <c r="C16" s="57" t="s">
        <v>1923</v>
      </c>
      <c r="D16" s="57" t="s">
        <v>1885</v>
      </c>
      <c r="E16" s="56"/>
      <c r="F16" s="56" t="s">
        <v>737</v>
      </c>
      <c r="G16" s="56" t="str">
        <f t="shared" si="3"/>
        <v>text</v>
      </c>
      <c r="H16" s="59">
        <v>99999999</v>
      </c>
      <c r="I16" s="60" t="s">
        <v>127</v>
      </c>
      <c r="J16" s="64" t="s">
        <v>1928</v>
      </c>
      <c r="N16" s="76"/>
      <c r="O16" s="76"/>
      <c r="P16" s="76" t="str">
        <f t="shared" si="4"/>
        <v>,update_ymd</v>
      </c>
      <c r="Q16" s="76" t="str">
        <f t="shared" si="0"/>
        <v>TEXT</v>
      </c>
      <c r="R16" s="76" t="str">
        <f t="shared" si="1"/>
        <v>default '99999999'</v>
      </c>
      <c r="S16" s="76" t="str">
        <f t="shared" si="5"/>
        <v>NOT NULL</v>
      </c>
      <c r="T16" s="76" t="str">
        <f t="shared" si="6"/>
        <v>-- データ登録年月日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milscm_2023_009.sny_202310_backup_mt_old_new_iyakuhin.update_ymd IS 'データ登録年月日';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ENT_01_A3-05</v>
      </c>
      <c r="E6" s="234"/>
      <c r="F6" s="234"/>
      <c r="G6" s="234"/>
      <c r="H6" s="234"/>
      <c r="I6" s="234"/>
      <c r="J6" s="235"/>
    </row>
    <row r="7" spans="1:45">
      <c r="B7" s="223" t="s">
        <v>115</v>
      </c>
      <c r="C7" s="224"/>
      <c r="D7" s="225" t="s">
        <v>1929</v>
      </c>
      <c r="E7" s="226"/>
      <c r="F7" s="226"/>
      <c r="G7" s="226"/>
      <c r="H7" s="226"/>
      <c r="I7" s="226"/>
      <c r="J7" s="227"/>
    </row>
    <row r="8" spans="1:45">
      <c r="B8" s="223" t="s">
        <v>116</v>
      </c>
      <c r="C8" s="224"/>
      <c r="D8" s="225" t="str">
        <f>エンティティ一覧!AE2&amp;"_"&amp;D5&amp;"_mt_dpc6_icd"</f>
        <v>sny_202310_backup_mt_dpc6_icd</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milscm_2023_009.sny_202310_backup_mt_dpc6_icd;</v>
      </c>
      <c r="O10" s="76"/>
      <c r="P10" s="76"/>
      <c r="Q10" s="76"/>
      <c r="R10" s="76"/>
      <c r="S10" s="76"/>
      <c r="T10" s="76"/>
      <c r="AJ10" s="76" t="str">
        <f>"ALTER TABLE ONLY "&amp;エンティティ一覧!$O$2&amp;"."&amp;D$8</f>
        <v>ALTER TABLE ONLY milscm_2023_009.sny_202310_backup_mt_dpc6_icd</v>
      </c>
      <c r="AS10" s="76" t="str">
        <f>"ALTER TABLE "&amp;エンティティ一覧!$O$2&amp;"."&amp;D$8&amp;" OWNER TO pgmisgrp1;"</f>
        <v>ALTER TABLE milscm_2023_009.sny_202310_backup_mt_dpc6_icd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milscm_2023_009.sny_202310_backup_mt_dpc6_icd</v>
      </c>
      <c r="O11" s="76"/>
      <c r="P11" s="76"/>
      <c r="Q11" s="76"/>
      <c r="R11" s="76"/>
      <c r="S11" s="76"/>
      <c r="T11" s="76"/>
      <c r="AJ11" s="76" t="str">
        <f>"ADD CONSTRAINT "&amp;D$8&amp;"_pkey PRIMARY KEY"</f>
        <v>ADD CONSTRAINT sny_202310_backup_mt_dpc6_icd_pkey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milscm_2023_009.sny_202310_backup_mt_dpc6_icd IS 'バックアップ_DPC6ICD10対応表マスタ取込用';</v>
      </c>
    </row>
    <row r="13" spans="1:45" s="25" customFormat="1" ht="52.2">
      <c r="A13" s="4"/>
      <c r="B13" s="21">
        <f>ROW()-12</f>
        <v>1</v>
      </c>
      <c r="C13" s="6" t="s">
        <v>1917</v>
      </c>
      <c r="D13" s="6" t="s">
        <v>1918</v>
      </c>
      <c r="E13" s="8" t="s">
        <v>127</v>
      </c>
      <c r="F13" s="8" t="s">
        <v>737</v>
      </c>
      <c r="G13" s="7" t="str">
        <f>IF(F13="フラグ","boolean",IF(F13="文字列","text",IF(F13="整数","integer",IF(F13="実数","numeric",""))))</f>
        <v>text</v>
      </c>
      <c r="H13" s="9">
        <v>99999999</v>
      </c>
      <c r="I13" s="10" t="s">
        <v>127</v>
      </c>
      <c r="J13" s="11" t="s">
        <v>1943</v>
      </c>
      <c r="M13" s="4"/>
      <c r="N13" s="76"/>
      <c r="O13" s="76"/>
      <c r="P13" s="76" t="str">
        <f>IF(B13&lt;&gt;1,","&amp;D13,D13)</f>
        <v>siko_ymd</v>
      </c>
      <c r="Q13" s="76" t="str">
        <f t="shared" ref="Q13:Q21" si="0">UPPER(G13)</f>
        <v>TEXT</v>
      </c>
      <c r="R13" s="76" t="str">
        <f t="shared" ref="R13:R21" si="1">IF(H13&lt;&gt;"","default "&amp;IF(G13="text","'"&amp;H13&amp;"'",H13),"")</f>
        <v>default '99999999'</v>
      </c>
      <c r="S13" s="76" t="str">
        <f>IF(I13="○","NOT NULL","")</f>
        <v>NOT NULL</v>
      </c>
      <c r="T13" s="76" t="str">
        <f>"-- "&amp;C13</f>
        <v>-- 施行年月日</v>
      </c>
      <c r="U13" s="4"/>
      <c r="AA13" s="4"/>
      <c r="AB13" s="4"/>
      <c r="AC13" s="4"/>
      <c r="AD13" s="4"/>
      <c r="AE13" s="4"/>
      <c r="AF13" s="4"/>
      <c r="AG13" s="4"/>
      <c r="AH13" s="4"/>
      <c r="AI13" s="4"/>
      <c r="AJ13" s="76" t="str">
        <f>IF(E13="○",IF(COUNTA(E$13:E13)=1,"",",")&amp;D13,"")</f>
        <v>siko_ymd</v>
      </c>
      <c r="AK13" s="4"/>
      <c r="AL13" s="4"/>
      <c r="AM13" s="4"/>
      <c r="AN13" s="4"/>
      <c r="AO13" s="4"/>
      <c r="AP13" s="4"/>
      <c r="AQ13" s="4"/>
      <c r="AR13" s="4"/>
      <c r="AS13" s="76" t="str">
        <f>"COMMENT ON COLUMN "&amp;エンティティ一覧!$O$2&amp;"."&amp;D$8&amp;"."&amp;D13&amp;" IS '"&amp;C13&amp;"';"</f>
        <v>COMMENT ON COLUMN milscm_2023_009.sny_202310_backup_mt_dpc6_icd.siko_ymd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,henkou_kubun</v>
      </c>
      <c r="AK14" s="4"/>
      <c r="AL14" s="4"/>
      <c r="AM14" s="4"/>
      <c r="AN14" s="4"/>
      <c r="AO14" s="4"/>
      <c r="AP14" s="4"/>
      <c r="AQ14" s="4"/>
      <c r="AR14" s="4"/>
      <c r="AS14" s="76" t="str">
        <f>"COMMENT ON COLUMN "&amp;エンティティ一覧!$O$2&amp;"."&amp;D$8&amp;"."&amp;D14&amp;" IS '"&amp;C14&amp;"';"</f>
        <v>COMMENT ON COLUMN milscm_2023_009.sny_202310_backup_mt_dpc6_icd.henkou_kubun IS '変更区分';</v>
      </c>
    </row>
    <row r="15" spans="1:45" s="25" customFormat="1" ht="34.799999999999997">
      <c r="A15" s="4"/>
      <c r="B15" s="21">
        <f t="shared" si="2"/>
        <v>3</v>
      </c>
      <c r="C15" s="6" t="s">
        <v>1932</v>
      </c>
      <c r="D15" s="6" t="s">
        <v>1933</v>
      </c>
      <c r="E15" s="8"/>
      <c r="F15" s="7" t="s">
        <v>737</v>
      </c>
      <c r="G15" s="7" t="str">
        <f t="shared" si="3"/>
        <v>text</v>
      </c>
      <c r="H15" s="26"/>
      <c r="I15" s="10" t="s">
        <v>127</v>
      </c>
      <c r="J15" s="11" t="s">
        <v>1945</v>
      </c>
      <c r="M15" s="4"/>
      <c r="N15" s="76"/>
      <c r="O15" s="76"/>
      <c r="P15" s="76" t="str">
        <f t="shared" si="4"/>
        <v>,dpc2_cd</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milscm_2023_009.sny_202310_backup_mt_dpc6_icd.dpc2_cd IS 'DPCコード2桁';</v>
      </c>
    </row>
    <row r="16" spans="1:45" s="25" customFormat="1" ht="34.799999999999997">
      <c r="A16" s="4"/>
      <c r="B16" s="21">
        <f t="shared" si="2"/>
        <v>4</v>
      </c>
      <c r="C16" s="6" t="s">
        <v>1934</v>
      </c>
      <c r="D16" s="6" t="s">
        <v>1935</v>
      </c>
      <c r="E16" s="8"/>
      <c r="F16" s="7" t="s">
        <v>737</v>
      </c>
      <c r="G16" s="7" t="str">
        <f t="shared" si="3"/>
        <v>text</v>
      </c>
      <c r="H16" s="26"/>
      <c r="I16" s="10" t="s">
        <v>127</v>
      </c>
      <c r="J16" s="11" t="s">
        <v>1945</v>
      </c>
      <c r="M16" s="4"/>
      <c r="N16" s="76"/>
      <c r="O16" s="76"/>
      <c r="P16" s="76" t="str">
        <f t="shared" si="4"/>
        <v>,dpc6_cd</v>
      </c>
      <c r="Q16" s="76" t="str">
        <f t="shared" si="0"/>
        <v>TEXT</v>
      </c>
      <c r="R16" s="76" t="str">
        <f t="shared" si="1"/>
        <v/>
      </c>
      <c r="S16" s="76" t="str">
        <f t="shared" si="5"/>
        <v>NOT NULL</v>
      </c>
      <c r="T16" s="76" t="str">
        <f t="shared" si="6"/>
        <v>-- DPCコード6桁</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milscm_2023_009.sny_202310_backup_mt_dpc6_icd.dpc6_cd IS 'DPCコード6桁';</v>
      </c>
    </row>
    <row r="17" spans="1:52" s="25" customFormat="1" ht="34.799999999999997">
      <c r="A17" s="4"/>
      <c r="B17" s="21">
        <f t="shared" si="2"/>
        <v>5</v>
      </c>
      <c r="C17" s="6" t="s">
        <v>663</v>
      </c>
      <c r="D17" s="6" t="s">
        <v>1936</v>
      </c>
      <c r="E17" s="8" t="s">
        <v>127</v>
      </c>
      <c r="F17" s="7" t="s">
        <v>737</v>
      </c>
      <c r="G17" s="7" t="str">
        <f t="shared" si="3"/>
        <v>text</v>
      </c>
      <c r="H17" s="26"/>
      <c r="I17" s="10" t="s">
        <v>127</v>
      </c>
      <c r="J17" s="11" t="s">
        <v>1945</v>
      </c>
      <c r="M17" s="4"/>
      <c r="N17" s="76"/>
      <c r="O17" s="76"/>
      <c r="P17" s="76" t="str">
        <f t="shared" si="4"/>
        <v>,icd10_cd</v>
      </c>
      <c r="Q17" s="76" t="str">
        <f t="shared" si="0"/>
        <v>TEXT</v>
      </c>
      <c r="R17" s="76" t="str">
        <f t="shared" si="1"/>
        <v/>
      </c>
      <c r="S17" s="76" t="str">
        <f t="shared" si="5"/>
        <v>NOT NULL</v>
      </c>
      <c r="T17" s="76" t="str">
        <f t="shared" si="6"/>
        <v>-- ICD10コード</v>
      </c>
      <c r="U17" s="4"/>
      <c r="AA17" s="4"/>
      <c r="AB17" s="4"/>
      <c r="AC17" s="4"/>
      <c r="AD17" s="4"/>
      <c r="AE17" s="4"/>
      <c r="AF17" s="4"/>
      <c r="AG17" s="4"/>
      <c r="AH17" s="4"/>
      <c r="AI17" s="4"/>
      <c r="AJ17" s="76" t="str">
        <f>IF(E17="○",IF(COUNTA(E$13:E17)=1,"",",")&amp;D17,"")</f>
        <v>,icd10_cd</v>
      </c>
      <c r="AK17" s="4"/>
      <c r="AL17" s="4"/>
      <c r="AM17" s="4"/>
      <c r="AN17" s="4"/>
      <c r="AO17" s="4"/>
      <c r="AP17" s="4"/>
      <c r="AQ17" s="4"/>
      <c r="AR17" s="4"/>
      <c r="AS17" s="76" t="str">
        <f>"COMMENT ON COLUMN "&amp;エンティティ一覧!$O$2&amp;"."&amp;D$8&amp;"."&amp;D17&amp;" IS '"&amp;C17&amp;"';"</f>
        <v>COMMENT ON COLUMN milscm_2023_009.sny_202310_backup_mt_dpc6_icd.icd10_cd IS 'ICD10コード';</v>
      </c>
    </row>
    <row r="18" spans="1:52" s="25" customFormat="1" ht="34.799999999999997">
      <c r="A18" s="4"/>
      <c r="B18" s="21">
        <f t="shared" si="2"/>
        <v>6</v>
      </c>
      <c r="C18" s="6" t="s">
        <v>1937</v>
      </c>
      <c r="D18" s="6" t="s">
        <v>1938</v>
      </c>
      <c r="E18" s="8"/>
      <c r="F18" s="7" t="s">
        <v>737</v>
      </c>
      <c r="G18" s="7" t="str">
        <f t="shared" si="3"/>
        <v>text</v>
      </c>
      <c r="H18" s="26"/>
      <c r="I18" s="10" t="s">
        <v>127</v>
      </c>
      <c r="J18" s="11" t="s">
        <v>1945</v>
      </c>
      <c r="M18" s="4"/>
      <c r="N18" s="76"/>
      <c r="O18" s="76"/>
      <c r="P18" s="76" t="str">
        <f t="shared" si="4"/>
        <v>,icd10_name</v>
      </c>
      <c r="Q18" s="76" t="str">
        <f t="shared" si="0"/>
        <v>TEXT</v>
      </c>
      <c r="R18" s="76" t="str">
        <f t="shared" si="1"/>
        <v/>
      </c>
      <c r="S18" s="76" t="str">
        <f t="shared" si="5"/>
        <v>NOT NULL</v>
      </c>
      <c r="T18" s="76" t="str">
        <f t="shared" si="6"/>
        <v>-- ICD名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milscm_2023_009.sny_202310_backup_mt_dpc6_icd.icd10_name IS 'ICD名';</v>
      </c>
    </row>
    <row r="19" spans="1:52" s="25" customFormat="1" ht="52.2">
      <c r="A19" s="4"/>
      <c r="B19" s="21">
        <f t="shared" si="2"/>
        <v>7</v>
      </c>
      <c r="C19" s="6" t="s">
        <v>1939</v>
      </c>
      <c r="D19" s="6" t="s">
        <v>1940</v>
      </c>
      <c r="E19" s="8"/>
      <c r="F19" s="7" t="s">
        <v>737</v>
      </c>
      <c r="G19" s="7" t="str">
        <f t="shared" si="3"/>
        <v>text</v>
      </c>
      <c r="H19" s="26" t="s">
        <v>1946</v>
      </c>
      <c r="I19" s="10" t="s">
        <v>127</v>
      </c>
      <c r="J19" s="11" t="s">
        <v>1943</v>
      </c>
      <c r="M19" s="4"/>
      <c r="N19" s="76"/>
      <c r="O19" s="76"/>
      <c r="P19" s="76" t="str">
        <f t="shared" si="4"/>
        <v>,start_ymd</v>
      </c>
      <c r="Q19" s="76" t="str">
        <f t="shared" si="0"/>
        <v>TEXT</v>
      </c>
      <c r="R19" s="76" t="str">
        <f t="shared" si="1"/>
        <v>default '00000000'</v>
      </c>
      <c r="S19" s="76" t="str">
        <f t="shared" si="5"/>
        <v>NOT NULL</v>
      </c>
      <c r="T19" s="76" t="str">
        <f t="shared" si="6"/>
        <v>-- 有効期間_開始年月日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milscm_2023_009.sny_202310_backup_mt_dpc6_icd.start_ymd IS '有効期間_開始年月日';</v>
      </c>
    </row>
    <row r="20" spans="1:52" s="25" customFormat="1" ht="52.2">
      <c r="A20" s="4"/>
      <c r="B20" s="21">
        <f t="shared" si="2"/>
        <v>8</v>
      </c>
      <c r="C20" s="6" t="s">
        <v>1941</v>
      </c>
      <c r="D20" s="6" t="s">
        <v>1942</v>
      </c>
      <c r="E20" s="8"/>
      <c r="F20" s="7" t="s">
        <v>737</v>
      </c>
      <c r="G20" s="7" t="str">
        <f t="shared" si="3"/>
        <v>text</v>
      </c>
      <c r="H20" s="26">
        <v>99999999</v>
      </c>
      <c r="I20" s="10" t="s">
        <v>127</v>
      </c>
      <c r="J20" s="11" t="s">
        <v>1943</v>
      </c>
      <c r="M20" s="4"/>
      <c r="N20" s="76"/>
      <c r="O20" s="76"/>
      <c r="P20" s="76" t="str">
        <f t="shared" si="4"/>
        <v>,end_ymd</v>
      </c>
      <c r="Q20" s="76" t="str">
        <f t="shared" si="0"/>
        <v>TEXT</v>
      </c>
      <c r="R20" s="76" t="str">
        <f t="shared" si="1"/>
        <v>default '99999999'</v>
      </c>
      <c r="S20" s="76" t="str">
        <f t="shared" si="5"/>
        <v>NOT NULL</v>
      </c>
      <c r="T20" s="76" t="str">
        <f t="shared" si="6"/>
        <v>-- 有効期間_終了年月日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milscm_2023_009.sny_202310_backup_mt_dpc6_icd.end_ymd IS '有効期間_終了年月日';</v>
      </c>
    </row>
    <row r="21" spans="1:52" s="25" customFormat="1" ht="52.8" thickBot="1">
      <c r="A21" s="4"/>
      <c r="B21" s="27">
        <f>ROW()-12</f>
        <v>9</v>
      </c>
      <c r="C21" s="57" t="s">
        <v>1923</v>
      </c>
      <c r="D21" s="57" t="s">
        <v>1885</v>
      </c>
      <c r="E21" s="56"/>
      <c r="F21" s="56" t="s">
        <v>737</v>
      </c>
      <c r="G21" s="56" t="str">
        <f t="shared" si="3"/>
        <v>text</v>
      </c>
      <c r="H21" s="59">
        <v>99999999</v>
      </c>
      <c r="I21" s="60" t="s">
        <v>127</v>
      </c>
      <c r="J21" s="64" t="s">
        <v>1943</v>
      </c>
      <c r="N21" s="76"/>
      <c r="O21" s="76"/>
      <c r="P21" s="76" t="str">
        <f t="shared" si="4"/>
        <v>,update_ymd</v>
      </c>
      <c r="Q21" s="76" t="str">
        <f t="shared" si="0"/>
        <v>TEXT</v>
      </c>
      <c r="R21" s="76" t="str">
        <f t="shared" si="1"/>
        <v>default '99999999'</v>
      </c>
      <c r="S21" s="76" t="str">
        <f t="shared" si="5"/>
        <v>NOT NULL</v>
      </c>
      <c r="T21" s="76" t="str">
        <f t="shared" si="6"/>
        <v>-- データ登録年月日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milscm_2023_009.sny_202310_backup_mt_dpc6_icd.update_ymd IS 'データ登録年月日';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ENT_01_A3-06</v>
      </c>
      <c r="E6" s="234"/>
      <c r="F6" s="234"/>
      <c r="G6" s="234"/>
      <c r="H6" s="234"/>
      <c r="I6" s="234"/>
      <c r="J6" s="235"/>
    </row>
    <row r="7" spans="1:45">
      <c r="B7" s="223" t="s">
        <v>115</v>
      </c>
      <c r="C7" s="224"/>
      <c r="D7" s="225" t="s">
        <v>1947</v>
      </c>
      <c r="E7" s="226"/>
      <c r="F7" s="226"/>
      <c r="G7" s="226"/>
      <c r="H7" s="226"/>
      <c r="I7" s="226"/>
      <c r="J7" s="227"/>
    </row>
    <row r="8" spans="1:45">
      <c r="B8" s="223" t="s">
        <v>116</v>
      </c>
      <c r="C8" s="224"/>
      <c r="D8" s="225" t="str">
        <f>エンティティ一覧!AE2&amp;"_"&amp;D5&amp;"_mt_syusyokugo"</f>
        <v>sny_202310_backup_mt_syusyokugo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milscm_2023_009.sny_202310_backup_mt_syusyokugo;</v>
      </c>
      <c r="O10" s="76"/>
      <c r="P10" s="76"/>
      <c r="Q10" s="76"/>
      <c r="R10" s="76"/>
      <c r="S10" s="76"/>
      <c r="T10" s="76"/>
      <c r="AJ10" s="76" t="str">
        <f>"ALTER TABLE ONLY "&amp;エンティティ一覧!$O$2&amp;"."&amp;D$8</f>
        <v>ALTER TABLE ONLY milscm_2023_009.sny_202310_backup_mt_syusyokugo</v>
      </c>
      <c r="AS10" s="76" t="str">
        <f>"ALTER TABLE "&amp;エンティティ一覧!$O$2&amp;"."&amp;D$8&amp;" OWNER TO pgmisgrp1;"</f>
        <v>ALTER TABLE milscm_2023_009.sny_202310_backup_mt_syusyokugo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milscm_2023_009.sny_202310_backup_mt_syusyokugo</v>
      </c>
      <c r="O11" s="76"/>
      <c r="P11" s="76"/>
      <c r="Q11" s="76"/>
      <c r="R11" s="76"/>
      <c r="S11" s="76"/>
      <c r="T11" s="76"/>
      <c r="AJ11" s="76" t="str">
        <f>"ADD CONSTRAINT "&amp;D$8&amp;"_pkey PRIMARY KEY"</f>
        <v>ADD CONSTRAINT sny_202310_backup_mt_syusyokugo_pkey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6"/>
      <c r="O13" s="76"/>
      <c r="P13" s="76" t="str">
        <f>IF(B13&lt;&gt;1,","&amp;D13,D13)</f>
        <v>henkou_kubun</v>
      </c>
      <c r="Q13" s="76" t="str">
        <f t="shared" ref="Q13:Q32" si="0">UPPER(G13)</f>
        <v>TEXT</v>
      </c>
      <c r="R13" s="76" t="str">
        <f t="shared" ref="R13:R32"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milscm_2023_009.sny_202310_backup_mt_syusyokugo.henkou_kubun IS '変更区分';</v>
      </c>
    </row>
    <row r="14" spans="1:45" s="25" customFormat="1">
      <c r="A14" s="4"/>
      <c r="B14" s="21">
        <f t="shared" ref="B14:B25" si="2">ROW()-12</f>
        <v>2</v>
      </c>
      <c r="C14" s="6" t="s">
        <v>1948</v>
      </c>
      <c r="D14" s="6" t="s">
        <v>1949</v>
      </c>
      <c r="E14" s="8"/>
      <c r="F14" s="7" t="s">
        <v>737</v>
      </c>
      <c r="G14" s="7" t="str">
        <f t="shared" ref="G14:G25" si="3">IF(F14="フラグ","boolean",IF(F14="文字列","text",IF(F14="整数","integer",IF(F14="実数","numeric",""))))</f>
        <v>text</v>
      </c>
      <c r="H14" s="26"/>
      <c r="I14" s="10"/>
      <c r="J14" s="11" t="s">
        <v>1982</v>
      </c>
      <c r="M14" s="4"/>
      <c r="N14" s="76"/>
      <c r="O14" s="76"/>
      <c r="P14" s="76" t="str">
        <f t="shared" ref="P14:P25" si="4">IF(B14&lt;&gt;1,","&amp;D14,D14)</f>
        <v>,master_type</v>
      </c>
      <c r="Q14" s="76" t="str">
        <f t="shared" ref="Q14:Q25" si="5">UPPER(G14)</f>
        <v>TEXT</v>
      </c>
      <c r="R14" s="76" t="str">
        <f t="shared" ref="R14:R25" si="6">IF(H14&lt;&gt;"","default "&amp;IF(G14="text","'"&amp;H14&amp;"'",H14),"")</f>
        <v/>
      </c>
      <c r="S14" s="76" t="str">
        <f t="shared" ref="S14:S25" si="7">IF(I14="○","NOT NULL","")</f>
        <v/>
      </c>
      <c r="T14" s="76" t="str">
        <f t="shared" ref="T14:T25"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milscm_2023_009.sny_202310_backup_mt_syusyokugo.master_type IS 'マスター種別';</v>
      </c>
    </row>
    <row r="15" spans="1:45" s="25" customFormat="1">
      <c r="A15" s="4"/>
      <c r="B15" s="21">
        <f t="shared" si="2"/>
        <v>3</v>
      </c>
      <c r="C15" s="6" t="s">
        <v>1950</v>
      </c>
      <c r="D15" s="6" t="s">
        <v>1951</v>
      </c>
      <c r="E15" s="8" t="s">
        <v>127</v>
      </c>
      <c r="F15" s="7" t="s">
        <v>737</v>
      </c>
      <c r="G15" s="7" t="str">
        <f t="shared" si="3"/>
        <v>text</v>
      </c>
      <c r="H15" s="26"/>
      <c r="I15" s="10" t="s">
        <v>127</v>
      </c>
      <c r="J15" s="11"/>
      <c r="M15" s="4"/>
      <c r="N15" s="76"/>
      <c r="O15" s="76"/>
      <c r="P15" s="76" t="str">
        <f t="shared" si="4"/>
        <v>,syusyokugo_cd</v>
      </c>
      <c r="Q15" s="76" t="str">
        <f t="shared" si="5"/>
        <v>TEXT</v>
      </c>
      <c r="R15" s="76" t="str">
        <f t="shared" si="6"/>
        <v/>
      </c>
      <c r="S15" s="76" t="str">
        <f t="shared" si="7"/>
        <v>NOT NULL</v>
      </c>
      <c r="T15" s="76" t="str">
        <f t="shared" si="8"/>
        <v>-- 修飾語コード</v>
      </c>
      <c r="U15" s="4"/>
      <c r="AA15" s="4"/>
      <c r="AB15" s="4"/>
      <c r="AC15" s="4"/>
      <c r="AD15" s="4"/>
      <c r="AE15" s="4"/>
      <c r="AF15" s="4"/>
      <c r="AG15" s="4"/>
      <c r="AH15" s="4"/>
      <c r="AI15" s="4"/>
      <c r="AJ15" s="76" t="str">
        <f>IF(E15="○",IF(COUNTA(E$13:E15)=1,"",",")&amp;D15,"")</f>
        <v>,syusyokugo_cd</v>
      </c>
      <c r="AK15" s="4"/>
      <c r="AL15" s="4"/>
      <c r="AM15" s="4"/>
      <c r="AN15" s="4"/>
      <c r="AO15" s="4"/>
      <c r="AP15" s="4"/>
      <c r="AQ15" s="4"/>
      <c r="AR15" s="4"/>
      <c r="AS15" s="76" t="str">
        <f>"COMMENT ON COLUMN "&amp;エンティティ一覧!$O$2&amp;"."&amp;D$8&amp;"."&amp;D15&amp;" IS '"&amp;C15&amp;"';"</f>
        <v>COMMENT ON COLUMN milscm_2023_009.sny_202310_backup_mt_syusyokugo.syusyokugo_cd IS '修飾語コード';</v>
      </c>
    </row>
    <row r="16" spans="1:45" s="25" customFormat="1">
      <c r="A16" s="4"/>
      <c r="B16" s="21">
        <f t="shared" si="2"/>
        <v>4</v>
      </c>
      <c r="C16" s="6" t="s">
        <v>1952</v>
      </c>
      <c r="D16" s="6" t="s">
        <v>927</v>
      </c>
      <c r="E16" s="8"/>
      <c r="F16" s="7" t="s">
        <v>737</v>
      </c>
      <c r="G16" s="7" t="str">
        <f t="shared" si="3"/>
        <v>text</v>
      </c>
      <c r="H16" s="26"/>
      <c r="I16" s="10"/>
      <c r="J16" s="11" t="s">
        <v>1983</v>
      </c>
      <c r="M16" s="4"/>
      <c r="N16" s="76"/>
      <c r="O16" s="76"/>
      <c r="P16" s="76" t="str">
        <f t="shared" si="4"/>
        <v>,reserve1</v>
      </c>
      <c r="Q16" s="76" t="str">
        <f t="shared" si="5"/>
        <v>TEXT</v>
      </c>
      <c r="R16" s="76" t="str">
        <f t="shared" si="6"/>
        <v/>
      </c>
      <c r="S16" s="76" t="str">
        <f t="shared" si="7"/>
        <v/>
      </c>
      <c r="T16" s="76" t="str">
        <f t="shared" si="8"/>
        <v>-- 予備1</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milscm_2023_009.sny_202310_backup_mt_syusyokugo.reserve1 IS '予備1';</v>
      </c>
    </row>
    <row r="17" spans="1:45" s="25" customFormat="1">
      <c r="A17" s="4"/>
      <c r="B17" s="21">
        <f t="shared" si="2"/>
        <v>5</v>
      </c>
      <c r="C17" s="6" t="s">
        <v>1953</v>
      </c>
      <c r="D17" s="6" t="s">
        <v>978</v>
      </c>
      <c r="E17" s="8"/>
      <c r="F17" s="7" t="s">
        <v>737</v>
      </c>
      <c r="G17" s="7" t="str">
        <f t="shared" si="3"/>
        <v>text</v>
      </c>
      <c r="H17" s="26"/>
      <c r="I17" s="10"/>
      <c r="J17" s="11" t="s">
        <v>1983</v>
      </c>
      <c r="M17" s="4"/>
      <c r="N17" s="76"/>
      <c r="O17" s="76"/>
      <c r="P17" s="76" t="str">
        <f t="shared" si="4"/>
        <v>,reserve2</v>
      </c>
      <c r="Q17" s="76" t="str">
        <f t="shared" si="5"/>
        <v>TEXT</v>
      </c>
      <c r="R17" s="76" t="str">
        <f t="shared" si="6"/>
        <v/>
      </c>
      <c r="S17" s="76" t="str">
        <f t="shared" si="7"/>
        <v/>
      </c>
      <c r="T17" s="76" t="str">
        <f t="shared" si="8"/>
        <v>-- 予備2</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6"/>
      <c r="O18" s="76"/>
      <c r="P18" s="76" t="str">
        <f t="shared" si="4"/>
        <v>,syusyokugo_name_ketasu</v>
      </c>
      <c r="Q18" s="76" t="str">
        <f t="shared" si="5"/>
        <v>INTEGER</v>
      </c>
      <c r="R18" s="76" t="str">
        <f t="shared" si="6"/>
        <v/>
      </c>
      <c r="S18" s="76" t="str">
        <f t="shared" si="7"/>
        <v/>
      </c>
      <c r="T18" s="76" t="str">
        <f t="shared" si="8"/>
        <v>-- 修飾語名称桁数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milscm_2023_009.sny_202310_backup_mt_syusyokugo.syusyokugo_name_ketasu IS '修飾語名称桁数';</v>
      </c>
    </row>
    <row r="19" spans="1:45" s="25" customFormat="1">
      <c r="A19" s="4"/>
      <c r="B19" s="21">
        <f t="shared" si="2"/>
        <v>7</v>
      </c>
      <c r="C19" s="6" t="s">
        <v>1957</v>
      </c>
      <c r="D19" s="6" t="s">
        <v>1958</v>
      </c>
      <c r="E19" s="8"/>
      <c r="F19" s="7" t="s">
        <v>737</v>
      </c>
      <c r="G19" s="7" t="str">
        <f t="shared" si="3"/>
        <v>text</v>
      </c>
      <c r="H19" s="26"/>
      <c r="I19" s="10"/>
      <c r="J19" s="11"/>
      <c r="M19" s="4"/>
      <c r="N19" s="76"/>
      <c r="O19" s="76"/>
      <c r="P19" s="76" t="str">
        <f t="shared" si="4"/>
        <v>,syusyokugo_name</v>
      </c>
      <c r="Q19" s="76" t="str">
        <f t="shared" si="5"/>
        <v>TEXT</v>
      </c>
      <c r="R19" s="76" t="str">
        <f t="shared" si="6"/>
        <v/>
      </c>
      <c r="S19" s="76" t="str">
        <f t="shared" si="7"/>
        <v/>
      </c>
      <c r="T19" s="76" t="str">
        <f t="shared" si="8"/>
        <v>-- 修飾語名称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milscm_2023_009.sny_202310_backup_mt_syusyokugo.syusyokugo_name IS '修飾語名称';</v>
      </c>
    </row>
    <row r="20" spans="1:45" s="25" customFormat="1">
      <c r="A20" s="4"/>
      <c r="B20" s="21">
        <f t="shared" si="2"/>
        <v>8</v>
      </c>
      <c r="C20" s="6" t="s">
        <v>1959</v>
      </c>
      <c r="D20" s="6" t="s">
        <v>980</v>
      </c>
      <c r="E20" s="8"/>
      <c r="F20" s="7" t="s">
        <v>737</v>
      </c>
      <c r="G20" s="7" t="str">
        <f t="shared" si="3"/>
        <v>text</v>
      </c>
      <c r="H20" s="26"/>
      <c r="I20" s="10"/>
      <c r="J20" s="11" t="s">
        <v>1983</v>
      </c>
      <c r="M20" s="4"/>
      <c r="N20" s="76"/>
      <c r="O20" s="76"/>
      <c r="P20" s="76" t="str">
        <f t="shared" si="4"/>
        <v>,reserve3</v>
      </c>
      <c r="Q20" s="76" t="str">
        <f t="shared" si="5"/>
        <v>TEXT</v>
      </c>
      <c r="R20" s="76" t="str">
        <f t="shared" si="6"/>
        <v/>
      </c>
      <c r="S20" s="76" t="str">
        <f t="shared" si="7"/>
        <v/>
      </c>
      <c r="T20" s="76" t="str">
        <f t="shared" si="8"/>
        <v>-- 予備3</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6"/>
      <c r="O21" s="76"/>
      <c r="P21" s="76" t="str">
        <f t="shared" si="4"/>
        <v>,syusyokugo_kana_name_ketasu</v>
      </c>
      <c r="Q21" s="76" t="str">
        <f t="shared" si="5"/>
        <v>INTEGER</v>
      </c>
      <c r="R21" s="76" t="str">
        <f t="shared" si="6"/>
        <v/>
      </c>
      <c r="S21" s="76" t="str">
        <f t="shared" si="7"/>
        <v/>
      </c>
      <c r="T21" s="76" t="str">
        <f t="shared" si="8"/>
        <v>-- 修飾語カナ名称桁数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milscm_2023_009.sny_202310_backup_mt_syusyokugo.syusyokugo_kana_name_ketasu IS '修飾語カナ名称桁数';</v>
      </c>
    </row>
    <row r="22" spans="1:45" s="25" customFormat="1">
      <c r="A22" s="4"/>
      <c r="B22" s="21">
        <f t="shared" si="2"/>
        <v>10</v>
      </c>
      <c r="C22" s="6" t="s">
        <v>1962</v>
      </c>
      <c r="D22" s="6" t="s">
        <v>1963</v>
      </c>
      <c r="E22" s="8"/>
      <c r="F22" s="7" t="s">
        <v>737</v>
      </c>
      <c r="G22" s="7" t="str">
        <f t="shared" si="3"/>
        <v>text</v>
      </c>
      <c r="H22" s="26"/>
      <c r="I22" s="10"/>
      <c r="J22" s="11"/>
      <c r="M22" s="4"/>
      <c r="N22" s="76"/>
      <c r="O22" s="76"/>
      <c r="P22" s="76" t="str">
        <f t="shared" si="4"/>
        <v>,syusyokugo_kana_name</v>
      </c>
      <c r="Q22" s="76" t="str">
        <f t="shared" si="5"/>
        <v>TEXT</v>
      </c>
      <c r="R22" s="76" t="str">
        <f t="shared" si="6"/>
        <v/>
      </c>
      <c r="S22" s="76" t="str">
        <f t="shared" si="7"/>
        <v/>
      </c>
      <c r="T22" s="76" t="str">
        <f t="shared" si="8"/>
        <v>-- 修飾語カナ名称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milscm_2023_009.sny_202310_backup_mt_syusyokugo.syusyokugo_kana_name IS '修飾語カナ名称';</v>
      </c>
    </row>
    <row r="23" spans="1:45" s="25" customFormat="1">
      <c r="A23" s="4"/>
      <c r="B23" s="21">
        <f t="shared" si="2"/>
        <v>11</v>
      </c>
      <c r="C23" s="6" t="s">
        <v>1964</v>
      </c>
      <c r="D23" s="6" t="s">
        <v>1187</v>
      </c>
      <c r="E23" s="8"/>
      <c r="F23" s="7" t="s">
        <v>737</v>
      </c>
      <c r="G23" s="7" t="str">
        <f t="shared" si="3"/>
        <v>text</v>
      </c>
      <c r="H23" s="26"/>
      <c r="I23" s="10"/>
      <c r="J23" s="11" t="s">
        <v>1983</v>
      </c>
      <c r="M23" s="4"/>
      <c r="N23" s="76"/>
      <c r="O23" s="76"/>
      <c r="P23" s="76" t="str">
        <f t="shared" si="4"/>
        <v>,reserve4</v>
      </c>
      <c r="Q23" s="76" t="str">
        <f t="shared" si="5"/>
        <v>TEXT</v>
      </c>
      <c r="R23" s="76" t="str">
        <f t="shared" si="6"/>
        <v/>
      </c>
      <c r="S23" s="76" t="str">
        <f t="shared" si="7"/>
        <v/>
      </c>
      <c r="T23" s="76" t="str">
        <f t="shared" si="8"/>
        <v>-- 予備4</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milscm_2023_009.sny_202310_backup_mt_syusyokugo.reserve4 IS '予備4';</v>
      </c>
    </row>
    <row r="24" spans="1:45" s="25" customFormat="1" ht="30">
      <c r="A24" s="4"/>
      <c r="B24" s="21">
        <f t="shared" si="2"/>
        <v>12</v>
      </c>
      <c r="C24" s="6" t="s">
        <v>1965</v>
      </c>
      <c r="D24" s="6" t="s">
        <v>1966</v>
      </c>
      <c r="E24" s="8"/>
      <c r="F24" s="7" t="s">
        <v>737</v>
      </c>
      <c r="G24" s="7" t="str">
        <f t="shared" si="3"/>
        <v>text</v>
      </c>
      <c r="H24" s="26"/>
      <c r="I24" s="10"/>
      <c r="J24" s="11"/>
      <c r="M24" s="4"/>
      <c r="N24" s="76"/>
      <c r="O24" s="76"/>
      <c r="P24" s="76" t="str">
        <f t="shared" si="4"/>
        <v>,syusyokugo_name_henkou</v>
      </c>
      <c r="Q24" s="76" t="str">
        <f t="shared" si="5"/>
        <v>TEXT</v>
      </c>
      <c r="R24" s="76" t="str">
        <f t="shared" si="6"/>
        <v/>
      </c>
      <c r="S24" s="76" t="str">
        <f t="shared" si="7"/>
        <v/>
      </c>
      <c r="T24" s="76" t="str">
        <f t="shared" si="8"/>
        <v>-- 修飾語名称（変更情報）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milscm_2023_009.sny_202310_backup_mt_syusyokugo.syusyokugo_name_henkou IS '修飾語名称（変更情報）';</v>
      </c>
    </row>
    <row r="25" spans="1:45" s="25" customFormat="1" ht="30">
      <c r="A25" s="4"/>
      <c r="B25" s="21">
        <f t="shared" si="2"/>
        <v>13</v>
      </c>
      <c r="C25" s="6" t="s">
        <v>1967</v>
      </c>
      <c r="D25" s="6" t="s">
        <v>1968</v>
      </c>
      <c r="E25" s="8"/>
      <c r="F25" s="7" t="s">
        <v>737</v>
      </c>
      <c r="G25" s="7" t="str">
        <f t="shared" si="3"/>
        <v>text</v>
      </c>
      <c r="H25" s="26"/>
      <c r="I25" s="10"/>
      <c r="J25" s="11"/>
      <c r="M25" s="4"/>
      <c r="N25" s="76"/>
      <c r="O25" s="76"/>
      <c r="P25" s="76" t="str">
        <f t="shared" si="4"/>
        <v>,syusyokugo_kana_name_henkou</v>
      </c>
      <c r="Q25" s="76" t="str">
        <f t="shared" si="5"/>
        <v>TEXT</v>
      </c>
      <c r="R25" s="76" t="str">
        <f t="shared" si="6"/>
        <v/>
      </c>
      <c r="S25" s="76" t="str">
        <f t="shared" si="7"/>
        <v/>
      </c>
      <c r="T25" s="76" t="str">
        <f t="shared" si="8"/>
        <v>-- 修飾語カナ名称（変更情報）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milscm_2023_009.sny_202310_backup_mt_syusyokugo.syusyokugo_kana_name_henkou IS '修飾語カナ名称（変更情報）';</v>
      </c>
    </row>
    <row r="26" spans="1:45" s="25" customFormat="1">
      <c r="A26" s="4"/>
      <c r="B26" s="21">
        <f t="shared" ref="B26:B31" si="9">ROW()-12</f>
        <v>14</v>
      </c>
      <c r="C26" s="6" t="s">
        <v>1969</v>
      </c>
      <c r="D26" s="6" t="s">
        <v>1970</v>
      </c>
      <c r="E26" s="8"/>
      <c r="F26" s="7" t="s">
        <v>737</v>
      </c>
      <c r="G26" s="7" t="str">
        <f t="shared" ref="G26:G32" si="10">IF(F26="フラグ","boolean",IF(F26="文字列","text",IF(F26="整数","integer",IF(F26="実数","numeric",""))))</f>
        <v>text</v>
      </c>
      <c r="H26" s="26"/>
      <c r="I26" s="10"/>
      <c r="J26" s="11" t="s">
        <v>1798</v>
      </c>
      <c r="M26" s="4"/>
      <c r="N26" s="76"/>
      <c r="O26" s="76"/>
      <c r="P26" s="76" t="str">
        <f t="shared" ref="P26:P32" si="11">IF(B26&lt;&gt;1,","&amp;D26,D26)</f>
        <v>,syusai_ymd</v>
      </c>
      <c r="Q26" s="76" t="str">
        <f t="shared" si="0"/>
        <v>TEXT</v>
      </c>
      <c r="R26" s="76" t="str">
        <f t="shared" si="1"/>
        <v/>
      </c>
      <c r="S26" s="76" t="str">
        <f t="shared" ref="S26:S32" si="12">IF(I26="○","NOT NULL","")</f>
        <v/>
      </c>
      <c r="T26" s="76" t="str">
        <f t="shared" ref="T26:T32" si="13">"-- "&amp;C26</f>
        <v>-- 収載年月日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milscm_2023_009.sny_202310_backup_mt_syusyokugo.syusai_ymd IS '収載年月日';</v>
      </c>
    </row>
    <row r="27" spans="1:45" s="25" customFormat="1">
      <c r="A27" s="4"/>
      <c r="B27" s="21">
        <f t="shared" si="9"/>
        <v>15</v>
      </c>
      <c r="C27" s="6" t="s">
        <v>1971</v>
      </c>
      <c r="D27" s="6" t="s">
        <v>1972</v>
      </c>
      <c r="E27" s="8"/>
      <c r="F27" s="7" t="s">
        <v>737</v>
      </c>
      <c r="G27" s="7" t="str">
        <f t="shared" si="10"/>
        <v>text</v>
      </c>
      <c r="H27" s="26"/>
      <c r="I27" s="10"/>
      <c r="J27" s="11" t="s">
        <v>1798</v>
      </c>
      <c r="M27" s="4"/>
      <c r="N27" s="76"/>
      <c r="O27" s="76"/>
      <c r="P27" s="76" t="str">
        <f t="shared" si="11"/>
        <v>,henko_ymd</v>
      </c>
      <c r="Q27" s="76" t="str">
        <f t="shared" si="0"/>
        <v>TEXT</v>
      </c>
      <c r="R27" s="76" t="str">
        <f t="shared" si="1"/>
        <v/>
      </c>
      <c r="S27" s="76" t="str">
        <f t="shared" si="12"/>
        <v/>
      </c>
      <c r="T27" s="76" t="str">
        <f t="shared" si="13"/>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milscm_2023_009.sny_202310_backup_mt_syusyokugo.henko_ymd IS '変更年月日';</v>
      </c>
    </row>
    <row r="28" spans="1:45" s="25" customFormat="1">
      <c r="A28" s="4"/>
      <c r="B28" s="21">
        <f t="shared" si="9"/>
        <v>16</v>
      </c>
      <c r="C28" s="6" t="s">
        <v>1911</v>
      </c>
      <c r="D28" s="6" t="s">
        <v>1973</v>
      </c>
      <c r="E28" s="8"/>
      <c r="F28" s="7" t="s">
        <v>737</v>
      </c>
      <c r="G28" s="7" t="str">
        <f t="shared" si="10"/>
        <v>text</v>
      </c>
      <c r="H28" s="26"/>
      <c r="I28" s="10"/>
      <c r="J28" s="11" t="s">
        <v>1798</v>
      </c>
      <c r="M28" s="4"/>
      <c r="N28" s="76"/>
      <c r="O28" s="76"/>
      <c r="P28" s="76" t="str">
        <f t="shared" si="11"/>
        <v>,haishi_ymd</v>
      </c>
      <c r="Q28" s="76" t="str">
        <f t="shared" si="0"/>
        <v>TEXT</v>
      </c>
      <c r="R28" s="76" t="str">
        <f t="shared" si="1"/>
        <v/>
      </c>
      <c r="S28" s="76" t="str">
        <f t="shared" si="12"/>
        <v/>
      </c>
      <c r="T28" s="76" t="str">
        <f t="shared" si="13"/>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6"/>
      <c r="O29" s="76"/>
      <c r="P29" s="76" t="str">
        <f t="shared" si="11"/>
        <v>,syusyokugo_kanri_no</v>
      </c>
      <c r="Q29" s="76" t="str">
        <f t="shared" si="0"/>
        <v>INTEGER</v>
      </c>
      <c r="R29" s="76" t="str">
        <f t="shared" si="1"/>
        <v/>
      </c>
      <c r="S29" s="76" t="str">
        <f t="shared" si="12"/>
        <v/>
      </c>
      <c r="T29" s="76" t="str">
        <f t="shared" si="13"/>
        <v>-- 修飾語管理番号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milscm_2023_009.sny_202310_backup_mt_syusyokugo.syusyokugo_kanri_no IS '修飾語管理番号';</v>
      </c>
    </row>
    <row r="30" spans="1:45" s="25" customFormat="1">
      <c r="A30" s="4"/>
      <c r="B30" s="21">
        <f t="shared" si="9"/>
        <v>18</v>
      </c>
      <c r="C30" s="6" t="s">
        <v>1976</v>
      </c>
      <c r="D30" s="6" t="s">
        <v>1977</v>
      </c>
      <c r="E30" s="8"/>
      <c r="F30" s="7" t="s">
        <v>737</v>
      </c>
      <c r="G30" s="7" t="str">
        <f t="shared" si="10"/>
        <v>text</v>
      </c>
      <c r="H30" s="26"/>
      <c r="I30" s="10"/>
      <c r="J30" s="11"/>
      <c r="M30" s="4"/>
      <c r="N30" s="76"/>
      <c r="O30" s="76"/>
      <c r="P30" s="76" t="str">
        <f t="shared" si="11"/>
        <v>,syusyokugo_koukan_cd</v>
      </c>
      <c r="Q30" s="76" t="str">
        <f t="shared" si="0"/>
        <v>TEXT</v>
      </c>
      <c r="R30" s="76" t="str">
        <f t="shared" si="1"/>
        <v/>
      </c>
      <c r="S30" s="76" t="str">
        <f t="shared" si="12"/>
        <v/>
      </c>
      <c r="T30" s="76" t="str">
        <f t="shared" si="13"/>
        <v>-- 修飾語交換用コード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milscm_2023_009.sny_202310_backup_mt_syusyokugo.syusyokugo_koukan_cd IS '修飾語交換用コード';</v>
      </c>
    </row>
    <row r="31" spans="1:45" s="25" customFormat="1">
      <c r="A31" s="4"/>
      <c r="B31" s="21">
        <f t="shared" si="9"/>
        <v>19</v>
      </c>
      <c r="C31" s="6" t="s">
        <v>1978</v>
      </c>
      <c r="D31" s="6" t="s">
        <v>1979</v>
      </c>
      <c r="E31" s="8"/>
      <c r="F31" s="7" t="s">
        <v>737</v>
      </c>
      <c r="G31" s="7" t="str">
        <f t="shared" si="10"/>
        <v>text</v>
      </c>
      <c r="H31" s="26"/>
      <c r="I31" s="10"/>
      <c r="J31" s="11"/>
      <c r="M31" s="4"/>
      <c r="N31" s="76"/>
      <c r="O31" s="76"/>
      <c r="P31" s="76" t="str">
        <f t="shared" si="11"/>
        <v>,syusyokugo_kubun</v>
      </c>
      <c r="Q31" s="76" t="str">
        <f t="shared" si="0"/>
        <v>TEXT</v>
      </c>
      <c r="R31" s="76" t="str">
        <f t="shared" si="1"/>
        <v/>
      </c>
      <c r="S31" s="76" t="str">
        <f t="shared" si="12"/>
        <v/>
      </c>
      <c r="T31" s="76" t="str">
        <f t="shared" si="13"/>
        <v>-- 修飾語区分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milscm_2023_009.sny_202310_backup_mt_syusyokugo.syusyokugo_kubun IS '修飾語区分';</v>
      </c>
    </row>
    <row r="32" spans="1:45" s="25" customFormat="1" ht="18" thickBot="1">
      <c r="A32" s="4"/>
      <c r="B32" s="27">
        <f>ROW()-12</f>
        <v>20</v>
      </c>
      <c r="C32" s="57" t="s">
        <v>1980</v>
      </c>
      <c r="D32" s="57" t="s">
        <v>1885</v>
      </c>
      <c r="E32" s="56" t="s">
        <v>127</v>
      </c>
      <c r="F32" s="56" t="s">
        <v>737</v>
      </c>
      <c r="G32" s="56" t="str">
        <f t="shared" si="10"/>
        <v>text</v>
      </c>
      <c r="H32" s="59"/>
      <c r="I32" s="60" t="s">
        <v>127</v>
      </c>
      <c r="J32" s="64" t="s">
        <v>1798</v>
      </c>
      <c r="N32" s="76"/>
      <c r="O32" s="76"/>
      <c r="P32" s="76" t="str">
        <f t="shared" si="11"/>
        <v>,update_ymd</v>
      </c>
      <c r="Q32" s="76" t="str">
        <f t="shared" si="0"/>
        <v>TEXT</v>
      </c>
      <c r="R32" s="76" t="str">
        <f t="shared" si="1"/>
        <v/>
      </c>
      <c r="S32" s="76" t="str">
        <f t="shared" si="12"/>
        <v>NOT NULL</v>
      </c>
      <c r="T32" s="76" t="str">
        <f t="shared" si="13"/>
        <v>-- データ登録日</v>
      </c>
      <c r="U32" s="4"/>
      <c r="AA32" s="4"/>
      <c r="AB32" s="4"/>
      <c r="AC32" s="4"/>
      <c r="AD32" s="4"/>
      <c r="AE32" s="4"/>
      <c r="AF32" s="4"/>
      <c r="AG32" s="4"/>
      <c r="AH32" s="4"/>
      <c r="AI32" s="4"/>
      <c r="AJ32" s="76" t="str">
        <f>IF(E32="○",IF(COUNTA(E$13:E32)=1,"",",")&amp;D32,"")</f>
        <v>,update_ymd</v>
      </c>
      <c r="AK32" s="4"/>
      <c r="AL32" s="4"/>
      <c r="AM32" s="4"/>
      <c r="AN32" s="4"/>
      <c r="AO32" s="4"/>
      <c r="AP32" s="4"/>
      <c r="AQ32" s="4"/>
      <c r="AR32" s="4"/>
      <c r="AS32" s="76" t="str">
        <f>"COMMENT ON COLUMN "&amp;エンティティ一覧!$O$2&amp;"."&amp;D$8&amp;"."&amp;D32&amp;" IS '"&amp;C32&amp;"';"</f>
        <v>COMMENT ON COLUMN milscm_2023_009.sny_202310_backup_mt_syusyokugo.update_ymd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ENT_01_A3-07</v>
      </c>
      <c r="E6" s="234"/>
      <c r="F6" s="234"/>
      <c r="G6" s="234"/>
      <c r="H6" s="234"/>
      <c r="I6" s="234"/>
      <c r="J6" s="235"/>
    </row>
    <row r="7" spans="1:45">
      <c r="B7" s="223" t="s">
        <v>115</v>
      </c>
      <c r="C7" s="224"/>
      <c r="D7" s="225" t="s">
        <v>1984</v>
      </c>
      <c r="E7" s="226"/>
      <c r="F7" s="226"/>
      <c r="G7" s="226"/>
      <c r="H7" s="226"/>
      <c r="I7" s="226"/>
      <c r="J7" s="227"/>
    </row>
    <row r="8" spans="1:45">
      <c r="B8" s="223" t="s">
        <v>116</v>
      </c>
      <c r="C8" s="224"/>
      <c r="D8" s="225" t="str">
        <f>エンティティ一覧!AE2&amp;"_"&amp;D5&amp;"_mt_comment"</f>
        <v>sny_202310_backup_mt_comment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milscm_2023_009.sny_202310_backup_mt_comment;</v>
      </c>
      <c r="O10" s="76"/>
      <c r="P10" s="76"/>
      <c r="Q10" s="76"/>
      <c r="R10" s="76"/>
      <c r="S10" s="76"/>
      <c r="T10" s="76"/>
      <c r="AJ10" s="76" t="str">
        <f>"ALTER TABLE ONLY "&amp;エンティティ一覧!$O$2&amp;"."&amp;D$8</f>
        <v>ALTER TABLE ONLY milscm_2023_009.sny_202310_backup_mt_comment</v>
      </c>
      <c r="AS10" s="76" t="str">
        <f>"ALTER TABLE "&amp;エンティティ一覧!$O$2&amp;"."&amp;D$8&amp;" OWNER TO pgmisgrp1;"</f>
        <v>ALTER TABLE milscm_2023_009.sny_202310_backup_mt_comment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milscm_2023_009.sny_202310_backup_mt_comment</v>
      </c>
      <c r="O11" s="76"/>
      <c r="P11" s="76"/>
      <c r="Q11" s="76"/>
      <c r="R11" s="76"/>
      <c r="S11" s="76"/>
      <c r="T11" s="76"/>
      <c r="AJ11" s="76" t="str">
        <f>"ADD CONSTRAINT "&amp;D$8&amp;"_pkey PRIMARY KEY"</f>
        <v>ADD CONSTRAINT sny_202310_backup_mt_comment_pkey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6"/>
      <c r="O13" s="76"/>
      <c r="P13" s="76" t="str">
        <f>IF(B13&lt;&gt;1,","&amp;D13,D13)</f>
        <v>henkou_kubun</v>
      </c>
      <c r="Q13" s="76" t="str">
        <f t="shared" ref="Q13:Q43" si="0">UPPER(G13)</f>
        <v>TEXT</v>
      </c>
      <c r="R13" s="76" t="str">
        <f t="shared" ref="R13:R43" si="1">IF(H13&lt;&gt;"","default "&amp;IF(G13="text","'"&amp;H13&amp;"'",H13),"")</f>
        <v/>
      </c>
      <c r="S13" s="76" t="str">
        <f>IF(I13="○","NOT NULL","")</f>
        <v>NOT NULL</v>
      </c>
      <c r="T13" s="76" t="str">
        <f>"-- "&amp;C13</f>
        <v>-- 変更区分</v>
      </c>
      <c r="U13" s="4"/>
      <c r="AA13" s="4"/>
      <c r="AB13" s="4"/>
      <c r="AC13" s="4"/>
      <c r="AD13" s="4"/>
      <c r="AE13" s="4"/>
      <c r="AF13" s="4"/>
      <c r="AG13" s="4"/>
      <c r="AH13" s="4"/>
      <c r="AI13" s="4"/>
      <c r="AJ13" s="76" t="str">
        <f>IF(E13="○",IF(COUNTA(E$13:E13)=1,"",",")&amp;D13,"")</f>
        <v>henkou_kubun</v>
      </c>
      <c r="AK13" s="4"/>
      <c r="AL13" s="4"/>
      <c r="AM13" s="4"/>
      <c r="AN13" s="4"/>
      <c r="AO13" s="4"/>
      <c r="AP13" s="4"/>
      <c r="AQ13" s="4"/>
      <c r="AR13" s="4"/>
      <c r="AS13" s="76" t="str">
        <f>"COMMENT ON COLUMN "&amp;エンティティ一覧!$O$2&amp;"."&amp;D$8&amp;"."&amp;D13&amp;" IS '"&amp;C13&amp;"';"</f>
        <v>COMMENT ON COLUMN milscm_2023_009.sny_202310_backup_mt_comment.henkou_kubun IS '変更区分';</v>
      </c>
    </row>
    <row r="14" spans="1:45" s="25" customFormat="1">
      <c r="A14" s="4"/>
      <c r="B14" s="21">
        <f t="shared" ref="B14:B23" si="2">ROW()-12</f>
        <v>2</v>
      </c>
      <c r="C14" s="6" t="s">
        <v>1948</v>
      </c>
      <c r="D14" s="6" t="s">
        <v>1949</v>
      </c>
      <c r="E14" s="8"/>
      <c r="F14" s="7" t="s">
        <v>737</v>
      </c>
      <c r="G14" s="7" t="str">
        <f t="shared" ref="G14:G23" si="3">IF(F14="フラグ","boolean",IF(F14="文字列","text",IF(F14="整数","integer",IF(F14="実数","numeric",""))))</f>
        <v>text</v>
      </c>
      <c r="H14" s="26"/>
      <c r="I14" s="10" t="s">
        <v>127</v>
      </c>
      <c r="J14" s="11" t="s">
        <v>2028</v>
      </c>
      <c r="M14" s="4"/>
      <c r="N14" s="76"/>
      <c r="O14" s="76"/>
      <c r="P14" s="76" t="str">
        <f t="shared" ref="P14:P23" si="4">IF(B14&lt;&gt;1,","&amp;D14,D14)</f>
        <v>,master_type</v>
      </c>
      <c r="Q14" s="76" t="str">
        <f t="shared" ref="Q14:Q23" si="5">UPPER(G14)</f>
        <v>TEXT</v>
      </c>
      <c r="R14" s="76" t="str">
        <f t="shared" ref="R14:R23" si="6">IF(H14&lt;&gt;"","default "&amp;IF(G14="text","'"&amp;H14&amp;"'",H14),"")</f>
        <v/>
      </c>
      <c r="S14" s="76" t="str">
        <f t="shared" ref="S14:S23" si="7">IF(I14="○","NOT NULL","")</f>
        <v>NOT NULL</v>
      </c>
      <c r="T14" s="76" t="str">
        <f t="shared" ref="T14:T23" si="8">"--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milscm_2023_009.sny_202310_backup_mt_comment.master_type IS 'マスター種別';</v>
      </c>
    </row>
    <row r="15" spans="1:45" s="25" customFormat="1">
      <c r="A15" s="4"/>
      <c r="B15" s="21">
        <f t="shared" si="2"/>
        <v>3</v>
      </c>
      <c r="C15" s="6" t="s">
        <v>1985</v>
      </c>
      <c r="D15" s="6" t="s">
        <v>1986</v>
      </c>
      <c r="E15" s="8" t="s">
        <v>127</v>
      </c>
      <c r="F15" s="7" t="s">
        <v>737</v>
      </c>
      <c r="G15" s="7" t="str">
        <f t="shared" si="3"/>
        <v>text</v>
      </c>
      <c r="H15" s="26"/>
      <c r="I15" s="10" t="s">
        <v>127</v>
      </c>
      <c r="J15" s="11" t="s">
        <v>2029</v>
      </c>
      <c r="M15" s="4"/>
      <c r="N15" s="76"/>
      <c r="O15" s="76"/>
      <c r="P15" s="76" t="str">
        <f t="shared" si="4"/>
        <v>,comment_cd</v>
      </c>
      <c r="Q15" s="76" t="str">
        <f t="shared" si="5"/>
        <v>TEXT</v>
      </c>
      <c r="R15" s="76" t="str">
        <f t="shared" si="6"/>
        <v/>
      </c>
      <c r="S15" s="76" t="str">
        <f t="shared" si="7"/>
        <v>NOT NULL</v>
      </c>
      <c r="T15" s="76" t="str">
        <f t="shared" si="8"/>
        <v>-- コメントコード区分</v>
      </c>
      <c r="U15" s="4"/>
      <c r="AA15" s="4"/>
      <c r="AB15" s="4"/>
      <c r="AC15" s="4"/>
      <c r="AD15" s="4"/>
      <c r="AE15" s="4"/>
      <c r="AF15" s="4"/>
      <c r="AG15" s="4"/>
      <c r="AH15" s="4"/>
      <c r="AI15" s="4"/>
      <c r="AJ15" s="76" t="str">
        <f>IF(E15="○",IF(COUNTA(E$13:E15)=1,"",",")&amp;D15,"")</f>
        <v>,comment_cd</v>
      </c>
      <c r="AK15" s="4"/>
      <c r="AL15" s="4"/>
      <c r="AM15" s="4"/>
      <c r="AN15" s="4"/>
      <c r="AO15" s="4"/>
      <c r="AP15" s="4"/>
      <c r="AQ15" s="4"/>
      <c r="AR15" s="4"/>
      <c r="AS15" s="76" t="str">
        <f>"COMMENT ON COLUMN "&amp;エンティティ一覧!$O$2&amp;"."&amp;D$8&amp;"."&amp;D15&amp;" IS '"&amp;C15&amp;"';"</f>
        <v>COMMENT ON COLUMN milscm_2023_009.sny_202310_backup_mt_comment.comment_cd IS 'コメントコード区分';</v>
      </c>
    </row>
    <row r="16" spans="1:45" s="25" customFormat="1">
      <c r="A16" s="4"/>
      <c r="B16" s="21">
        <f t="shared" si="2"/>
        <v>4</v>
      </c>
      <c r="C16" s="6" t="s">
        <v>1987</v>
      </c>
      <c r="D16" s="6" t="s">
        <v>1988</v>
      </c>
      <c r="E16" s="8" t="s">
        <v>127</v>
      </c>
      <c r="F16" s="7" t="s">
        <v>737</v>
      </c>
      <c r="G16" s="7" t="str">
        <f t="shared" si="3"/>
        <v>text</v>
      </c>
      <c r="H16" s="26"/>
      <c r="I16" s="10" t="s">
        <v>127</v>
      </c>
      <c r="J16" s="11"/>
      <c r="M16" s="4"/>
      <c r="N16" s="76"/>
      <c r="O16" s="76"/>
      <c r="P16" s="76" t="str">
        <f t="shared" si="4"/>
        <v>,comment_cd_pattern</v>
      </c>
      <c r="Q16" s="76" t="str">
        <f t="shared" si="5"/>
        <v>TEXT</v>
      </c>
      <c r="R16" s="76" t="str">
        <f t="shared" si="6"/>
        <v/>
      </c>
      <c r="S16" s="76" t="str">
        <f t="shared" si="7"/>
        <v>NOT NULL</v>
      </c>
      <c r="T16" s="76" t="str">
        <f t="shared" si="8"/>
        <v>-- コメントコードパターン</v>
      </c>
      <c r="U16" s="4"/>
      <c r="AA16" s="4"/>
      <c r="AB16" s="4"/>
      <c r="AC16" s="4"/>
      <c r="AD16" s="4"/>
      <c r="AE16" s="4"/>
      <c r="AF16" s="4"/>
      <c r="AG16" s="4"/>
      <c r="AH16" s="4"/>
      <c r="AI16" s="4"/>
      <c r="AJ16" s="76" t="str">
        <f>IF(E16="○",IF(COUNTA(E$13:E16)=1,"",",")&amp;D16,"")</f>
        <v>,comment_cd_pattern</v>
      </c>
      <c r="AK16" s="4"/>
      <c r="AL16" s="4"/>
      <c r="AM16" s="4"/>
      <c r="AN16" s="4"/>
      <c r="AO16" s="4"/>
      <c r="AP16" s="4"/>
      <c r="AQ16" s="4"/>
      <c r="AR16" s="4"/>
      <c r="AS16" s="76" t="str">
        <f>"COMMENT ON COLUMN "&amp;エンティティ一覧!$O$2&amp;"."&amp;D$8&amp;"."&amp;D16&amp;" IS '"&amp;C16&amp;"';"</f>
        <v>COMMENT ON COLUMN milscm_2023_009.sny_202310_backup_mt_comment.comment_cd_pattern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6"/>
      <c r="O17" s="76"/>
      <c r="P17" s="76" t="str">
        <f t="shared" si="4"/>
        <v>,comment_cd_seq</v>
      </c>
      <c r="Q17" s="76" t="str">
        <f t="shared" si="5"/>
        <v>TEXT</v>
      </c>
      <c r="R17" s="76" t="str">
        <f t="shared" si="6"/>
        <v/>
      </c>
      <c r="S17" s="76" t="str">
        <f t="shared" si="7"/>
        <v>NOT NULL</v>
      </c>
      <c r="T17" s="76" t="str">
        <f t="shared" si="8"/>
        <v>-- コメントコード一連番号</v>
      </c>
      <c r="U17" s="4"/>
      <c r="AA17" s="4"/>
      <c r="AB17" s="4"/>
      <c r="AC17" s="4"/>
      <c r="AD17" s="4"/>
      <c r="AE17" s="4"/>
      <c r="AF17" s="4"/>
      <c r="AG17" s="4"/>
      <c r="AH17" s="4"/>
      <c r="AI17" s="4"/>
      <c r="AJ17" s="76" t="str">
        <f>IF(E17="○",IF(COUNTA(E$13:E17)=1,"",",")&amp;D17,"")</f>
        <v>,comment_cd_seq</v>
      </c>
      <c r="AK17" s="4"/>
      <c r="AL17" s="4"/>
      <c r="AM17" s="4"/>
      <c r="AN17" s="4"/>
      <c r="AO17" s="4"/>
      <c r="AP17" s="4"/>
      <c r="AQ17" s="4"/>
      <c r="AR17" s="4"/>
      <c r="AS17" s="76" t="str">
        <f>"COMMENT ON COLUMN "&amp;エンティティ一覧!$O$2&amp;"."&amp;D$8&amp;"."&amp;D17&amp;" IS '"&amp;C17&amp;"';"</f>
        <v>COMMENT ON COLUMN milscm_2023_009.sny_202310_backup_mt_comment.comment_cd_seq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6"/>
      <c r="O18" s="76"/>
      <c r="P18" s="76" t="str">
        <f t="shared" si="4"/>
        <v>,comment_sentence_kanji_ketasu</v>
      </c>
      <c r="Q18" s="76" t="str">
        <f t="shared" si="5"/>
        <v>INTEGER</v>
      </c>
      <c r="R18" s="76" t="str">
        <f t="shared" si="6"/>
        <v/>
      </c>
      <c r="S18" s="76" t="str">
        <f t="shared" si="7"/>
        <v/>
      </c>
      <c r="T18" s="76" t="str">
        <f t="shared" si="8"/>
        <v>-- コメント文漢字有効桁数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6"/>
      <c r="O19" s="76"/>
      <c r="P19" s="76" t="str">
        <f t="shared" si="4"/>
        <v>,comment_sentence_kanji_name</v>
      </c>
      <c r="Q19" s="76" t="str">
        <f t="shared" si="5"/>
        <v>TEXT</v>
      </c>
      <c r="R19" s="76" t="str">
        <f t="shared" si="6"/>
        <v/>
      </c>
      <c r="S19" s="76" t="str">
        <f t="shared" si="7"/>
        <v/>
      </c>
      <c r="T19" s="76" t="str">
        <f t="shared" si="8"/>
        <v>-- コメント文漢字名称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6"/>
      <c r="O20" s="76"/>
      <c r="P20" s="76" t="str">
        <f t="shared" si="4"/>
        <v>,comment_sentence_kana_ketasu</v>
      </c>
      <c r="Q20" s="76" t="str">
        <f t="shared" si="5"/>
        <v>INTEGER</v>
      </c>
      <c r="R20" s="76" t="str">
        <f t="shared" si="6"/>
        <v/>
      </c>
      <c r="S20" s="76" t="str">
        <f t="shared" si="7"/>
        <v/>
      </c>
      <c r="T20" s="76" t="str">
        <f t="shared" si="8"/>
        <v>-- コメント文カナ有効桁数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milscm_2023_009.sny_202310_backup_mt_comment.comment_sentence_kana_ketasu IS 'コメント文カナ有効桁数';</v>
      </c>
    </row>
    <row r="21" spans="1:45" s="25" customFormat="1" ht="30">
      <c r="A21" s="4"/>
      <c r="B21" s="21">
        <f t="shared" si="2"/>
        <v>9</v>
      </c>
      <c r="C21" s="6" t="s">
        <v>1999</v>
      </c>
      <c r="D21" s="6" t="s">
        <v>2000</v>
      </c>
      <c r="E21" s="8"/>
      <c r="F21" s="7" t="s">
        <v>737</v>
      </c>
      <c r="G21" s="7" t="str">
        <f t="shared" si="3"/>
        <v>text</v>
      </c>
      <c r="H21" s="26"/>
      <c r="I21" s="10"/>
      <c r="J21" s="11"/>
      <c r="M21" s="4"/>
      <c r="N21" s="76"/>
      <c r="O21" s="76"/>
      <c r="P21" s="76" t="str">
        <f t="shared" si="4"/>
        <v>,comment_sentence_kana_name</v>
      </c>
      <c r="Q21" s="76" t="str">
        <f t="shared" si="5"/>
        <v>TEXT</v>
      </c>
      <c r="R21" s="76" t="str">
        <f t="shared" si="6"/>
        <v/>
      </c>
      <c r="S21" s="76" t="str">
        <f t="shared" si="7"/>
        <v/>
      </c>
      <c r="T21" s="76" t="str">
        <f t="shared" si="8"/>
        <v>-- コメント文カナ名称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6"/>
      <c r="O22" s="76"/>
      <c r="P22" s="76" t="str">
        <f t="shared" si="4"/>
        <v>,recept_hensyu_info1_column_position</v>
      </c>
      <c r="Q22" s="76" t="str">
        <f t="shared" si="5"/>
        <v>INTEGER</v>
      </c>
      <c r="R22" s="76" t="str">
        <f t="shared" si="6"/>
        <v/>
      </c>
      <c r="S22" s="76" t="str">
        <f t="shared" si="7"/>
        <v/>
      </c>
      <c r="T22" s="76" t="str">
        <f t="shared" si="8"/>
        <v>-- レセプト編集情報1カラム位置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6"/>
      <c r="O23" s="76"/>
      <c r="P23" s="76" t="str">
        <f t="shared" si="4"/>
        <v>,recept_hensyu_info1_ketasu</v>
      </c>
      <c r="Q23" s="76" t="str">
        <f t="shared" si="5"/>
        <v>INTEGER</v>
      </c>
      <c r="R23" s="76" t="str">
        <f t="shared" si="6"/>
        <v/>
      </c>
      <c r="S23" s="76" t="str">
        <f t="shared" si="7"/>
        <v/>
      </c>
      <c r="T23" s="76" t="str">
        <f t="shared" si="8"/>
        <v>-- レセプト編集情報1桁数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6"/>
      <c r="O24" s="76"/>
      <c r="P24" s="76" t="str">
        <f t="shared" ref="P24:P43" si="11">IF(B24&lt;&gt;1,","&amp;D24,D24)</f>
        <v>,recept_hensyu_info2_column_position</v>
      </c>
      <c r="Q24" s="76" t="str">
        <f t="shared" si="0"/>
        <v>INTEGER</v>
      </c>
      <c r="R24" s="76" t="str">
        <f t="shared" si="1"/>
        <v/>
      </c>
      <c r="S24" s="76" t="str">
        <f t="shared" ref="S24:S43" si="12">IF(I24="○","NOT NULL","")</f>
        <v/>
      </c>
      <c r="T24" s="76" t="str">
        <f t="shared" ref="T24:T43" si="13">"-- "&amp;C24</f>
        <v>-- レセプト編集情報2カラム位置</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6"/>
      <c r="O25" s="76"/>
      <c r="P25" s="76" t="str">
        <f t="shared" si="11"/>
        <v>,recept_hensyu_info2_ketasu</v>
      </c>
      <c r="Q25" s="76" t="str">
        <f t="shared" si="0"/>
        <v>INTEGER</v>
      </c>
      <c r="R25" s="76" t="str">
        <f t="shared" si="1"/>
        <v/>
      </c>
      <c r="S25" s="76" t="str">
        <f t="shared" si="12"/>
        <v/>
      </c>
      <c r="T25" s="76" t="str">
        <f t="shared" si="13"/>
        <v>-- レセプト編集情報2桁数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6"/>
      <c r="O26" s="76"/>
      <c r="P26" s="76" t="str">
        <f t="shared" si="11"/>
        <v>,recept_hensyu_info3_column_position</v>
      </c>
      <c r="Q26" s="76" t="str">
        <f t="shared" si="0"/>
        <v>INTEGER</v>
      </c>
      <c r="R26" s="76" t="str">
        <f t="shared" si="1"/>
        <v/>
      </c>
      <c r="S26" s="76" t="str">
        <f t="shared" si="12"/>
        <v/>
      </c>
      <c r="T26" s="76" t="str">
        <f t="shared" si="13"/>
        <v>-- レセプト編集情報3カラム位置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6"/>
      <c r="O27" s="76"/>
      <c r="P27" s="76" t="str">
        <f t="shared" si="11"/>
        <v>,recept_hensyu_info3_ketasu</v>
      </c>
      <c r="Q27" s="76" t="str">
        <f t="shared" si="0"/>
        <v>INTEGER</v>
      </c>
      <c r="R27" s="76" t="str">
        <f t="shared" si="1"/>
        <v/>
      </c>
      <c r="S27" s="76" t="str">
        <f t="shared" si="12"/>
        <v/>
      </c>
      <c r="T27" s="76" t="str">
        <f t="shared" si="13"/>
        <v>-- レセプト編集情報3桁数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6"/>
      <c r="O28" s="76"/>
      <c r="P28" s="76" t="str">
        <f t="shared" si="11"/>
        <v>,recept_hensyu_info4_column_position</v>
      </c>
      <c r="Q28" s="76" t="str">
        <f t="shared" si="0"/>
        <v>INTEGER</v>
      </c>
      <c r="R28" s="76" t="str">
        <f t="shared" si="1"/>
        <v/>
      </c>
      <c r="S28" s="76" t="str">
        <f t="shared" si="12"/>
        <v/>
      </c>
      <c r="T28" s="76" t="str">
        <f t="shared" si="13"/>
        <v>-- レセプト編集情報4カラム位置</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6"/>
      <c r="O29" s="76"/>
      <c r="P29" s="76" t="str">
        <f t="shared" si="11"/>
        <v>,recept_hensyu_info4_ketasu</v>
      </c>
      <c r="Q29" s="76" t="str">
        <f t="shared" si="0"/>
        <v>INTEGER</v>
      </c>
      <c r="R29" s="76" t="str">
        <f t="shared" si="1"/>
        <v/>
      </c>
      <c r="S29" s="76" t="str">
        <f t="shared" si="12"/>
        <v/>
      </c>
      <c r="T29" s="76" t="str">
        <f t="shared" si="13"/>
        <v>-- レセプト編集情報4桁数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milscm_2023_009.sny_202310_backup_mt_comment.recept_hensyu_info4_ketasu IS 'レセプト編集情報4桁数';</v>
      </c>
    </row>
    <row r="30" spans="1:45" s="25" customFormat="1">
      <c r="A30" s="4"/>
      <c r="B30" s="21">
        <f t="shared" si="9"/>
        <v>18</v>
      </c>
      <c r="C30" s="6" t="s">
        <v>1952</v>
      </c>
      <c r="D30" s="6" t="s">
        <v>927</v>
      </c>
      <c r="E30" s="8"/>
      <c r="F30" s="7" t="s">
        <v>737</v>
      </c>
      <c r="G30" s="7" t="str">
        <f t="shared" si="10"/>
        <v>text</v>
      </c>
      <c r="H30" s="26"/>
      <c r="I30" s="10"/>
      <c r="J30" s="11" t="s">
        <v>1983</v>
      </c>
      <c r="M30" s="4"/>
      <c r="N30" s="76"/>
      <c r="O30" s="76"/>
      <c r="P30" s="76" t="str">
        <f t="shared" si="11"/>
        <v>,reserve1</v>
      </c>
      <c r="Q30" s="76" t="str">
        <f t="shared" si="0"/>
        <v>TEXT</v>
      </c>
      <c r="R30" s="76" t="str">
        <f t="shared" si="1"/>
        <v/>
      </c>
      <c r="S30" s="76" t="str">
        <f t="shared" si="12"/>
        <v/>
      </c>
      <c r="T30" s="76" t="str">
        <f t="shared" si="13"/>
        <v>-- 予備1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6"/>
      <c r="O31" s="76"/>
      <c r="P31" s="76" t="str">
        <f t="shared" si="11"/>
        <v>,reserve2</v>
      </c>
      <c r="Q31" s="76" t="str">
        <f t="shared" si="0"/>
        <v>TEXT</v>
      </c>
      <c r="R31" s="76" t="str">
        <f t="shared" si="1"/>
        <v/>
      </c>
      <c r="S31" s="76" t="str">
        <f t="shared" si="12"/>
        <v/>
      </c>
      <c r="T31" s="76" t="str">
        <f t="shared" si="13"/>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6"/>
      <c r="O32" s="76"/>
      <c r="P32" s="76" t="str">
        <f t="shared" si="11"/>
        <v>,selective_comment_identification</v>
      </c>
      <c r="Q32" s="76" t="str">
        <f t="shared" si="0"/>
        <v>INTEGER</v>
      </c>
      <c r="R32" s="76" t="str">
        <f t="shared" si="1"/>
        <v/>
      </c>
      <c r="S32" s="76" t="str">
        <f t="shared" si="12"/>
        <v/>
      </c>
      <c r="T32" s="76" t="str">
        <f t="shared" si="13"/>
        <v>-- 選択式コメント識別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milscm_2023_009.sny_202310_backup_mt_comment.selective_comment_identification IS '選択式コメント識別';</v>
      </c>
    </row>
    <row r="33" spans="1:52" s="25" customFormat="1">
      <c r="A33" s="4"/>
      <c r="B33" s="21">
        <f t="shared" si="9"/>
        <v>21</v>
      </c>
      <c r="C33" s="6" t="s">
        <v>1971</v>
      </c>
      <c r="D33" s="6" t="s">
        <v>1972</v>
      </c>
      <c r="E33" s="8"/>
      <c r="F33" s="7" t="s">
        <v>737</v>
      </c>
      <c r="G33" s="7" t="str">
        <f t="shared" si="10"/>
        <v>text</v>
      </c>
      <c r="H33" s="26"/>
      <c r="I33" s="10"/>
      <c r="J33" s="11" t="s">
        <v>1798</v>
      </c>
      <c r="M33" s="4"/>
      <c r="N33" s="76"/>
      <c r="O33" s="76"/>
      <c r="P33" s="76" t="str">
        <f t="shared" si="11"/>
        <v>,henko_ymd</v>
      </c>
      <c r="Q33" s="76" t="str">
        <f t="shared" si="0"/>
        <v>TEXT</v>
      </c>
      <c r="R33" s="76" t="str">
        <f t="shared" si="1"/>
        <v/>
      </c>
      <c r="S33" s="76" t="str">
        <f t="shared" si="12"/>
        <v/>
      </c>
      <c r="T33" s="76" t="str">
        <f t="shared" si="13"/>
        <v>-- 変更年月日</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milscm_2023_009.sny_202310_backup_mt_comment.henko_ymd IS '変更年月日';</v>
      </c>
    </row>
    <row r="34" spans="1:52" s="25" customFormat="1">
      <c r="A34" s="4"/>
      <c r="B34" s="21">
        <f t="shared" si="9"/>
        <v>22</v>
      </c>
      <c r="C34" s="6" t="s">
        <v>1911</v>
      </c>
      <c r="D34" s="6" t="s">
        <v>1973</v>
      </c>
      <c r="E34" s="8"/>
      <c r="F34" s="7" t="s">
        <v>737</v>
      </c>
      <c r="G34" s="7" t="str">
        <f t="shared" si="10"/>
        <v>text</v>
      </c>
      <c r="H34" s="26"/>
      <c r="I34" s="10"/>
      <c r="J34" s="11" t="s">
        <v>1798</v>
      </c>
      <c r="M34" s="4"/>
      <c r="N34" s="76"/>
      <c r="O34" s="76"/>
      <c r="P34" s="76" t="str">
        <f t="shared" si="11"/>
        <v>,haishi_ymd</v>
      </c>
      <c r="Q34" s="76" t="str">
        <f t="shared" si="0"/>
        <v>TEXT</v>
      </c>
      <c r="R34" s="76" t="str">
        <f t="shared" si="1"/>
        <v/>
      </c>
      <c r="S34" s="76" t="str">
        <f t="shared" si="12"/>
        <v/>
      </c>
      <c r="T34" s="76" t="str">
        <f t="shared" si="13"/>
        <v>-- 廃止年月日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6"/>
      <c r="O35" s="76"/>
      <c r="P35" s="76" t="str">
        <f t="shared" si="11"/>
        <v>,comment_code</v>
      </c>
      <c r="Q35" s="76" t="str">
        <f t="shared" si="0"/>
        <v>TEXT</v>
      </c>
      <c r="R35" s="76" t="str">
        <f t="shared" si="1"/>
        <v/>
      </c>
      <c r="S35" s="76" t="str">
        <f t="shared" si="12"/>
        <v/>
      </c>
      <c r="T35" s="76" t="str">
        <f t="shared" si="13"/>
        <v>-- コメントコード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6"/>
      <c r="O36" s="76"/>
      <c r="P36" s="76" t="str">
        <f t="shared" si="11"/>
        <v>,kouhyoujunjo_no</v>
      </c>
      <c r="Q36" s="76" t="str">
        <f t="shared" si="0"/>
        <v>TEXT</v>
      </c>
      <c r="R36" s="76" t="str">
        <f t="shared" si="1"/>
        <v/>
      </c>
      <c r="S36" s="76" t="str">
        <f t="shared" si="12"/>
        <v/>
      </c>
      <c r="T36" s="76" t="str">
        <f t="shared" si="13"/>
        <v>-- 公表順序番号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6"/>
      <c r="O37" s="76"/>
      <c r="P37" s="76" t="str">
        <f t="shared" si="11"/>
        <v>,reserve3</v>
      </c>
      <c r="Q37" s="76" t="str">
        <f t="shared" si="0"/>
        <v>TEXT</v>
      </c>
      <c r="R37" s="76" t="str">
        <f t="shared" si="1"/>
        <v/>
      </c>
      <c r="S37" s="76" t="str">
        <f t="shared" si="12"/>
        <v/>
      </c>
      <c r="T37" s="76" t="str">
        <f t="shared" si="13"/>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milscm_2023_009.sny_202310_backup_mt_comment.reserve3 IS '予備3';</v>
      </c>
    </row>
    <row r="38" spans="1:52" s="25" customFormat="1">
      <c r="A38" s="4"/>
      <c r="B38" s="21">
        <f t="shared" si="9"/>
        <v>26</v>
      </c>
      <c r="C38" s="6" t="s">
        <v>1964</v>
      </c>
      <c r="D38" s="6" t="s">
        <v>1187</v>
      </c>
      <c r="E38" s="8"/>
      <c r="F38" s="7" t="s">
        <v>737</v>
      </c>
      <c r="G38" s="7" t="str">
        <f t="shared" si="10"/>
        <v>text</v>
      </c>
      <c r="H38" s="26"/>
      <c r="I38" s="10"/>
      <c r="J38" s="11" t="s">
        <v>1983</v>
      </c>
      <c r="M38" s="4"/>
      <c r="N38" s="76"/>
      <c r="O38" s="76"/>
      <c r="P38" s="76" t="str">
        <f t="shared" si="11"/>
        <v>,reserve4</v>
      </c>
      <c r="Q38" s="76" t="str">
        <f t="shared" si="0"/>
        <v>TEXT</v>
      </c>
      <c r="R38" s="76" t="str">
        <f t="shared" si="1"/>
        <v/>
      </c>
      <c r="S38" s="76" t="str">
        <f t="shared" si="12"/>
        <v/>
      </c>
      <c r="T38" s="76" t="str">
        <f t="shared" si="13"/>
        <v>-- 予備4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milscm_2023_009.sny_202310_backup_mt_comment.reserve4 IS '予備4';</v>
      </c>
    </row>
    <row r="39" spans="1:52" s="25" customFormat="1">
      <c r="A39" s="4"/>
      <c r="B39" s="21">
        <f t="shared" si="9"/>
        <v>27</v>
      </c>
      <c r="C39" s="6" t="s">
        <v>2023</v>
      </c>
      <c r="D39" s="6" t="s">
        <v>1192</v>
      </c>
      <c r="E39" s="8"/>
      <c r="F39" s="7" t="s">
        <v>737</v>
      </c>
      <c r="G39" s="7" t="str">
        <f t="shared" si="10"/>
        <v>text</v>
      </c>
      <c r="H39" s="26"/>
      <c r="I39" s="10"/>
      <c r="J39" s="11" t="s">
        <v>1983</v>
      </c>
      <c r="M39" s="4"/>
      <c r="N39" s="76"/>
      <c r="O39" s="76"/>
      <c r="P39" s="76" t="str">
        <f t="shared" si="11"/>
        <v>,reserve5</v>
      </c>
      <c r="Q39" s="76" t="str">
        <f t="shared" si="0"/>
        <v>TEXT</v>
      </c>
      <c r="R39" s="76" t="str">
        <f t="shared" si="1"/>
        <v/>
      </c>
      <c r="S39" s="76" t="str">
        <f t="shared" si="12"/>
        <v/>
      </c>
      <c r="T39" s="76" t="str">
        <f t="shared" si="13"/>
        <v>-- 予備5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milscm_2023_009.sny_202310_backup_mt_comment.reserve5 IS '予備5';</v>
      </c>
    </row>
    <row r="40" spans="1:52" s="25" customFormat="1">
      <c r="A40" s="4"/>
      <c r="B40" s="21">
        <f t="shared" si="9"/>
        <v>28</v>
      </c>
      <c r="C40" s="6" t="s">
        <v>2024</v>
      </c>
      <c r="D40" s="6" t="s">
        <v>1194</v>
      </c>
      <c r="E40" s="8"/>
      <c r="F40" s="7" t="s">
        <v>737</v>
      </c>
      <c r="G40" s="7" t="str">
        <f t="shared" si="10"/>
        <v>text</v>
      </c>
      <c r="H40" s="26"/>
      <c r="I40" s="10"/>
      <c r="J40" s="11" t="s">
        <v>1983</v>
      </c>
      <c r="M40" s="4"/>
      <c r="N40" s="76"/>
      <c r="O40" s="76"/>
      <c r="P40" s="76" t="str">
        <f t="shared" si="11"/>
        <v>,reserve6</v>
      </c>
      <c r="Q40" s="76" t="str">
        <f t="shared" si="0"/>
        <v>TEXT</v>
      </c>
      <c r="R40" s="76" t="str">
        <f t="shared" si="1"/>
        <v/>
      </c>
      <c r="S40" s="76" t="str">
        <f t="shared" si="12"/>
        <v/>
      </c>
      <c r="T40" s="76" t="str">
        <f t="shared" si="13"/>
        <v>-- 予備6</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6"/>
      <c r="O41" s="76"/>
      <c r="P41" s="76" t="str">
        <f t="shared" ref="P41" si="15">IF(B41&lt;&gt;1,","&amp;D41,D41)</f>
        <v>,reserve7</v>
      </c>
      <c r="Q41" s="76" t="str">
        <f t="shared" ref="Q41" si="16">UPPER(G41)</f>
        <v>TEXT</v>
      </c>
      <c r="R41" s="76" t="str">
        <f t="shared" ref="R41" si="17">IF(H41&lt;&gt;"","default "&amp;IF(G41="text","'"&amp;H41&amp;"'",H41),"")</f>
        <v/>
      </c>
      <c r="S41" s="76" t="str">
        <f t="shared" ref="S41" si="18">IF(I41="○","NOT NULL","")</f>
        <v/>
      </c>
      <c r="T41" s="76" t="str">
        <f t="shared" ref="T41" si="19">"-- "&amp;C41</f>
        <v>-- 予備7</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milscm_2023_009.sny_202310_backup_mt_comment.reserve7 IS '予備7';</v>
      </c>
    </row>
    <row r="42" spans="1:52" s="25" customFormat="1">
      <c r="A42" s="4"/>
      <c r="B42" s="21">
        <f t="shared" si="9"/>
        <v>30</v>
      </c>
      <c r="C42" s="6" t="s">
        <v>2026</v>
      </c>
      <c r="D42" s="6" t="s">
        <v>2027</v>
      </c>
      <c r="E42" s="8"/>
      <c r="F42" s="7" t="s">
        <v>737</v>
      </c>
      <c r="G42" s="7" t="str">
        <f t="shared" si="10"/>
        <v>text</v>
      </c>
      <c r="H42" s="26"/>
      <c r="I42" s="10"/>
      <c r="J42" s="11" t="s">
        <v>1983</v>
      </c>
      <c r="M42" s="4"/>
      <c r="N42" s="76"/>
      <c r="O42" s="76"/>
      <c r="P42" s="76" t="str">
        <f t="shared" si="11"/>
        <v>,reserve8</v>
      </c>
      <c r="Q42" s="76" t="str">
        <f t="shared" si="0"/>
        <v>TEXT</v>
      </c>
      <c r="R42" s="76" t="str">
        <f t="shared" si="1"/>
        <v/>
      </c>
      <c r="S42" s="76" t="str">
        <f t="shared" si="12"/>
        <v/>
      </c>
      <c r="T42" s="76" t="str">
        <f t="shared" si="13"/>
        <v>-- 予備8</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milscm_2023_009.sny_202310_backup_mt_comment.reserve8 IS '予備8';</v>
      </c>
    </row>
    <row r="43" spans="1:52" s="25" customFormat="1" ht="18" thickBot="1">
      <c r="A43" s="4"/>
      <c r="B43" s="27">
        <f>ROW()-12</f>
        <v>31</v>
      </c>
      <c r="C43" s="57" t="s">
        <v>1980</v>
      </c>
      <c r="D43" s="57" t="s">
        <v>1885</v>
      </c>
      <c r="E43" s="56" t="s">
        <v>127</v>
      </c>
      <c r="F43" s="56" t="s">
        <v>737</v>
      </c>
      <c r="G43" s="56" t="str">
        <f t="shared" si="10"/>
        <v>text</v>
      </c>
      <c r="H43" s="59"/>
      <c r="I43" s="60" t="s">
        <v>127</v>
      </c>
      <c r="J43" s="64" t="s">
        <v>1798</v>
      </c>
      <c r="N43" s="76"/>
      <c r="O43" s="76"/>
      <c r="P43" s="76" t="str">
        <f t="shared" si="11"/>
        <v>,update_ymd</v>
      </c>
      <c r="Q43" s="76" t="str">
        <f t="shared" si="0"/>
        <v>TEXT</v>
      </c>
      <c r="R43" s="76" t="str">
        <f t="shared" si="1"/>
        <v/>
      </c>
      <c r="S43" s="76" t="str">
        <f t="shared" si="12"/>
        <v>NOT NULL</v>
      </c>
      <c r="T43" s="76" t="str">
        <f t="shared" si="13"/>
        <v>-- データ登録日</v>
      </c>
      <c r="U43" s="4"/>
      <c r="AA43" s="4"/>
      <c r="AB43" s="4"/>
      <c r="AC43" s="4"/>
      <c r="AD43" s="4"/>
      <c r="AE43" s="4"/>
      <c r="AF43" s="4"/>
      <c r="AG43" s="4"/>
      <c r="AH43" s="4"/>
      <c r="AI43" s="4"/>
      <c r="AJ43" s="76" t="str">
        <f>IF(E43="○",IF(COUNTA(E$13:E43)=1,"",",")&amp;D43,"")</f>
        <v>,update_ymd</v>
      </c>
      <c r="AK43" s="4"/>
      <c r="AL43" s="4"/>
      <c r="AM43" s="4"/>
      <c r="AN43" s="4"/>
      <c r="AO43" s="4"/>
      <c r="AP43" s="4"/>
      <c r="AQ43" s="4"/>
      <c r="AR43" s="4"/>
      <c r="AS43" s="76" t="str">
        <f>"COMMENT ON COLUMN "&amp;エンティティ一覧!$O$2&amp;"."&amp;D$8&amp;"."&amp;D43&amp;" IS '"&amp;C43&amp;"';"</f>
        <v>COMMENT ON COLUMN milscm_2023_009.sny_202310_backup_mt_comment.update_ymd IS 'データ登録日';</v>
      </c>
    </row>
    <row r="44" spans="1:52">
      <c r="L44" s="25"/>
      <c r="M44" s="25"/>
      <c r="N44" s="76" t="s">
        <v>142</v>
      </c>
      <c r="O44" s="76"/>
      <c r="P44" s="76"/>
      <c r="Q44" s="76"/>
      <c r="R44" s="76"/>
      <c r="S44" s="76"/>
      <c r="T44" s="76"/>
      <c r="V44" s="25"/>
      <c r="W44" s="25"/>
      <c r="X44" s="25"/>
      <c r="Y44" s="25"/>
      <c r="Z44" s="25"/>
      <c r="AJ44" s="76"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ENT_01_A3-08</v>
      </c>
      <c r="E6" s="234"/>
      <c r="F6" s="234"/>
      <c r="G6" s="234"/>
      <c r="H6" s="234"/>
      <c r="I6" s="234"/>
      <c r="J6" s="235"/>
    </row>
    <row r="7" spans="1:45">
      <c r="B7" s="223" t="s">
        <v>115</v>
      </c>
      <c r="C7" s="224"/>
      <c r="D7" s="225" t="s">
        <v>2031</v>
      </c>
      <c r="E7" s="226"/>
      <c r="F7" s="226"/>
      <c r="G7" s="226"/>
      <c r="H7" s="226"/>
      <c r="I7" s="226"/>
      <c r="J7" s="227"/>
    </row>
    <row r="8" spans="1:45">
      <c r="B8" s="223" t="s">
        <v>116</v>
      </c>
      <c r="C8" s="224"/>
      <c r="D8" s="225" t="str">
        <f>エンティティ一覧!AE2&amp;"_"&amp;D5&amp;"_mt_seibunryo"</f>
        <v>sny_202310_backup_mt_seibunryo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milscm_2023_009.sny_202310_backup_mt_seibunryo;</v>
      </c>
      <c r="O10" s="76"/>
      <c r="P10" s="76"/>
      <c r="Q10" s="76"/>
      <c r="R10" s="76"/>
      <c r="S10" s="76"/>
      <c r="T10" s="76"/>
      <c r="AJ10" s="76" t="str">
        <f>"ALTER TABLE ONLY "&amp;エンティティ一覧!$O$2&amp;"."&amp;D$8</f>
        <v>ALTER TABLE ONLY milscm_2023_009.sny_202310_backup_mt_seibunryo</v>
      </c>
      <c r="AS10" s="76" t="str">
        <f>"ALTER TABLE "&amp;エンティティ一覧!$O$2&amp;"."&amp;D$8&amp;" OWNER TO pgmisgrp1;"</f>
        <v>ALTER TABLE milscm_2023_009.sny_202310_backup_mt_seibunryo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milscm_2023_009.sny_202310_backup_mt_seibunryo</v>
      </c>
      <c r="O11" s="76"/>
      <c r="P11" s="76"/>
      <c r="Q11" s="76"/>
      <c r="R11" s="76"/>
      <c r="S11" s="76"/>
      <c r="T11" s="76"/>
      <c r="AJ11" s="76" t="str">
        <f>"ADD CONSTRAINT "&amp;D$8&amp;"_pkey PRIMARY KEY"</f>
        <v>ADD CONSTRAINT sny_202310_backup_mt_seibunryo_pkey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6"/>
      <c r="O13" s="76"/>
      <c r="P13" s="76" t="str">
        <f>IF(B13&lt;&gt;1,","&amp;D13,D13)</f>
        <v>yj_code</v>
      </c>
      <c r="Q13" s="76" t="str">
        <f t="shared" ref="Q13:Q23" si="0">UPPER(G13)</f>
        <v>TEXT</v>
      </c>
      <c r="R13" s="76" t="str">
        <f t="shared" ref="R13:R23"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6"/>
      <c r="O14" s="76"/>
      <c r="P14" s="76" t="str">
        <f t="shared" ref="P14:P23" si="4">IF(B14&lt;&gt;1,","&amp;D14,D14)</f>
        <v>,haigozai_f</v>
      </c>
      <c r="Q14" s="76" t="str">
        <f t="shared" si="0"/>
        <v>TEXT</v>
      </c>
      <c r="R14" s="76" t="str">
        <f t="shared" si="1"/>
        <v/>
      </c>
      <c r="S14" s="76" t="str">
        <f t="shared" ref="S14:S23" si="5">IF(I14="○","NOT NULL","")</f>
        <v>NOT NULL</v>
      </c>
      <c r="T14" s="76" t="str">
        <f t="shared" ref="T14:T23" si="6">"-- "&amp;C14</f>
        <v>-- 配合剤フラグ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6"/>
      <c r="O15" s="76"/>
      <c r="P15" s="76" t="str">
        <f t="shared" si="4"/>
        <v>,seibun_group_code</v>
      </c>
      <c r="Q15" s="76" t="str">
        <f t="shared" si="0"/>
        <v>TEXT</v>
      </c>
      <c r="R15" s="76" t="str">
        <f t="shared" si="1"/>
        <v/>
      </c>
      <c r="S15" s="76" t="str">
        <f t="shared" si="5"/>
        <v>NOT NULL</v>
      </c>
      <c r="T15" s="76" t="str">
        <f t="shared" si="6"/>
        <v>-- 成分グループコード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6"/>
      <c r="O17" s="76"/>
      <c r="P17" s="76" t="str">
        <f t="shared" si="4"/>
        <v>,seibunryo</v>
      </c>
      <c r="Q17" s="76" t="str">
        <f t="shared" si="0"/>
        <v>NUMERIC</v>
      </c>
      <c r="R17" s="76" t="str">
        <f t="shared" si="1"/>
        <v/>
      </c>
      <c r="S17" s="76" t="str">
        <f t="shared" si="5"/>
        <v/>
      </c>
      <c r="T17" s="76" t="str">
        <f t="shared" si="6"/>
        <v>-- 成分量</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6"/>
      <c r="O18" s="76"/>
      <c r="P18" s="76" t="str">
        <f t="shared" si="4"/>
        <v>,seibun_unit_code</v>
      </c>
      <c r="Q18" s="76" t="str">
        <f t="shared" si="0"/>
        <v>TEXT</v>
      </c>
      <c r="R18" s="76" t="str">
        <f t="shared" si="1"/>
        <v/>
      </c>
      <c r="S18" s="76" t="str">
        <f t="shared" si="5"/>
        <v/>
      </c>
      <c r="T18" s="76" t="str">
        <f t="shared" si="6"/>
        <v>-- 成分単位コード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6"/>
      <c r="O19" s="76"/>
      <c r="P19" s="76" t="str">
        <f t="shared" si="4"/>
        <v>,kokuji_kikakuryo</v>
      </c>
      <c r="Q19" s="76" t="str">
        <f t="shared" si="0"/>
        <v>NUMERIC</v>
      </c>
      <c r="R19" s="76" t="str">
        <f t="shared" si="1"/>
        <v/>
      </c>
      <c r="S19" s="76" t="str">
        <f t="shared" si="5"/>
        <v/>
      </c>
      <c r="T19" s="76" t="str">
        <f t="shared" si="6"/>
        <v>-- 告示規格量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6"/>
      <c r="O20" s="76"/>
      <c r="P20" s="76" t="str">
        <f t="shared" si="4"/>
        <v>,kokuji_kikaku_unit_code</v>
      </c>
      <c r="Q20" s="76" t="str">
        <f t="shared" si="0"/>
        <v>TEXT</v>
      </c>
      <c r="R20" s="76" t="str">
        <f t="shared" si="1"/>
        <v/>
      </c>
      <c r="S20" s="76" t="str">
        <f t="shared" si="5"/>
        <v/>
      </c>
      <c r="T20" s="76" t="str">
        <f t="shared" si="6"/>
        <v>-- 告示規格単位コード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6"/>
      <c r="O21" s="76"/>
      <c r="P21" s="76" t="str">
        <f t="shared" si="4"/>
        <v>,bikou</v>
      </c>
      <c r="Q21" s="76" t="str">
        <f t="shared" si="0"/>
        <v>TEXT</v>
      </c>
      <c r="R21" s="76" t="str">
        <f t="shared" si="1"/>
        <v/>
      </c>
      <c r="S21" s="76" t="str">
        <f t="shared" si="5"/>
        <v/>
      </c>
      <c r="T21" s="76" t="str">
        <f t="shared" si="6"/>
        <v>-- 備考</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4" t="s">
        <v>2055</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milscm_2023_009.sny_202310_backup_mt_seibunryo.update_ymd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ENT_01_A3-09</v>
      </c>
      <c r="E6" s="234"/>
      <c r="F6" s="234"/>
      <c r="G6" s="234"/>
      <c r="H6" s="234"/>
      <c r="I6" s="234"/>
      <c r="J6" s="235"/>
    </row>
    <row r="7" spans="1:45">
      <c r="B7" s="223" t="s">
        <v>115</v>
      </c>
      <c r="C7" s="224"/>
      <c r="D7" s="225" t="s">
        <v>2056</v>
      </c>
      <c r="E7" s="226"/>
      <c r="F7" s="226"/>
      <c r="G7" s="226"/>
      <c r="H7" s="226"/>
      <c r="I7" s="226"/>
      <c r="J7" s="227"/>
    </row>
    <row r="8" spans="1:45">
      <c r="B8" s="223" t="s">
        <v>116</v>
      </c>
      <c r="C8" s="224"/>
      <c r="D8" s="225" t="str">
        <f>エンティティ一覧!AE2&amp;"_"&amp;D5&amp;"_mt_seibun_name"</f>
        <v>sny_202310_backup_mt_seibun_name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milscm_2023_009.sny_202310_backup_mt_seibun_name;</v>
      </c>
      <c r="O10" s="76"/>
      <c r="P10" s="76"/>
      <c r="Q10" s="76"/>
      <c r="R10" s="76"/>
      <c r="S10" s="76"/>
      <c r="T10" s="76"/>
      <c r="AJ10" s="76" t="str">
        <f>"ALTER TABLE ONLY "&amp;エンティティ一覧!$O$2&amp;"."&amp;D$8</f>
        <v>ALTER TABLE ONLY milscm_2023_009.sny_202310_backup_mt_seibun_name</v>
      </c>
      <c r="AS10" s="76" t="str">
        <f>"ALTER TABLE "&amp;エンティティ一覧!$O$2&amp;"."&amp;D$8&amp;" OWNER TO pgmisgrp1;"</f>
        <v>ALTER TABLE milscm_2023_009.sny_202310_backup_mt_seibun_name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milscm_2023_009.sny_202310_backup_mt_seibun_name</v>
      </c>
      <c r="O11" s="76"/>
      <c r="P11" s="76"/>
      <c r="Q11" s="76"/>
      <c r="R11" s="76"/>
      <c r="S11" s="76"/>
      <c r="T11" s="76"/>
      <c r="AJ11" s="76" t="str">
        <f>"ADD CONSTRAINT "&amp;D$8&amp;"_pkey PRIMARY KEY"</f>
        <v>ADD CONSTRAINT sny_202310_backup_mt_seibun_name_pkey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6"/>
      <c r="O13" s="76"/>
      <c r="P13" s="76" t="str">
        <f>IF(B13&lt;&gt;1,","&amp;D13,D13)</f>
        <v>management_id</v>
      </c>
      <c r="Q13" s="76" t="str">
        <f t="shared" ref="Q13:Q22" si="0">UPPER(G13)</f>
        <v>TEXT</v>
      </c>
      <c r="R13" s="76" t="str">
        <f t="shared" ref="R13:R22" si="1">IF(H13&lt;&gt;"","default "&amp;IF(G13="text","'"&amp;H13&amp;"'",H13),"")</f>
        <v/>
      </c>
      <c r="S13" s="76" t="str">
        <f>IF(I13="○","NOT NULL","")</f>
        <v>NOT NULL</v>
      </c>
      <c r="T13" s="76" t="str">
        <f>"-- "&amp;C13</f>
        <v>-- 管理ID</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6"/>
      <c r="O14" s="76"/>
      <c r="P14" s="76" t="str">
        <f t="shared" ref="P14:P22" si="4">IF(B14&lt;&gt;1,","&amp;D14,D14)</f>
        <v>,seibun_oya_level</v>
      </c>
      <c r="Q14" s="76" t="str">
        <f t="shared" si="0"/>
        <v>TEXT</v>
      </c>
      <c r="R14" s="76" t="str">
        <f t="shared" si="1"/>
        <v/>
      </c>
      <c r="S14" s="76" t="str">
        <f t="shared" ref="S14:S22" si="5">IF(I14="○","NOT NULL","")</f>
        <v/>
      </c>
      <c r="T14" s="76" t="str">
        <f t="shared" ref="T14:T22" si="6">"-- "&amp;C14</f>
        <v>-- 成分親レベル</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6"/>
      <c r="O15" s="76"/>
      <c r="P15" s="76" t="str">
        <f t="shared" si="4"/>
        <v>,seibun_oya_code</v>
      </c>
      <c r="Q15" s="76" t="str">
        <f t="shared" si="0"/>
        <v>TEXT</v>
      </c>
      <c r="R15" s="76" t="str">
        <f t="shared" si="1"/>
        <v/>
      </c>
      <c r="S15" s="76" t="str">
        <f t="shared" si="5"/>
        <v>NOT NULL</v>
      </c>
      <c r="T15" s="76" t="str">
        <f t="shared" si="6"/>
        <v>-- 成分親コード</v>
      </c>
      <c r="U15" s="4"/>
      <c r="AA15" s="4"/>
      <c r="AB15" s="4"/>
      <c r="AC15" s="4"/>
      <c r="AD15" s="4"/>
      <c r="AE15" s="4"/>
      <c r="AF15" s="4"/>
      <c r="AG15" s="4"/>
      <c r="AH15" s="4"/>
      <c r="AI15" s="4"/>
      <c r="AJ15" s="76" t="str">
        <f>IF(E15="○",IF(COUNTA(E$13:E15)=1,"",",")&amp;D15,"")</f>
        <v>seibun_oya_code</v>
      </c>
      <c r="AK15" s="4"/>
      <c r="AL15" s="4"/>
      <c r="AM15" s="4"/>
      <c r="AN15" s="4"/>
      <c r="AO15" s="4"/>
      <c r="AP15" s="4"/>
      <c r="AQ15" s="4"/>
      <c r="AR15" s="4"/>
      <c r="AS15" s="76" t="str">
        <f>"COMMENT ON COLUMN "&amp;エンティティ一覧!$O$2&amp;"."&amp;D$8&amp;"."&amp;D15&amp;" IS '"&amp;C15&amp;"';"</f>
        <v>COMMENT ON COLUMN milscm_2023_009.sny_202310_backup_mt_seibun_name.seibun_oya_code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6"/>
      <c r="O16" s="76"/>
      <c r="P16" s="76" t="str">
        <f t="shared" si="4"/>
        <v>,seibun_code</v>
      </c>
      <c r="Q16" s="76" t="str">
        <f t="shared" si="0"/>
        <v>TEXT</v>
      </c>
      <c r="R16" s="76" t="str">
        <f t="shared" si="1"/>
        <v/>
      </c>
      <c r="S16" s="76" t="str">
        <f t="shared" si="5"/>
        <v>NOT NULL</v>
      </c>
      <c r="T16" s="76" t="str">
        <f t="shared" si="6"/>
        <v>-- 成分コード</v>
      </c>
      <c r="U16" s="4"/>
      <c r="AA16" s="4"/>
      <c r="AB16" s="4"/>
      <c r="AC16" s="4"/>
      <c r="AD16" s="4"/>
      <c r="AE16" s="4"/>
      <c r="AF16" s="4"/>
      <c r="AG16" s="4"/>
      <c r="AH16" s="4"/>
      <c r="AI16" s="4"/>
      <c r="AJ16" s="76" t="str">
        <f>IF(E16="○",IF(COUNTA(E$13:E16)=1,"",",")&amp;D16,"")</f>
        <v>,seibun_code</v>
      </c>
      <c r="AK16" s="4"/>
      <c r="AL16" s="4"/>
      <c r="AM16" s="4"/>
      <c r="AN16" s="4"/>
      <c r="AO16" s="4"/>
      <c r="AP16" s="4"/>
      <c r="AQ16" s="4"/>
      <c r="AR16" s="4"/>
      <c r="AS16" s="76" t="str">
        <f>"COMMENT ON COLUMN "&amp;エンティティ一覧!$O$2&amp;"."&amp;D$8&amp;"."&amp;D16&amp;" IS '"&amp;C16&amp;"';"</f>
        <v>COMMENT ON COLUMN milscm_2023_009.sny_202310_backup_mt_seibun_name.seibun_code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6"/>
      <c r="O17" s="76"/>
      <c r="P17" s="76" t="str">
        <f t="shared" si="4"/>
        <v>,seibun_name</v>
      </c>
      <c r="Q17" s="76" t="str">
        <f t="shared" si="0"/>
        <v>TEXT</v>
      </c>
      <c r="R17" s="76" t="str">
        <f t="shared" si="1"/>
        <v/>
      </c>
      <c r="S17" s="76" t="str">
        <f t="shared" si="5"/>
        <v>NOT NULL</v>
      </c>
      <c r="T17" s="76" t="str">
        <f t="shared" si="6"/>
        <v>-- 成分名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6"/>
      <c r="O18" s="76"/>
      <c r="P18" s="76" t="str">
        <f t="shared" si="4"/>
        <v>,tanmi_f</v>
      </c>
      <c r="Q18" s="76" t="str">
        <f t="shared" si="0"/>
        <v>TEXT</v>
      </c>
      <c r="R18" s="76" t="str">
        <f t="shared" si="1"/>
        <v/>
      </c>
      <c r="S18" s="76" t="str">
        <f t="shared" si="5"/>
        <v/>
      </c>
      <c r="T18" s="76" t="str">
        <f t="shared" si="6"/>
        <v>-- 単味フラグ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6"/>
      <c r="O19" s="76"/>
      <c r="P19" s="76" t="str">
        <f t="shared" si="4"/>
        <v>,haigo_f</v>
      </c>
      <c r="Q19" s="76" t="str">
        <f t="shared" si="0"/>
        <v>TEXT</v>
      </c>
      <c r="R19" s="76" t="str">
        <f t="shared" si="1"/>
        <v/>
      </c>
      <c r="S19" s="76" t="str">
        <f t="shared" si="5"/>
        <v/>
      </c>
      <c r="T19" s="76" t="str">
        <f t="shared" si="6"/>
        <v>-- 配合フラグ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6"/>
      <c r="O20" s="76"/>
      <c r="P20" s="76" t="str">
        <f t="shared" si="4"/>
        <v>,time_stamp</v>
      </c>
      <c r="Q20" s="76" t="str">
        <f t="shared" si="0"/>
        <v>TEXT</v>
      </c>
      <c r="R20" s="76" t="str">
        <f t="shared" si="1"/>
        <v/>
      </c>
      <c r="S20" s="76" t="str">
        <f t="shared" si="5"/>
        <v/>
      </c>
      <c r="T20" s="76" t="str">
        <f t="shared" si="6"/>
        <v>-- タイムスタンプ</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6"/>
      <c r="O21" s="76"/>
      <c r="P21" s="76" t="str">
        <f t="shared" si="4"/>
        <v>,koshin_kubun</v>
      </c>
      <c r="Q21" s="76" t="str">
        <f t="shared" si="0"/>
        <v>TEXT</v>
      </c>
      <c r="R21" s="76" t="str">
        <f t="shared" si="1"/>
        <v/>
      </c>
      <c r="S21" s="76" t="str">
        <f t="shared" si="5"/>
        <v>NOT NULL</v>
      </c>
      <c r="T21" s="76" t="str">
        <f t="shared" si="6"/>
        <v>-- 更新区分</v>
      </c>
      <c r="U21" s="4"/>
      <c r="AA21" s="4"/>
      <c r="AB21" s="4"/>
      <c r="AC21" s="4"/>
      <c r="AD21" s="4"/>
      <c r="AE21" s="4"/>
      <c r="AF21" s="4"/>
      <c r="AG21" s="4"/>
      <c r="AH21" s="4"/>
      <c r="AI21" s="4"/>
      <c r="AJ21" s="76" t="str">
        <f>IF(E21="○",IF(COUNTA(E$13:E21)=1,"",",")&amp;D21,"")</f>
        <v>,koshin_kubun</v>
      </c>
      <c r="AK21" s="4"/>
      <c r="AL21" s="4"/>
      <c r="AM21" s="4"/>
      <c r="AN21" s="4"/>
      <c r="AO21" s="4"/>
      <c r="AP21" s="4"/>
      <c r="AQ21" s="4"/>
      <c r="AR21" s="4"/>
      <c r="AS21" s="76" t="str">
        <f>"COMMENT ON COLUMN "&amp;エンティティ一覧!$O$2&amp;"."&amp;D$8&amp;"."&amp;D21&amp;" IS '"&amp;C21&amp;"';"</f>
        <v>COMMENT ON COLUMN milscm_2023_009.sny_202310_backup_mt_seibun_name.koshin_kubun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4" t="s">
        <v>2076</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milscm_2023_009.sny_202310_backup_mt_seibun_name.update_ymd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ENT_01_A3-10</v>
      </c>
      <c r="E6" s="234"/>
      <c r="F6" s="234"/>
      <c r="G6" s="234"/>
      <c r="H6" s="234"/>
      <c r="I6" s="234"/>
      <c r="J6" s="235"/>
    </row>
    <row r="7" spans="1:45">
      <c r="B7" s="223" t="s">
        <v>115</v>
      </c>
      <c r="C7" s="224"/>
      <c r="D7" s="225" t="s">
        <v>2077</v>
      </c>
      <c r="E7" s="226"/>
      <c r="F7" s="226"/>
      <c r="G7" s="226"/>
      <c r="H7" s="226"/>
      <c r="I7" s="226"/>
      <c r="J7" s="227"/>
    </row>
    <row r="8" spans="1:45">
      <c r="B8" s="223" t="s">
        <v>116</v>
      </c>
      <c r="C8" s="224"/>
      <c r="D8" s="225" t="str">
        <f>エンティティ一覧!AE2&amp;"_"&amp;D5&amp;"_mt_unit"</f>
        <v>sny_202310_backup_mt_unit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単位マスタ取込用テーブルから組入れ条件の第一条件で絞り込んだ結果を格納するテーブル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milscm_2023_009.sny_202310_backup_mt_unit;</v>
      </c>
      <c r="O10" s="76"/>
      <c r="P10" s="76"/>
      <c r="Q10" s="76"/>
      <c r="R10" s="76"/>
      <c r="S10" s="76"/>
      <c r="T10" s="76"/>
      <c r="AJ10" s="76" t="str">
        <f>"ALTER TABLE ONLY "&amp;エンティティ一覧!$O$2&amp;"."&amp;D$8</f>
        <v>ALTER TABLE ONLY milscm_2023_009.sny_202310_backup_mt_unit</v>
      </c>
      <c r="AS10" s="76" t="str">
        <f>"ALTER TABLE "&amp;エンティティ一覧!$O$2&amp;"."&amp;D$8&amp;" OWNER TO pgmisgrp1;"</f>
        <v>ALTER TABLE milscm_2023_009.sny_202310_backup_mt_unit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milscm_2023_009.sny_202310_backup_mt_unit</v>
      </c>
      <c r="O11" s="76"/>
      <c r="P11" s="76"/>
      <c r="Q11" s="76"/>
      <c r="R11" s="76"/>
      <c r="S11" s="76"/>
      <c r="T11" s="76"/>
      <c r="AJ11" s="76" t="str">
        <f>"ADD CONSTRAINT "&amp;D$8&amp;"_pkey PRIMARY KEY"</f>
        <v>ADD CONSTRAINT sny_202310_backup_mt_unit_pkey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6"/>
      <c r="O13" s="76"/>
      <c r="P13" s="76" t="str">
        <f>IF(B13&lt;&gt;1,","&amp;D13,D13)</f>
        <v>unit_code</v>
      </c>
      <c r="Q13" s="76" t="str">
        <f t="shared" ref="Q13:Q17" si="0">UPPER(G13)</f>
        <v>TEXT</v>
      </c>
      <c r="R13" s="76" t="str">
        <f t="shared" ref="R13:R17" si="1">IF(H13&lt;&gt;"","default "&amp;IF(G13="text","'"&amp;H13&amp;"'",H13),"")</f>
        <v/>
      </c>
      <c r="S13" s="76" t="str">
        <f>IF(I13="○","NOT NULL","")</f>
        <v>NOT NULL</v>
      </c>
      <c r="T13" s="76" t="str">
        <f>"-- "&amp;C13</f>
        <v>-- 単位コード</v>
      </c>
      <c r="U13" s="4"/>
      <c r="AA13" s="4"/>
      <c r="AB13" s="4"/>
      <c r="AC13" s="4"/>
      <c r="AD13" s="4"/>
      <c r="AE13" s="4"/>
      <c r="AF13" s="4"/>
      <c r="AG13" s="4"/>
      <c r="AH13" s="4"/>
      <c r="AI13" s="4"/>
      <c r="AJ13" s="76" t="str">
        <f>IF(E13="○",IF(COUNTA(E$13:E13)=1,"",",")&amp;D13,"")</f>
        <v>unit_code</v>
      </c>
      <c r="AK13" s="4"/>
      <c r="AL13" s="4"/>
      <c r="AM13" s="4"/>
      <c r="AN13" s="4"/>
      <c r="AO13" s="4"/>
      <c r="AP13" s="4"/>
      <c r="AQ13" s="4"/>
      <c r="AR13" s="4"/>
      <c r="AS13" s="76" t="str">
        <f>"COMMENT ON COLUMN "&amp;エンティティ一覧!$O$2&amp;"."&amp;D$8&amp;"."&amp;D13&amp;" IS '"&amp;C13&amp;"';"</f>
        <v>COMMENT ON COLUMN milscm_2023_009.sny_202310_backup_mt_unit.unit_code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6"/>
      <c r="O14" s="76"/>
      <c r="P14" s="76" t="str">
        <f t="shared" ref="P14:P17" si="4">IF(B14&lt;&gt;1,","&amp;D14,D14)</f>
        <v>,unit_name</v>
      </c>
      <c r="Q14" s="76" t="str">
        <f t="shared" si="0"/>
        <v>TEXT</v>
      </c>
      <c r="R14" s="76" t="str">
        <f t="shared" si="1"/>
        <v/>
      </c>
      <c r="S14" s="76" t="str">
        <f t="shared" ref="S14:S17" si="5">IF(I14="○","NOT NULL","")</f>
        <v/>
      </c>
      <c r="T14" s="76" t="str">
        <f t="shared" ref="T14:T17" si="6">"-- "&amp;C14</f>
        <v>-- 単位名称</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6"/>
      <c r="O15" s="76"/>
      <c r="P15" s="76" t="str">
        <f t="shared" si="4"/>
        <v>,unit_kansan_keisu</v>
      </c>
      <c r="Q15" s="76" t="str">
        <f t="shared" si="0"/>
        <v>TEXT</v>
      </c>
      <c r="R15" s="76" t="str">
        <f t="shared" si="1"/>
        <v/>
      </c>
      <c r="S15" s="76" t="str">
        <f t="shared" si="5"/>
        <v/>
      </c>
      <c r="T15" s="76" t="str">
        <f t="shared" si="6"/>
        <v>-- 単位換算係数</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6"/>
      <c r="O16" s="76"/>
      <c r="P16" s="76" t="str">
        <f t="shared" si="4"/>
        <v>,koshin_kubun</v>
      </c>
      <c r="Q16" s="76" t="str">
        <f t="shared" si="0"/>
        <v>TEXT</v>
      </c>
      <c r="R16" s="76" t="str">
        <f t="shared" si="1"/>
        <v/>
      </c>
      <c r="S16" s="76" t="str">
        <f t="shared" si="5"/>
        <v>NOT NULL</v>
      </c>
      <c r="T16" s="76" t="str">
        <f t="shared" si="6"/>
        <v>-- 更新区分</v>
      </c>
      <c r="U16" s="4"/>
      <c r="AA16" s="4"/>
      <c r="AB16" s="4"/>
      <c r="AC16" s="4"/>
      <c r="AD16" s="4"/>
      <c r="AE16" s="4"/>
      <c r="AF16" s="4"/>
      <c r="AG16" s="4"/>
      <c r="AH16" s="4"/>
      <c r="AI16" s="4"/>
      <c r="AJ16" s="76" t="str">
        <f>IF(E16="○",IF(COUNTA(E$13:E16)=1,"",",")&amp;D16,"")</f>
        <v>,koshin_kubun</v>
      </c>
      <c r="AK16" s="4"/>
      <c r="AL16" s="4"/>
      <c r="AM16" s="4"/>
      <c r="AN16" s="4"/>
      <c r="AO16" s="4"/>
      <c r="AP16" s="4"/>
      <c r="AQ16" s="4"/>
      <c r="AR16" s="4"/>
      <c r="AS16" s="76" t="str">
        <f>"COMMENT ON COLUMN "&amp;エンティティ一覧!$O$2&amp;"."&amp;D$8&amp;"."&amp;D16&amp;" IS '"&amp;C16&amp;"';"</f>
        <v>COMMENT ON COLUMN milscm_2023_009.sny_202310_backup_mt_unit.koshin_kubun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4" t="s">
        <v>2076</v>
      </c>
      <c r="N17" s="76"/>
      <c r="O17" s="76"/>
      <c r="P17" s="76" t="str">
        <f t="shared" si="4"/>
        <v>,update_ymd</v>
      </c>
      <c r="Q17" s="76" t="str">
        <f t="shared" si="0"/>
        <v>TEXT</v>
      </c>
      <c r="R17" s="76" t="str">
        <f t="shared" si="1"/>
        <v/>
      </c>
      <c r="S17" s="76" t="str">
        <f t="shared" si="5"/>
        <v>NOT NULL</v>
      </c>
      <c r="T17" s="76" t="str">
        <f t="shared" si="6"/>
        <v>-- データ登録日</v>
      </c>
      <c r="U17" s="4"/>
      <c r="AA17" s="4"/>
      <c r="AB17" s="4"/>
      <c r="AC17" s="4"/>
      <c r="AD17" s="4"/>
      <c r="AE17" s="4"/>
      <c r="AF17" s="4"/>
      <c r="AG17" s="4"/>
      <c r="AH17" s="4"/>
      <c r="AI17" s="4"/>
      <c r="AJ17" s="76" t="str">
        <f>IF(E17="○",IF(COUNTA(E$13:E17)=1,"",",")&amp;D17,"")</f>
        <v>,update_ymd</v>
      </c>
      <c r="AK17" s="4"/>
      <c r="AL17" s="4"/>
      <c r="AM17" s="4"/>
      <c r="AN17" s="4"/>
      <c r="AO17" s="4"/>
      <c r="AP17" s="4"/>
      <c r="AQ17" s="4"/>
      <c r="AR17" s="4"/>
      <c r="AS17" s="76" t="str">
        <f>"COMMENT ON COLUMN "&amp;エンティティ一覧!$O$2&amp;"."&amp;D$8&amp;"."&amp;D17&amp;" IS '"&amp;C17&amp;"';"</f>
        <v>COMMENT ON COLUMN milscm_2023_009.sny_202310_backup_mt_unit.update_ymd IS 'データ登録日';</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ENT_01_A3-11</v>
      </c>
      <c r="E6" s="234"/>
      <c r="F6" s="234"/>
      <c r="G6" s="234"/>
      <c r="H6" s="234"/>
      <c r="I6" s="234"/>
      <c r="J6" s="235"/>
    </row>
    <row r="7" spans="1:45">
      <c r="B7" s="223" t="s">
        <v>115</v>
      </c>
      <c r="C7" s="224"/>
      <c r="D7" s="225" t="s">
        <v>2084</v>
      </c>
      <c r="E7" s="226"/>
      <c r="F7" s="226"/>
      <c r="G7" s="226"/>
      <c r="H7" s="226"/>
      <c r="I7" s="226"/>
      <c r="J7" s="227"/>
    </row>
    <row r="8" spans="1:45">
      <c r="B8" s="223" t="s">
        <v>116</v>
      </c>
      <c r="C8" s="224"/>
      <c r="D8" s="225" t="str">
        <f>エンティティ一覧!AE2&amp;"_"&amp;D5&amp;"_mt_tekiyou_recept_combi_link"</f>
        <v>sny_202310_backup_mt_tekiyou_recept_combi_link</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milscm_2023_009.sny_202310_backup_mt_tekiyou_recept_combi_link;</v>
      </c>
      <c r="O10" s="76"/>
      <c r="P10" s="76"/>
      <c r="Q10" s="76"/>
      <c r="R10" s="76"/>
      <c r="S10" s="76"/>
      <c r="T10" s="76"/>
      <c r="AJ10" s="76" t="str">
        <f>"ALTER TABLE ONLY "&amp;エンティティ一覧!$O$2&amp;"."&amp;D$8</f>
        <v>ALTER TABLE ONLY milscm_2023_009.sny_202310_backup_mt_tekiyou_recept_combi_link</v>
      </c>
      <c r="AS10" s="76" t="str">
        <f>"ALTER TABLE "&amp;エンティティ一覧!$O$2&amp;"."&amp;D$8&amp;" OWNER TO pgmisgrp1;"</f>
        <v>ALTER TABLE milscm_2023_009.sny_202310_backup_mt_tekiyou_recept_combi_link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milscm_2023_009.sny_202310_backup_mt_tekiyou_recept_combi_link</v>
      </c>
      <c r="O11" s="76"/>
      <c r="P11" s="76"/>
      <c r="Q11" s="76"/>
      <c r="R11" s="76"/>
      <c r="S11" s="76"/>
      <c r="T11" s="76"/>
      <c r="AJ11" s="76" t="str">
        <f>"ADD CONSTRAINT "&amp;D$8&amp;"_pkey PRIMARY KEY"</f>
        <v>ADD CONSTRAINT sny_202310_backup_mt_tekiyou_recept_combi_link_pkey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23" si="0">UPPER(G13)</f>
        <v>TEXT</v>
      </c>
      <c r="R13" s="76" t="str">
        <f t="shared" ref="R13:R23"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6"/>
      <c r="O14" s="76"/>
      <c r="P14" s="76" t="str">
        <f t="shared" ref="P14:P23" si="4">IF(B14&lt;&gt;1,","&amp;D14,D14)</f>
        <v>,tekiyou_byoumei_code</v>
      </c>
      <c r="Q14" s="76" t="str">
        <f t="shared" si="0"/>
        <v>TEXT</v>
      </c>
      <c r="R14" s="76" t="str">
        <f t="shared" si="1"/>
        <v/>
      </c>
      <c r="S14" s="76" t="str">
        <f t="shared" ref="S14:S23" si="5">IF(I14="○","NOT NULL","")</f>
        <v>NOT NULL</v>
      </c>
      <c r="T14" s="76" t="str">
        <f t="shared" ref="T14:T23" si="6">"-- "&amp;C14</f>
        <v>-- 適用病名コード</v>
      </c>
      <c r="U14" s="4"/>
      <c r="AA14" s="4"/>
      <c r="AB14" s="4"/>
      <c r="AC14" s="4"/>
      <c r="AD14" s="4"/>
      <c r="AE14" s="4"/>
      <c r="AF14" s="4"/>
      <c r="AG14" s="4"/>
      <c r="AH14" s="4"/>
      <c r="AI14" s="4"/>
      <c r="AJ14" s="76" t="str">
        <f>IF(E14="○",IF(COUNTA(E$13:E14)=1,"",",")&amp;D14,"")</f>
        <v>,tekiyou_byoumei_code</v>
      </c>
      <c r="AK14" s="4"/>
      <c r="AL14" s="4"/>
      <c r="AM14" s="4"/>
      <c r="AN14" s="4"/>
      <c r="AO14" s="4"/>
      <c r="AP14" s="4"/>
      <c r="AQ14" s="4"/>
      <c r="AR14" s="4"/>
      <c r="AS14" s="76" t="str">
        <f>"COMMENT ON COLUMN "&amp;エンティティ一覧!$O$2&amp;"."&amp;D$8&amp;"."&amp;D14&amp;" IS '"&amp;C14&amp;"';"</f>
        <v>COMMENT ON COLUMN milscm_2023_009.sny_202310_backup_mt_tekiyou_recept_combi_link.tekiyou_byoumei_code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6"/>
      <c r="O15" s="76"/>
      <c r="P15" s="76" t="str">
        <f t="shared" si="4"/>
        <v>,shikkan_code</v>
      </c>
      <c r="Q15" s="76" t="str">
        <f t="shared" si="0"/>
        <v>TEXT</v>
      </c>
      <c r="R15" s="76" t="str">
        <f t="shared" si="1"/>
        <v/>
      </c>
      <c r="S15" s="76" t="str">
        <f t="shared" si="5"/>
        <v>NOT NULL</v>
      </c>
      <c r="T15" s="76" t="str">
        <f t="shared" si="6"/>
        <v>-- 疾患コード</v>
      </c>
      <c r="U15" s="4"/>
      <c r="AA15" s="4"/>
      <c r="AB15" s="4"/>
      <c r="AC15" s="4"/>
      <c r="AD15" s="4"/>
      <c r="AE15" s="4"/>
      <c r="AF15" s="4"/>
      <c r="AG15" s="4"/>
      <c r="AH15" s="4"/>
      <c r="AI15" s="4"/>
      <c r="AJ15" s="76" t="str">
        <f>IF(E15="○",IF(COUNTA(E$13:E15)=1,"",",")&amp;D15,"")</f>
        <v>,shikkan_code</v>
      </c>
      <c r="AK15" s="4"/>
      <c r="AL15" s="4"/>
      <c r="AM15" s="4"/>
      <c r="AN15" s="4"/>
      <c r="AO15" s="4"/>
      <c r="AP15" s="4"/>
      <c r="AQ15" s="4"/>
      <c r="AR15" s="4"/>
      <c r="AS15" s="76" t="str">
        <f>"COMMENT ON COLUMN "&amp;エンティティ一覧!$O$2&amp;"."&amp;D$8&amp;"."&amp;D15&amp;" IS '"&amp;C15&amp;"';"</f>
        <v>COMMENT ON COLUMN milscm_2023_009.sny_202310_backup_mt_tekiyou_recept_combi_link.shikkan_code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6"/>
      <c r="O16" s="76"/>
      <c r="P16" s="76" t="str">
        <f t="shared" ref="P16:P21" si="8">IF(B16&lt;&gt;1,","&amp;D16,D16)</f>
        <v>,shikkan_name</v>
      </c>
      <c r="Q16" s="76" t="str">
        <f t="shared" ref="Q16:Q21" si="9">UPPER(G16)</f>
        <v>TEXT</v>
      </c>
      <c r="R16" s="76" t="str">
        <f t="shared" ref="R16:R21" si="10">IF(H16&lt;&gt;"","default "&amp;IF(G16="text","'"&amp;H16&amp;"'",H16),"")</f>
        <v/>
      </c>
      <c r="S16" s="76" t="str">
        <f t="shared" ref="S16:S21" si="11">IF(I16="○","NOT NULL","")</f>
        <v/>
      </c>
      <c r="T16" s="76" t="str">
        <f t="shared" ref="T16:T21" si="12">"-- "&amp;C16</f>
        <v>-- 疾患名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6"/>
      <c r="O17" s="76"/>
      <c r="P17" s="76" t="str">
        <f t="shared" si="8"/>
        <v>,haishi_ymd</v>
      </c>
      <c r="Q17" s="76" t="str">
        <f t="shared" si="9"/>
        <v>TEXT</v>
      </c>
      <c r="R17" s="76" t="str">
        <f t="shared" si="10"/>
        <v/>
      </c>
      <c r="S17" s="76" t="str">
        <f t="shared" si="11"/>
        <v/>
      </c>
      <c r="T17" s="76" t="str">
        <f t="shared" si="12"/>
        <v>-- 廃止年月日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6"/>
      <c r="O18" s="76"/>
      <c r="P18" s="76" t="str">
        <f t="shared" si="8"/>
        <v>,hoken_tekiyougai_f</v>
      </c>
      <c r="Q18" s="76" t="str">
        <f t="shared" si="9"/>
        <v>TEXT</v>
      </c>
      <c r="R18" s="76" t="str">
        <f t="shared" si="10"/>
        <v/>
      </c>
      <c r="S18" s="76" t="str">
        <f t="shared" si="11"/>
        <v/>
      </c>
      <c r="T18" s="76" t="str">
        <f t="shared" si="12"/>
        <v xml:space="preserve">-- 保険適用外フラグ </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milscm_2023_009.sny_202310_backup_mt_tekiyou_recept_combi_link.hoken_tekiyougai_f IS '保険適用外フラグ ';</v>
      </c>
    </row>
    <row r="19" spans="1:52" s="25" customFormat="1">
      <c r="A19" s="4"/>
      <c r="B19" s="21">
        <f t="shared" si="2"/>
        <v>7</v>
      </c>
      <c r="C19" s="6" t="s">
        <v>2095</v>
      </c>
      <c r="D19" s="6" t="s">
        <v>871</v>
      </c>
      <c r="E19" s="8"/>
      <c r="F19" s="7" t="s">
        <v>1741</v>
      </c>
      <c r="G19" s="7" t="str">
        <f t="shared" si="7"/>
        <v>text</v>
      </c>
      <c r="H19" s="26"/>
      <c r="I19" s="10"/>
      <c r="J19" s="11"/>
      <c r="M19" s="4"/>
      <c r="N19" s="76"/>
      <c r="O19" s="76"/>
      <c r="P19" s="76" t="str">
        <f t="shared" si="8"/>
        <v>,icd10_code</v>
      </c>
      <c r="Q19" s="76" t="str">
        <f t="shared" si="9"/>
        <v>TEXT</v>
      </c>
      <c r="R19" s="76" t="str">
        <f t="shared" si="10"/>
        <v/>
      </c>
      <c r="S19" s="76" t="str">
        <f t="shared" si="11"/>
        <v/>
      </c>
      <c r="T19" s="76" t="str">
        <f t="shared" si="12"/>
        <v>-- ICD10</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6"/>
      <c r="O20" s="76"/>
      <c r="P20" s="76" t="str">
        <f t="shared" si="8"/>
        <v>,kumiawase_code</v>
      </c>
      <c r="Q20" s="76" t="str">
        <f t="shared" si="9"/>
        <v>TEXT</v>
      </c>
      <c r="R20" s="76" t="str">
        <f t="shared" si="10"/>
        <v/>
      </c>
      <c r="S20" s="76" t="str">
        <f t="shared" si="11"/>
        <v/>
      </c>
      <c r="T20" s="76" t="str">
        <f t="shared" si="12"/>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6"/>
      <c r="O21" s="76"/>
      <c r="P21" s="76" t="str">
        <f t="shared" si="8"/>
        <v>,kankeisei_code</v>
      </c>
      <c r="Q21" s="76" t="str">
        <f t="shared" si="9"/>
        <v>TEXT</v>
      </c>
      <c r="R21" s="76" t="str">
        <f t="shared" si="10"/>
        <v/>
      </c>
      <c r="S21" s="76" t="str">
        <f t="shared" si="11"/>
        <v/>
      </c>
      <c r="T21" s="76" t="str">
        <f t="shared" si="12"/>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6"/>
      <c r="O22" s="76"/>
      <c r="P22" s="76" t="str">
        <f t="shared" si="4"/>
        <v>,koshin_kubun</v>
      </c>
      <c r="Q22" s="76" t="str">
        <f t="shared" si="0"/>
        <v>TEXT</v>
      </c>
      <c r="R22" s="76" t="str">
        <f t="shared" si="1"/>
        <v/>
      </c>
      <c r="S22" s="76" t="str">
        <f t="shared" si="5"/>
        <v>NOT NULL</v>
      </c>
      <c r="T22" s="76" t="str">
        <f t="shared" si="6"/>
        <v>-- 更新区分</v>
      </c>
      <c r="U22" s="4"/>
      <c r="AA22" s="4"/>
      <c r="AB22" s="4"/>
      <c r="AC22" s="4"/>
      <c r="AD22" s="4"/>
      <c r="AE22" s="4"/>
      <c r="AF22" s="4"/>
      <c r="AG22" s="4"/>
      <c r="AH22" s="4"/>
      <c r="AI22" s="4"/>
      <c r="AJ22" s="76" t="str">
        <f>IF(E22="○",IF(COUNTA(E$13:E22)=1,"",",")&amp;D22,"")</f>
        <v>,koshin_kubun</v>
      </c>
      <c r="AK22" s="4"/>
      <c r="AL22" s="4"/>
      <c r="AM22" s="4"/>
      <c r="AN22" s="4"/>
      <c r="AO22" s="4"/>
      <c r="AP22" s="4"/>
      <c r="AQ22" s="4"/>
      <c r="AR22" s="4"/>
      <c r="AS22" s="76" t="str">
        <f>"COMMENT ON COLUMN "&amp;エンティティ一覧!$O$2&amp;"."&amp;D$8&amp;"."&amp;D22&amp;" IS '"&amp;C22&amp;"';"</f>
        <v>COMMENT ON COLUMN milscm_2023_009.sny_202310_backup_mt_tekiyou_recept_combi_link.koshin_kubun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4" t="s">
        <v>2076</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,update_ymd</v>
      </c>
      <c r="AK23" s="4"/>
      <c r="AL23" s="4"/>
      <c r="AM23" s="4"/>
      <c r="AN23" s="4"/>
      <c r="AO23" s="4"/>
      <c r="AP23" s="4"/>
      <c r="AQ23" s="4"/>
      <c r="AR23" s="4"/>
      <c r="AS23" s="76" t="str">
        <f>"COMMENT ON COLUMN "&amp;エンティティ一覧!$O$2&amp;"."&amp;D$8&amp;"."&amp;D23&amp;" IS '"&amp;C23&amp;"';"</f>
        <v>COMMENT ON COLUMN milscm_2023_009.sny_202310_backup_mt_tekiyou_recept_combi_link.update_ymd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ENT_01_A3-12</v>
      </c>
      <c r="E6" s="234"/>
      <c r="F6" s="234"/>
      <c r="G6" s="234"/>
      <c r="H6" s="234"/>
      <c r="I6" s="234"/>
      <c r="J6" s="235"/>
    </row>
    <row r="7" spans="1:45">
      <c r="B7" s="223" t="s">
        <v>115</v>
      </c>
      <c r="C7" s="224"/>
      <c r="D7" s="225" t="s">
        <v>2103</v>
      </c>
      <c r="E7" s="226"/>
      <c r="F7" s="226"/>
      <c r="G7" s="226"/>
      <c r="H7" s="226"/>
      <c r="I7" s="226"/>
      <c r="J7" s="227"/>
    </row>
    <row r="8" spans="1:45">
      <c r="B8" s="223" t="s">
        <v>116</v>
      </c>
      <c r="C8" s="224"/>
      <c r="D8" s="225" t="str">
        <f>エンティティ一覧!AE2&amp;"_"&amp;D5&amp;"_mt_tekiyou_recept_combi_link_oyako"</f>
        <v>sny_202310_backup_mt_tekiyou_recept_combi_link_oyako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milscm_2023_009.sny_202310_backup_mt_tekiyou_recept_combi_link_oyako;</v>
      </c>
      <c r="O10" s="76"/>
      <c r="P10" s="76"/>
      <c r="Q10" s="76"/>
      <c r="R10" s="76"/>
      <c r="S10" s="76"/>
      <c r="T10" s="76"/>
      <c r="AJ10" s="76" t="str">
        <f>"ALTER TABLE ONLY "&amp;エンティティ一覧!$O$2&amp;"."&amp;D$8</f>
        <v>ALTER TABLE ONLY milscm_2023_009.sny_202310_backup_mt_tekiyou_recept_combi_link_oyako</v>
      </c>
      <c r="AS10" s="76" t="str">
        <f>"ALTER TABLE "&amp;エンティティ一覧!$O$2&amp;"."&amp;D$8&amp;" OWNER TO pgmisgrp1;"</f>
        <v>ALTER TABLE milscm_2023_009.sny_202310_backup_mt_tekiyou_recept_combi_link_oyako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milscm_2023_009.sny_202310_backup_mt_tekiyou_recept_combi_link_oyako</v>
      </c>
      <c r="O11" s="76"/>
      <c r="P11" s="76"/>
      <c r="Q11" s="76"/>
      <c r="R11" s="76"/>
      <c r="S11" s="76"/>
      <c r="T11" s="76"/>
      <c r="AJ11" s="76" t="str">
        <f>"ADD CONSTRAINT "&amp;D$8&amp;"_pkey PRIMARY KEY"</f>
        <v>ADD CONSTRAINT sny_202310_backup_mt_tekiyou_recept_combi_link_oyako_pkey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6"/>
      <c r="O13" s="76"/>
      <c r="P13" s="76" t="str">
        <f>IF(B13&lt;&gt;1,","&amp;D13,D13)</f>
        <v>tekiyou_byoumei_link_code</v>
      </c>
      <c r="Q13" s="76" t="str">
        <f t="shared" ref="Q13:Q16" si="0">UPPER(G13)</f>
        <v>TEXT</v>
      </c>
      <c r="R13" s="76" t="str">
        <f t="shared" ref="R13:R16" si="1">IF(H13&lt;&gt;"","default "&amp;IF(G13="text","'"&amp;H13&amp;"'",H13),"")</f>
        <v/>
      </c>
      <c r="S13" s="76" t="str">
        <f>IF(I13="○","NOT NULL","")</f>
        <v>NOT NULL</v>
      </c>
      <c r="T13" s="76" t="str">
        <f>"-- "&amp;C13</f>
        <v>-- 適用病名組み合わせコード</v>
      </c>
      <c r="U13" s="4"/>
      <c r="AA13" s="4"/>
      <c r="AB13" s="4"/>
      <c r="AC13" s="4"/>
      <c r="AD13" s="4"/>
      <c r="AE13" s="4"/>
      <c r="AF13" s="4"/>
      <c r="AG13" s="4"/>
      <c r="AH13" s="4"/>
      <c r="AI13" s="4"/>
      <c r="AJ13" s="76" t="str">
        <f>IF(E13="○",IF(COUNTA(E$13:E13)=1,"",",")&amp;D13,"")</f>
        <v>tekiyou_byoumei_link_code</v>
      </c>
      <c r="AK13" s="4"/>
      <c r="AL13" s="4"/>
      <c r="AM13" s="4"/>
      <c r="AN13" s="4"/>
      <c r="AO13" s="4"/>
      <c r="AP13" s="4"/>
      <c r="AQ13" s="4"/>
      <c r="AR13" s="4"/>
      <c r="AS13" s="76" t="str">
        <f>"COMMENT ON COLUMN "&amp;エンティティ一覧!$O$2&amp;"."&amp;D$8&amp;"."&amp;D13&amp;" IS '"&amp;C13&amp;"';"</f>
        <v>COMMENT ON COLUMN milscm_2023_009.sny_202310_backup_mt_tekiyou_recept_combi_link_oyako.tekiyou_byoumei_link_code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6"/>
      <c r="O14" s="76"/>
      <c r="P14" s="76" t="str">
        <f t="shared" ref="P14:P16" si="4">IF(B14&lt;&gt;1,","&amp;D14,D14)</f>
        <v>,yj_code</v>
      </c>
      <c r="Q14" s="76" t="str">
        <f t="shared" si="0"/>
        <v>TEXT</v>
      </c>
      <c r="R14" s="76" t="str">
        <f t="shared" si="1"/>
        <v/>
      </c>
      <c r="S14" s="76" t="str">
        <f t="shared" ref="S14:S16" si="5">IF(I14="○","NOT NULL","")</f>
        <v>NOT NULL</v>
      </c>
      <c r="T14" s="76" t="str">
        <f t="shared" ref="T14:T16" si="6">"-- "&amp;C14</f>
        <v>-- ＹＪコード</v>
      </c>
      <c r="U14" s="4"/>
      <c r="AA14" s="4"/>
      <c r="AB14" s="4"/>
      <c r="AC14" s="4"/>
      <c r="AD14" s="4"/>
      <c r="AE14" s="4"/>
      <c r="AF14" s="4"/>
      <c r="AG14" s="4"/>
      <c r="AH14" s="4"/>
      <c r="AI14" s="4"/>
      <c r="AJ14" s="76" t="str">
        <f>IF(E14="○",IF(COUNTA(E$13:E14)=1,"",",")&amp;D14,"")</f>
        <v>,yj_code</v>
      </c>
      <c r="AK14" s="4"/>
      <c r="AL14" s="4"/>
      <c r="AM14" s="4"/>
      <c r="AN14" s="4"/>
      <c r="AO14" s="4"/>
      <c r="AP14" s="4"/>
      <c r="AQ14" s="4"/>
      <c r="AR14" s="4"/>
      <c r="AS14" s="76" t="str">
        <f>"COMMENT ON COLUMN "&amp;エンティティ一覧!$O$2&amp;"."&amp;D$8&amp;"."&amp;D14&amp;" IS '"&amp;C14&amp;"';"</f>
        <v>COMMENT ON COLUMN milscm_2023_009.sny_202310_backup_mt_tekiyou_recept_combi_link_oyako.yj_code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6"/>
      <c r="O15" s="76"/>
      <c r="P15" s="76" t="str">
        <f t="shared" si="4"/>
        <v>,koshin_kubun</v>
      </c>
      <c r="Q15" s="76" t="str">
        <f t="shared" si="0"/>
        <v>TEXT</v>
      </c>
      <c r="R15" s="76" t="str">
        <f t="shared" si="1"/>
        <v/>
      </c>
      <c r="S15" s="76" t="str">
        <f t="shared" si="5"/>
        <v>NOT NULL</v>
      </c>
      <c r="T15" s="76" t="str">
        <f t="shared" si="6"/>
        <v>-- 更新区分</v>
      </c>
      <c r="U15" s="4"/>
      <c r="AA15" s="4"/>
      <c r="AB15" s="4"/>
      <c r="AC15" s="4"/>
      <c r="AD15" s="4"/>
      <c r="AE15" s="4"/>
      <c r="AF15" s="4"/>
      <c r="AG15" s="4"/>
      <c r="AH15" s="4"/>
      <c r="AI15" s="4"/>
      <c r="AJ15" s="76" t="str">
        <f>IF(E15="○",IF(COUNTA(E$13:E15)=1,"",",")&amp;D15,"")</f>
        <v>,koshin_kubun</v>
      </c>
      <c r="AK15" s="4"/>
      <c r="AL15" s="4"/>
      <c r="AM15" s="4"/>
      <c r="AN15" s="4"/>
      <c r="AO15" s="4"/>
      <c r="AP15" s="4"/>
      <c r="AQ15" s="4"/>
      <c r="AR15" s="4"/>
      <c r="AS15" s="76" t="str">
        <f>"COMMENT ON COLUMN "&amp;エンティティ一覧!$O$2&amp;"."&amp;D$8&amp;"."&amp;D15&amp;" IS '"&amp;C15&amp;"';"</f>
        <v>COMMENT ON COLUMN milscm_2023_009.sny_202310_backup_mt_tekiyou_recept_combi_link_oyako.koshin_kubun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4" t="s">
        <v>2076</v>
      </c>
      <c r="N16" s="76"/>
      <c r="O16" s="76"/>
      <c r="P16" s="76" t="str">
        <f t="shared" si="4"/>
        <v>,update_ymd</v>
      </c>
      <c r="Q16" s="76" t="str">
        <f t="shared" si="0"/>
        <v>TEXT</v>
      </c>
      <c r="R16" s="76" t="str">
        <f t="shared" si="1"/>
        <v/>
      </c>
      <c r="S16" s="76" t="str">
        <f t="shared" si="5"/>
        <v>NOT NULL</v>
      </c>
      <c r="T16" s="76" t="str">
        <f t="shared" si="6"/>
        <v>-- データ登録日</v>
      </c>
      <c r="U16" s="4"/>
      <c r="AA16" s="4"/>
      <c r="AB16" s="4"/>
      <c r="AC16" s="4"/>
      <c r="AD16" s="4"/>
      <c r="AE16" s="4"/>
      <c r="AF16" s="4"/>
      <c r="AG16" s="4"/>
      <c r="AH16" s="4"/>
      <c r="AI16" s="4"/>
      <c r="AJ16" s="76" t="str">
        <f>IF(E16="○",IF(COUNTA(E$13:E16)=1,"",",")&amp;D16,"")</f>
        <v>,update_ymd</v>
      </c>
      <c r="AK16" s="4"/>
      <c r="AL16" s="4"/>
      <c r="AM16" s="4"/>
      <c r="AN16" s="4"/>
      <c r="AO16" s="4"/>
      <c r="AP16" s="4"/>
      <c r="AQ16" s="4"/>
      <c r="AR16" s="4"/>
      <c r="AS16" s="76" t="str">
        <f>"COMMENT ON COLUMN "&amp;エンティティ一覧!$O$2&amp;"."&amp;D$8&amp;"."&amp;D16&amp;" IS '"&amp;C16&amp;"';"</f>
        <v>COMMENT ON COLUMN milscm_2023_009.sny_202310_backup_mt_tekiyou_recept_combi_link_oyako.update_ymd IS 'データ登録日';</v>
      </c>
    </row>
    <row r="17" spans="1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ENT_01_A3-13</v>
      </c>
      <c r="E6" s="234"/>
      <c r="F6" s="234"/>
      <c r="G6" s="234"/>
      <c r="H6" s="234"/>
      <c r="I6" s="234"/>
      <c r="J6" s="235"/>
    </row>
    <row r="7" spans="1:45">
      <c r="B7" s="223" t="s">
        <v>115</v>
      </c>
      <c r="C7" s="224"/>
      <c r="D7" s="225" t="s">
        <v>2104</v>
      </c>
      <c r="E7" s="226"/>
      <c r="F7" s="226"/>
      <c r="G7" s="226"/>
      <c r="H7" s="226"/>
      <c r="I7" s="226"/>
      <c r="J7" s="227"/>
    </row>
    <row r="8" spans="1:45">
      <c r="B8" s="223" t="s">
        <v>116</v>
      </c>
      <c r="C8" s="224"/>
      <c r="D8" s="225" t="str">
        <f>エンティティ一覧!AE2&amp;"_"&amp;D5&amp;"_mt_tekiyou_byoumei"</f>
        <v>sny_202310_backup_mt_tekiyou_byoumei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milscm_2023_009.sny_202310_backup_mt_tekiyou_byoumei;</v>
      </c>
      <c r="O10" s="76"/>
      <c r="P10" s="76"/>
      <c r="Q10" s="76"/>
      <c r="R10" s="76"/>
      <c r="S10" s="76"/>
      <c r="T10" s="76"/>
      <c r="AJ10" s="76" t="str">
        <f>"ALTER TABLE ONLY "&amp;エンティティ一覧!$O$2&amp;"."&amp;D$8</f>
        <v>ALTER TABLE ONLY milscm_2023_009.sny_202310_backup_mt_tekiyou_byoumei</v>
      </c>
      <c r="AS10" s="76" t="str">
        <f>"ALTER TABLE "&amp;エンティティ一覧!$O$2&amp;"."&amp;D$8&amp;" OWNER TO pgmisgrp1;"</f>
        <v>ALTER TABLE milscm_2023_009.sny_202310_backup_mt_tekiyou_byoumei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milscm_2023_009.sny_202310_backup_mt_tekiyou_byoumei</v>
      </c>
      <c r="O11" s="76"/>
      <c r="P11" s="76"/>
      <c r="Q11" s="76"/>
      <c r="R11" s="76"/>
      <c r="S11" s="76"/>
      <c r="T11" s="76"/>
      <c r="AJ11" s="76" t="str">
        <f>"ADD CONSTRAINT "&amp;D$8&amp;"_pkey PRIMARY KEY"</f>
        <v>ADD CONSTRAINT sny_202310_backup_mt_tekiyou_byoumei_pkey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6"/>
      <c r="O13" s="76"/>
      <c r="P13" s="76" t="str">
        <f>IF(B13&lt;&gt;1,","&amp;D13,D13)</f>
        <v>yougo_code1</v>
      </c>
      <c r="Q13" s="76" t="str">
        <f t="shared" ref="Q13:Q19" si="0">UPPER(G13)</f>
        <v>TEXT</v>
      </c>
      <c r="R13" s="76" t="str">
        <f t="shared" ref="R13:R19" si="1">IF(H13&lt;&gt;"","default "&amp;IF(G13="text","'"&amp;H13&amp;"'",H13),"")</f>
        <v/>
      </c>
      <c r="S13" s="76" t="str">
        <f>IF(I13="○","NOT NULL","")</f>
        <v/>
      </c>
      <c r="T13" s="76" t="str">
        <f>"-- "&amp;C13</f>
        <v>-- 用語コード１</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6"/>
      <c r="O14" s="76"/>
      <c r="P14" s="76" t="str">
        <f t="shared" ref="P14:P19" si="4">IF(B14&lt;&gt;1,","&amp;D14,D14)</f>
        <v>,yougo_code2</v>
      </c>
      <c r="Q14" s="76" t="str">
        <f t="shared" si="0"/>
        <v>TEXT</v>
      </c>
      <c r="R14" s="76" t="str">
        <f t="shared" si="1"/>
        <v/>
      </c>
      <c r="S14" s="76" t="str">
        <f t="shared" ref="S14:S19" si="5">IF(I14="○","NOT NULL","")</f>
        <v/>
      </c>
      <c r="T14" s="76" t="str">
        <f t="shared" ref="T14:T19" si="6">"-- "&amp;C14</f>
        <v>-- 用語コード２</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6"/>
      <c r="O15" s="76"/>
      <c r="P15" s="76" t="str">
        <f t="shared" ref="P15:P17" si="8">IF(B15&lt;&gt;1,","&amp;D15,D15)</f>
        <v>,yougo_code3</v>
      </c>
      <c r="Q15" s="76" t="str">
        <f t="shared" ref="Q15:Q17" si="9">UPPER(G15)</f>
        <v>TEXT</v>
      </c>
      <c r="R15" s="76" t="str">
        <f t="shared" ref="R15:R17" si="10">IF(H15&lt;&gt;"","default "&amp;IF(G15="text","'"&amp;H15&amp;"'",H15),"")</f>
        <v/>
      </c>
      <c r="S15" s="76" t="str">
        <f t="shared" ref="S15:S17" si="11">IF(I15="○","NOT NULL","")</f>
        <v/>
      </c>
      <c r="T15" s="76" t="str">
        <f t="shared" ref="T15:T17" si="12">"-- "&amp;C15</f>
        <v>-- 用語コード３</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6"/>
      <c r="O16" s="76"/>
      <c r="P16" s="76" t="str">
        <f t="shared" si="8"/>
        <v>,tekiyou_byoumei_code</v>
      </c>
      <c r="Q16" s="76" t="str">
        <f t="shared" si="9"/>
        <v>TEXT</v>
      </c>
      <c r="R16" s="76" t="str">
        <f t="shared" si="10"/>
        <v/>
      </c>
      <c r="S16" s="76" t="str">
        <f t="shared" si="11"/>
        <v>NOT NULL</v>
      </c>
      <c r="T16" s="76" t="str">
        <f t="shared" si="12"/>
        <v>-- 適用病名コード</v>
      </c>
      <c r="U16" s="4"/>
      <c r="AA16" s="4"/>
      <c r="AB16" s="4"/>
      <c r="AC16" s="4"/>
      <c r="AD16" s="4"/>
      <c r="AE16" s="4"/>
      <c r="AF16" s="4"/>
      <c r="AG16" s="4"/>
      <c r="AH16" s="4"/>
      <c r="AI16" s="4"/>
      <c r="AJ16" s="76" t="str">
        <f>IF(E16="○",IF(COUNTA(E$13:E16)=1,"",",")&amp;D16,"")</f>
        <v>tekiyou_byoumei_code</v>
      </c>
      <c r="AK16" s="4"/>
      <c r="AL16" s="4"/>
      <c r="AM16" s="4"/>
      <c r="AN16" s="4"/>
      <c r="AO16" s="4"/>
      <c r="AP16" s="4"/>
      <c r="AQ16" s="4"/>
      <c r="AR16" s="4"/>
      <c r="AS16" s="76" t="str">
        <f>"COMMENT ON COLUMN "&amp;エンティティ一覧!$O$2&amp;"."&amp;D$8&amp;"."&amp;D16&amp;" IS '"&amp;C16&amp;"';"</f>
        <v>COMMENT ON COLUMN milscm_2023_009.sny_202310_backup_mt_tekiyou_byoumei.tekiyou_byoumei_code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6"/>
      <c r="O17" s="76"/>
      <c r="P17" s="76" t="str">
        <f t="shared" si="8"/>
        <v>,tekiyou_byoumei_name</v>
      </c>
      <c r="Q17" s="76" t="str">
        <f t="shared" si="9"/>
        <v>TEXT</v>
      </c>
      <c r="R17" s="76" t="str">
        <f t="shared" si="10"/>
        <v/>
      </c>
      <c r="S17" s="76" t="str">
        <f t="shared" si="11"/>
        <v>NOT NULL</v>
      </c>
      <c r="T17" s="76" t="str">
        <f t="shared" si="12"/>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4" t="s">
        <v>2076</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milscm_2023_009.sny_202310_backup_mt_tekiyou_byoumei.update_ymd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ENT_01_A3-14</v>
      </c>
      <c r="E6" s="234"/>
      <c r="F6" s="234"/>
      <c r="G6" s="234"/>
      <c r="H6" s="234"/>
      <c r="I6" s="234"/>
      <c r="J6" s="235"/>
    </row>
    <row r="7" spans="1:45">
      <c r="B7" s="223" t="s">
        <v>115</v>
      </c>
      <c r="C7" s="224"/>
      <c r="D7" s="225" t="s">
        <v>2113</v>
      </c>
      <c r="E7" s="226"/>
      <c r="F7" s="226"/>
      <c r="G7" s="226"/>
      <c r="H7" s="226"/>
      <c r="I7" s="226"/>
      <c r="J7" s="227"/>
    </row>
    <row r="8" spans="1:45">
      <c r="B8" s="223" t="s">
        <v>116</v>
      </c>
      <c r="C8" s="224"/>
      <c r="D8" s="225" t="str">
        <f>エンティティ一覧!AE2&amp;"_"&amp;D5&amp;"_mt_yjcode_receptdensancode_link"</f>
        <v>sny_202310_backup_mt_yjcode_receptdensancode_link</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milscm_2023_009.sny_202310_backup_mt_yjcode_receptdensancode_link;</v>
      </c>
      <c r="O10" s="76"/>
      <c r="P10" s="76"/>
      <c r="Q10" s="76"/>
      <c r="R10" s="76"/>
      <c r="S10" s="76"/>
      <c r="T10" s="76"/>
      <c r="AJ10" s="76" t="str">
        <f>"ALTER TABLE ONLY "&amp;エンティティ一覧!$O$2&amp;"."&amp;D$8</f>
        <v>ALTER TABLE ONLY milscm_2023_009.sny_202310_backup_mt_yjcode_receptdensancode_link</v>
      </c>
      <c r="AS10" s="76" t="str">
        <f>"ALTER TABLE "&amp;エンティティ一覧!$O$2&amp;"."&amp;D$8&amp;" OWNER TO pgmisgrp1;"</f>
        <v>ALTER TABLE milscm_2023_009.sny_202310_backup_mt_yjcode_receptdensancode_link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milscm_2023_009.sny_202310_backup_mt_yjcode_receptdensancode_link</v>
      </c>
      <c r="O11" s="76"/>
      <c r="P11" s="76"/>
      <c r="Q11" s="76"/>
      <c r="R11" s="76"/>
      <c r="S11" s="76"/>
      <c r="T11" s="76"/>
      <c r="AJ11" s="76" t="str">
        <f>"ADD CONSTRAINT "&amp;D$8&amp;"_pkey PRIMARY KEY"</f>
        <v>ADD CONSTRAINT sny_202310_backup_mt_yjcode_receptdensancode_link_pkey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6"/>
      <c r="O13" s="76"/>
      <c r="P13" s="76" t="str">
        <f>IF(B13&lt;&gt;1,","&amp;D13,D13)</f>
        <v>yj_code</v>
      </c>
      <c r="Q13" s="76" t="str">
        <f t="shared" ref="Q13:Q19" si="0">UPPER(G13)</f>
        <v>TEXT</v>
      </c>
      <c r="R13" s="76" t="str">
        <f t="shared" ref="R13:R19" si="1">IF(H13&lt;&gt;"","default "&amp;IF(G13="text","'"&amp;H13&amp;"'",H13),"")</f>
        <v/>
      </c>
      <c r="S13" s="76" t="str">
        <f>IF(I13="○","NOT NULL","")</f>
        <v/>
      </c>
      <c r="T13" s="76" t="str">
        <f>"-- "&amp;C13</f>
        <v>-- ＹＪコード</v>
      </c>
      <c r="U13" s="4"/>
      <c r="AA13" s="4"/>
      <c r="AB13" s="4"/>
      <c r="AC13" s="4"/>
      <c r="AD13" s="4"/>
      <c r="AE13" s="4"/>
      <c r="AF13" s="4"/>
      <c r="AG13" s="4"/>
      <c r="AH13" s="4"/>
      <c r="AI13" s="4"/>
      <c r="AJ13" s="76" t="str">
        <f>IF(E13="○",IF(COUNTA(E$13:E13)=1,"",",")&amp;D13,"")</f>
        <v>yj_code</v>
      </c>
      <c r="AK13" s="4"/>
      <c r="AL13" s="4"/>
      <c r="AM13" s="4"/>
      <c r="AN13" s="4"/>
      <c r="AO13" s="4"/>
      <c r="AP13" s="4"/>
      <c r="AQ13" s="4"/>
      <c r="AR13" s="4"/>
      <c r="AS13" s="76" t="str">
        <f>"COMMENT ON COLUMN "&amp;エンティティ一覧!$O$2&amp;"."&amp;D$8&amp;"."&amp;D13&amp;" IS '"&amp;C13&amp;"';"</f>
        <v>COMMENT ON COLUMN milscm_2023_009.sny_202310_backup_mt_yjcode_receptdensancode_link.yj_code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6"/>
      <c r="O14" s="76"/>
      <c r="P14" s="76" t="str">
        <f t="shared" ref="P14:P19" si="4">IF(B14&lt;&gt;1,","&amp;D14,D14)</f>
        <v>,iyakuhin_code</v>
      </c>
      <c r="Q14" s="76" t="str">
        <f t="shared" si="0"/>
        <v>TEXT</v>
      </c>
      <c r="R14" s="76" t="str">
        <f t="shared" si="1"/>
        <v/>
      </c>
      <c r="S14" s="76" t="str">
        <f t="shared" ref="S14:S19" si="5">IF(I14="○","NOT NULL","")</f>
        <v/>
      </c>
      <c r="T14" s="76" t="str">
        <f t="shared" ref="T14:T19"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6"/>
      <c r="O15" s="76"/>
      <c r="P15" s="76" t="str">
        <f t="shared" si="4"/>
        <v>,iyakuhin_ippan_name</v>
      </c>
      <c r="Q15" s="76" t="str">
        <f t="shared" si="0"/>
        <v>TEXT</v>
      </c>
      <c r="R15" s="76" t="str">
        <f t="shared" si="1"/>
        <v/>
      </c>
      <c r="S15" s="76" t="str">
        <f t="shared" si="5"/>
        <v/>
      </c>
      <c r="T15" s="76" t="str">
        <f t="shared" si="6"/>
        <v>-- 医薬品一般名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6"/>
      <c r="O16" s="76"/>
      <c r="P16" s="76" t="str">
        <f t="shared" si="4"/>
        <v>,iyakuhin_name</v>
      </c>
      <c r="Q16" s="76" t="str">
        <f t="shared" si="0"/>
        <v>TEXT</v>
      </c>
      <c r="R16" s="76" t="str">
        <f t="shared" si="1"/>
        <v/>
      </c>
      <c r="S16" s="76" t="str">
        <f t="shared" si="5"/>
        <v/>
      </c>
      <c r="T16" s="76" t="str">
        <f t="shared" si="6"/>
        <v>-- 医薬品名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6"/>
      <c r="O17" s="76"/>
      <c r="P17" s="76" t="str">
        <f t="shared" si="4"/>
        <v>,kikaku_naiyou</v>
      </c>
      <c r="Q17" s="76" t="str">
        <f t="shared" si="0"/>
        <v>TEXT</v>
      </c>
      <c r="R17" s="76" t="str">
        <f t="shared" si="1"/>
        <v/>
      </c>
      <c r="S17" s="76" t="str">
        <f t="shared" si="5"/>
        <v/>
      </c>
      <c r="T17" s="76" t="str">
        <f t="shared" si="6"/>
        <v>-- 規格内容</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6"/>
      <c r="O18" s="76"/>
      <c r="P18" s="76" t="str">
        <f t="shared" si="4"/>
        <v>,koshin_kubun</v>
      </c>
      <c r="Q18" s="76" t="str">
        <f t="shared" si="0"/>
        <v>TEXT</v>
      </c>
      <c r="R18" s="76" t="str">
        <f t="shared" si="1"/>
        <v/>
      </c>
      <c r="S18" s="76" t="str">
        <f t="shared" si="5"/>
        <v>NOT NULL</v>
      </c>
      <c r="T18" s="76" t="str">
        <f t="shared" si="6"/>
        <v>-- 更新区分</v>
      </c>
      <c r="U18" s="4"/>
      <c r="AA18" s="4"/>
      <c r="AB18" s="4"/>
      <c r="AC18" s="4"/>
      <c r="AD18" s="4"/>
      <c r="AE18" s="4"/>
      <c r="AF18" s="4"/>
      <c r="AG18" s="4"/>
      <c r="AH18" s="4"/>
      <c r="AI18" s="4"/>
      <c r="AJ18" s="76" t="str">
        <f>IF(E18="○",IF(COUNTA(E$13:E18)=1,"",",")&amp;D18,"")</f>
        <v>,koshin_kubun</v>
      </c>
      <c r="AK18" s="4"/>
      <c r="AL18" s="4"/>
      <c r="AM18" s="4"/>
      <c r="AN18" s="4"/>
      <c r="AO18" s="4"/>
      <c r="AP18" s="4"/>
      <c r="AQ18" s="4"/>
      <c r="AR18" s="4"/>
      <c r="AS18" s="76" t="str">
        <f>"COMMENT ON COLUMN "&amp;エンティティ一覧!$O$2&amp;"."&amp;D$8&amp;"."&amp;D18&amp;" IS '"&amp;C18&amp;"';"</f>
        <v>COMMENT ON COLUMN milscm_2023_009.sny_202310_backup_mt_yjcode_receptdensancode_link.koshin_kubun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4" t="s">
        <v>2076</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,update_ymd</v>
      </c>
      <c r="AK19" s="4"/>
      <c r="AL19" s="4"/>
      <c r="AM19" s="4"/>
      <c r="AN19" s="4"/>
      <c r="AO19" s="4"/>
      <c r="AP19" s="4"/>
      <c r="AQ19" s="4"/>
      <c r="AR19" s="4"/>
      <c r="AS19" s="76" t="str">
        <f>"COMMENT ON COLUMN "&amp;エンティティ一覧!$O$2&amp;"."&amp;D$8&amp;"."&amp;D19&amp;" IS '"&amp;C19&amp;"';"</f>
        <v>COMMENT ON COLUMN milscm_2023_009.sny_202310_backup_mt_yjcode_receptdensancode_link.update_ymd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ENT_01_A3-15</v>
      </c>
      <c r="E6" s="234"/>
      <c r="F6" s="234"/>
      <c r="G6" s="234"/>
      <c r="H6" s="234"/>
      <c r="I6" s="234"/>
      <c r="J6" s="235"/>
    </row>
    <row r="7" spans="1:45">
      <c r="B7" s="223" t="s">
        <v>115</v>
      </c>
      <c r="C7" s="224"/>
      <c r="D7" s="225" t="s">
        <v>2123</v>
      </c>
      <c r="E7" s="226"/>
      <c r="F7" s="226"/>
      <c r="G7" s="226"/>
      <c r="H7" s="226"/>
      <c r="I7" s="226"/>
      <c r="J7" s="227"/>
    </row>
    <row r="8" spans="1:45">
      <c r="B8" s="223" t="s">
        <v>116</v>
      </c>
      <c r="C8" s="224"/>
      <c r="D8" s="225" t="str">
        <f>エンティティ一覧!AE2&amp;"_"&amp;D5&amp;"_mt_shinryo_koi_fuka"</f>
        <v>sny_202310_backup_mt_shinryo_koi_fuka</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milscm_2023_009.sny_202310_backup_mt_shinryo_koi_fuka;</v>
      </c>
      <c r="O10" s="76"/>
      <c r="P10" s="76"/>
      <c r="Q10" s="76"/>
      <c r="R10" s="76"/>
      <c r="S10" s="76"/>
      <c r="T10" s="76"/>
      <c r="AJ10" s="76" t="str">
        <f>"ALTER TABLE ONLY "&amp;エンティティ一覧!$O$2&amp;"."&amp;D$8</f>
        <v>ALTER TABLE ONLY milscm_2023_009.sny_202310_backup_mt_shinryo_koi_fuka</v>
      </c>
      <c r="AS10" s="76" t="str">
        <f>"ALTER TABLE "&amp;エンティティ一覧!$O$2&amp;"."&amp;D$8&amp;" OWNER TO pgmisgrp1;"</f>
        <v>ALTER TABLE milscm_2023_009.sny_202310_backup_mt_shinryo_koi_fuka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milscm_2023_009.sny_202310_backup_mt_shinryo_koi_fuka</v>
      </c>
      <c r="O11" s="76"/>
      <c r="P11" s="76"/>
      <c r="Q11" s="76"/>
      <c r="R11" s="76"/>
      <c r="S11" s="76"/>
      <c r="T11" s="76"/>
      <c r="AJ11" s="76" t="str">
        <f>"ADD CONSTRAINT "&amp;D$8&amp;"_pkey PRIMARY KEY"</f>
        <v>ADD CONSTRAINT sny_202310_backup_mt_shinryo_koi_fuka_pkey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6"/>
      <c r="O13" s="76"/>
      <c r="P13" s="76" t="str">
        <f>IF(B13&lt;&gt;1,","&amp;D13,D13)</f>
        <v>koshin_kubun</v>
      </c>
      <c r="Q13" s="76" t="str">
        <f t="shared" ref="Q13:Q163" si="0">UPPER(G13)</f>
        <v>TEXT</v>
      </c>
      <c r="R13" s="76" t="str">
        <f t="shared" ref="R13:R163" si="1">IF(H13&lt;&gt;"","default "&amp;IF(G13="text","'"&amp;H13&amp;"'",H13),"")</f>
        <v/>
      </c>
      <c r="S13" s="76" t="str">
        <f>IF(I13="○","NOT NULL","")</f>
        <v>NOT NULL</v>
      </c>
      <c r="T13" s="76" t="str">
        <f>"-- "&amp;C13</f>
        <v>-- 更新区分</v>
      </c>
      <c r="U13" s="4"/>
      <c r="AA13" s="4"/>
      <c r="AB13" s="4"/>
      <c r="AC13" s="4"/>
      <c r="AD13" s="4"/>
      <c r="AE13" s="4"/>
      <c r="AF13" s="4"/>
      <c r="AG13" s="4"/>
      <c r="AH13" s="4"/>
      <c r="AI13" s="4"/>
      <c r="AJ13" s="76" t="str">
        <f>IF(E13="○",IF(COUNTA(E$13:E13)=1,"",",")&amp;D13,"")</f>
        <v>koshin_kubun</v>
      </c>
      <c r="AK13" s="4"/>
      <c r="AL13" s="4"/>
      <c r="AM13" s="4"/>
      <c r="AN13" s="4"/>
      <c r="AO13" s="4"/>
      <c r="AP13" s="4"/>
      <c r="AQ13" s="4"/>
      <c r="AR13" s="4"/>
      <c r="AS13" s="76" t="str">
        <f>"COMMENT ON COLUMN "&amp;エンティティ一覧!$O$2&amp;"."&amp;D$8&amp;"."&amp;D13&amp;" IS '"&amp;C13&amp;"';"</f>
        <v>COMMENT ON COLUMN milscm_2023_009.sny_202310_backup_mt_shinryo_koi_fuka.koshin_kubun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6"/>
      <c r="O14" s="76"/>
      <c r="P14" s="76" t="str">
        <f t="shared" ref="P14:P163" si="4">IF(B14&lt;&gt;1,","&amp;D14,D14)</f>
        <v>,master_type</v>
      </c>
      <c r="Q14" s="76" t="str">
        <f t="shared" si="0"/>
        <v>TEXT</v>
      </c>
      <c r="R14" s="76" t="str">
        <f t="shared" si="1"/>
        <v/>
      </c>
      <c r="S14" s="76" t="str">
        <f t="shared" ref="S14:S163" si="5">IF(I14="○","NOT NULL","")</f>
        <v>NOT NULL</v>
      </c>
      <c r="T14" s="76" t="str">
        <f t="shared" ref="T14:T163" si="6">"-- "&amp;C14</f>
        <v>-- マスター種別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6"/>
      <c r="O15" s="76"/>
      <c r="P15" s="76" t="str">
        <f t="shared" si="4"/>
        <v>,shinryo_koi_code</v>
      </c>
      <c r="Q15" s="76" t="str">
        <f t="shared" si="0"/>
        <v>TEXT</v>
      </c>
      <c r="R15" s="76" t="str">
        <f t="shared" si="1"/>
        <v/>
      </c>
      <c r="S15" s="76" t="str">
        <f t="shared" si="5"/>
        <v>NOT NULL</v>
      </c>
      <c r="T15" s="76" t="str">
        <f t="shared" si="6"/>
        <v>-- 診療行為コード</v>
      </c>
      <c r="U15" s="4"/>
      <c r="AA15" s="4"/>
      <c r="AB15" s="4"/>
      <c r="AC15" s="4"/>
      <c r="AD15" s="4"/>
      <c r="AE15" s="4"/>
      <c r="AF15" s="4"/>
      <c r="AG15" s="4"/>
      <c r="AH15" s="4"/>
      <c r="AI15" s="4"/>
      <c r="AJ15" s="76" t="str">
        <f>IF(E15="○",IF(COUNTA(E$13:E15)=1,"",",")&amp;D15,"")</f>
        <v>,shinryo_koi_code</v>
      </c>
      <c r="AK15" s="4"/>
      <c r="AL15" s="4"/>
      <c r="AM15" s="4"/>
      <c r="AN15" s="4"/>
      <c r="AO15" s="4"/>
      <c r="AP15" s="4"/>
      <c r="AQ15" s="4"/>
      <c r="AR15" s="4"/>
      <c r="AS15" s="76" t="str">
        <f>"COMMENT ON COLUMN "&amp;エンティティ一覧!$O$2&amp;"."&amp;D$8&amp;"."&amp;D15&amp;" IS '"&amp;C15&amp;"';"</f>
        <v>COMMENT ON COLUMN milscm_2023_009.sny_202310_backup_mt_shinryo_koi_fuka.shinryo_koi_code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6"/>
      <c r="O16" s="76"/>
      <c r="P16" s="76" t="str">
        <f t="shared" si="4"/>
        <v>,shinryo_koi_kanji_name_ketasu</v>
      </c>
      <c r="Q16" s="76" t="str">
        <f t="shared" si="0"/>
        <v>INTEGER</v>
      </c>
      <c r="R16" s="76" t="str">
        <f t="shared" si="1"/>
        <v/>
      </c>
      <c r="S16" s="76" t="str">
        <f t="shared" si="5"/>
        <v/>
      </c>
      <c r="T16" s="76" t="str">
        <f t="shared" si="6"/>
        <v>-- 診療行為省略漢字有効桁数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6"/>
      <c r="O17" s="76"/>
      <c r="P17" s="76" t="str">
        <f t="shared" si="4"/>
        <v>,shinryo_koi_kanji_name</v>
      </c>
      <c r="Q17" s="76" t="str">
        <f t="shared" si="0"/>
        <v>TEXT</v>
      </c>
      <c r="R17" s="76" t="str">
        <f t="shared" si="1"/>
        <v/>
      </c>
      <c r="S17" s="76" t="str">
        <f t="shared" si="5"/>
        <v/>
      </c>
      <c r="T17" s="76" t="str">
        <f t="shared" si="6"/>
        <v>-- 診療行為省略漢字名称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6"/>
      <c r="O18" s="76"/>
      <c r="P18" s="76" t="str">
        <f t="shared" ref="P18:P81" si="8">IF(B18&lt;&gt;1,","&amp;D18,D18)</f>
        <v>,shinryo_koi_kana_name_ketasu</v>
      </c>
      <c r="Q18" s="76" t="str">
        <f t="shared" ref="Q18:Q81" si="9">UPPER(G18)</f>
        <v>INTEGER</v>
      </c>
      <c r="R18" s="76" t="str">
        <f t="shared" ref="R18:R81" si="10">IF(H18&lt;&gt;"","default "&amp;IF(G18="text","'"&amp;H18&amp;"'",H18),"")</f>
        <v/>
      </c>
      <c r="S18" s="76" t="str">
        <f t="shared" ref="S18:S81" si="11">IF(I18="○","NOT NULL","")</f>
        <v/>
      </c>
      <c r="T18" s="76" t="str">
        <f t="shared" ref="T18:T81" si="12">"-- "&amp;C18</f>
        <v>-- 診療行為省略カナ有効桁数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6"/>
      <c r="O19" s="76"/>
      <c r="P19" s="76" t="str">
        <f t="shared" si="8"/>
        <v>,shinryo_koi_kana_name</v>
      </c>
      <c r="Q19" s="76" t="str">
        <f t="shared" si="9"/>
        <v>TEXT</v>
      </c>
      <c r="R19" s="76" t="str">
        <f t="shared" si="10"/>
        <v/>
      </c>
      <c r="S19" s="76" t="str">
        <f t="shared" si="11"/>
        <v/>
      </c>
      <c r="T19" s="76" t="str">
        <f t="shared" si="12"/>
        <v>-- 診療行為省略カナ名称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6"/>
      <c r="O20" s="76"/>
      <c r="P20" s="76" t="str">
        <f t="shared" si="8"/>
        <v>,data_standard_code</v>
      </c>
      <c r="Q20" s="76" t="str">
        <f t="shared" si="9"/>
        <v>TEXT</v>
      </c>
      <c r="R20" s="76" t="str">
        <f t="shared" si="10"/>
        <v/>
      </c>
      <c r="S20" s="76" t="str">
        <f t="shared" si="11"/>
        <v/>
      </c>
      <c r="T20" s="76" t="str">
        <f t="shared" si="12"/>
        <v>-- データ規格コード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6"/>
      <c r="O21" s="76"/>
      <c r="P21" s="76" t="str">
        <f t="shared" si="8"/>
        <v>,data_standard_ketasu</v>
      </c>
      <c r="Q21" s="76" t="str">
        <f t="shared" si="9"/>
        <v>INTEGER</v>
      </c>
      <c r="R21" s="76" t="str">
        <f t="shared" si="10"/>
        <v/>
      </c>
      <c r="S21" s="76" t="str">
        <f t="shared" si="11"/>
        <v/>
      </c>
      <c r="T21" s="76" t="str">
        <f t="shared" si="12"/>
        <v>-- データ規格漢字有効桁数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6"/>
      <c r="O22" s="76"/>
      <c r="P22" s="76" t="str">
        <f t="shared" si="8"/>
        <v>,data_standard_name</v>
      </c>
      <c r="Q22" s="76" t="str">
        <f t="shared" si="9"/>
        <v>TEXT</v>
      </c>
      <c r="R22" s="76" t="str">
        <f t="shared" si="10"/>
        <v/>
      </c>
      <c r="S22" s="76" t="str">
        <f t="shared" si="11"/>
        <v/>
      </c>
      <c r="T22" s="76" t="str">
        <f t="shared" si="12"/>
        <v>-- データ規格漢字名称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6"/>
      <c r="O23" s="76"/>
      <c r="P23" s="76" t="str">
        <f t="shared" si="8"/>
        <v>,gen_tensu_shikibetsu</v>
      </c>
      <c r="Q23" s="76" t="str">
        <f t="shared" si="9"/>
        <v>INTEGER</v>
      </c>
      <c r="R23" s="76" t="str">
        <f t="shared" si="10"/>
        <v/>
      </c>
      <c r="S23" s="76" t="str">
        <f t="shared" si="11"/>
        <v/>
      </c>
      <c r="T23" s="76" t="str">
        <f t="shared" si="12"/>
        <v>-- 新又は現点数識別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6"/>
      <c r="O24" s="76"/>
      <c r="P24" s="76" t="str">
        <f t="shared" si="8"/>
        <v>,gen_tensu</v>
      </c>
      <c r="Q24" s="76" t="str">
        <f t="shared" si="9"/>
        <v>NUMERIC</v>
      </c>
      <c r="R24" s="76" t="str">
        <f t="shared" si="10"/>
        <v/>
      </c>
      <c r="S24" s="76" t="str">
        <f t="shared" si="11"/>
        <v/>
      </c>
      <c r="T24" s="76" t="str">
        <f t="shared" si="12"/>
        <v>-- 新又は現点数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6"/>
      <c r="O25" s="76"/>
      <c r="P25" s="76" t="str">
        <f t="shared" si="8"/>
        <v>,nyugai_tekiyo_kubun</v>
      </c>
      <c r="Q25" s="76" t="str">
        <f t="shared" si="9"/>
        <v>TEXT</v>
      </c>
      <c r="R25" s="76" t="str">
        <f t="shared" si="10"/>
        <v/>
      </c>
      <c r="S25" s="76" t="str">
        <f t="shared" si="11"/>
        <v/>
      </c>
      <c r="T25" s="76" t="str">
        <f t="shared" si="12"/>
        <v>-- 入外適用区分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6"/>
      <c r="O26" s="76"/>
      <c r="P26" s="76" t="str">
        <f t="shared" si="8"/>
        <v>,aged_tekiyo_kubun</v>
      </c>
      <c r="Q26" s="76" t="str">
        <f t="shared" si="9"/>
        <v>TEXT</v>
      </c>
      <c r="R26" s="76" t="str">
        <f t="shared" si="10"/>
        <v/>
      </c>
      <c r="S26" s="76" t="str">
        <f t="shared" si="11"/>
        <v/>
      </c>
      <c r="T26" s="76" t="str">
        <f t="shared" si="12"/>
        <v>-- 後期高齢者医療適用区分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6"/>
      <c r="O27" s="76"/>
      <c r="P27" s="76" t="str">
        <f t="shared" si="8"/>
        <v>,tensuran_shikibetsu_nyuingai</v>
      </c>
      <c r="Q27" s="76" t="str">
        <f t="shared" si="9"/>
        <v>TEXT</v>
      </c>
      <c r="R27" s="76" t="str">
        <f t="shared" si="10"/>
        <v/>
      </c>
      <c r="S27" s="76" t="str">
        <f t="shared" si="11"/>
        <v/>
      </c>
      <c r="T27" s="76" t="str">
        <f t="shared" si="12"/>
        <v>-- 点数欄集計先識別（入院外）</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6"/>
      <c r="O28" s="76"/>
      <c r="P28" s="76" t="str">
        <f t="shared" si="8"/>
        <v>,hokatsu_kensa</v>
      </c>
      <c r="Q28" s="76" t="str">
        <f t="shared" si="9"/>
        <v>TEXT</v>
      </c>
      <c r="R28" s="76" t="str">
        <f t="shared" si="10"/>
        <v/>
      </c>
      <c r="S28" s="76" t="str">
        <f t="shared" si="11"/>
        <v/>
      </c>
      <c r="T28" s="76" t="str">
        <f t="shared" si="12"/>
        <v>-- 包括対象検査</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6"/>
      <c r="O29" s="76"/>
      <c r="P29" s="76" t="str">
        <f t="shared" si="8"/>
        <v>,reserve1</v>
      </c>
      <c r="Q29" s="76" t="str">
        <f t="shared" si="9"/>
        <v>TEXT</v>
      </c>
      <c r="R29" s="76" t="str">
        <f t="shared" si="10"/>
        <v/>
      </c>
      <c r="S29" s="76" t="str">
        <f t="shared" si="11"/>
        <v/>
      </c>
      <c r="T29" s="76" t="str">
        <f t="shared" si="12"/>
        <v>-- 予備1</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6"/>
      <c r="O30" s="76"/>
      <c r="P30" s="76" t="str">
        <f t="shared" si="8"/>
        <v>,dpc_tekiyo_kubun</v>
      </c>
      <c r="Q30" s="76" t="str">
        <f t="shared" si="9"/>
        <v>TEXT</v>
      </c>
      <c r="R30" s="76" t="str">
        <f t="shared" si="10"/>
        <v/>
      </c>
      <c r="S30" s="76" t="str">
        <f t="shared" si="11"/>
        <v/>
      </c>
      <c r="T30" s="76" t="str">
        <f t="shared" si="12"/>
        <v>-- DPC適用区分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6"/>
      <c r="O31" s="76"/>
      <c r="P31" s="76" t="str">
        <f t="shared" si="8"/>
        <v>,clinic_kubun</v>
      </c>
      <c r="Q31" s="76" t="str">
        <f t="shared" si="9"/>
        <v>TEXT</v>
      </c>
      <c r="R31" s="76" t="str">
        <f t="shared" si="10"/>
        <v/>
      </c>
      <c r="S31" s="76" t="str">
        <f t="shared" si="11"/>
        <v/>
      </c>
      <c r="T31" s="76" t="str">
        <f t="shared" si="12"/>
        <v>-- 病院・診療所区分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6"/>
      <c r="O32" s="76"/>
      <c r="P32" s="76" t="str">
        <f t="shared" si="8"/>
        <v>,shujutsu_kasan_kubun</v>
      </c>
      <c r="Q32" s="76" t="str">
        <f t="shared" si="9"/>
        <v>TEXT</v>
      </c>
      <c r="R32" s="76" t="str">
        <f t="shared" si="10"/>
        <v/>
      </c>
      <c r="S32" s="76" t="str">
        <f t="shared" si="11"/>
        <v/>
      </c>
      <c r="T32" s="76" t="str">
        <f t="shared" si="12"/>
        <v>-- 画像等手術支援加算区分</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6"/>
      <c r="O33" s="76"/>
      <c r="P33" s="76" t="str">
        <f t="shared" si="8"/>
        <v>,iryo_kansatsu_kubun</v>
      </c>
      <c r="Q33" s="76" t="str">
        <f t="shared" si="9"/>
        <v>TEXT</v>
      </c>
      <c r="R33" s="76" t="str">
        <f t="shared" si="10"/>
        <v/>
      </c>
      <c r="S33" s="76" t="str">
        <f t="shared" si="11"/>
        <v/>
      </c>
      <c r="T33" s="76" t="str">
        <f t="shared" si="12"/>
        <v>-- 医療観察法対象区分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6"/>
      <c r="O34" s="76"/>
      <c r="P34" s="76" t="str">
        <f t="shared" si="8"/>
        <v>,kango_kasan</v>
      </c>
      <c r="Q34" s="76" t="str">
        <f t="shared" si="9"/>
        <v>TEXT</v>
      </c>
      <c r="R34" s="76" t="str">
        <f t="shared" si="10"/>
        <v/>
      </c>
      <c r="S34" s="76" t="str">
        <f t="shared" si="11"/>
        <v/>
      </c>
      <c r="T34" s="76" t="str">
        <f t="shared" si="12"/>
        <v>-- 看護加算</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6"/>
      <c r="O35" s="76"/>
      <c r="P35" s="76" t="str">
        <f t="shared" si="8"/>
        <v>,masui_shujutsu_kubun</v>
      </c>
      <c r="Q35" s="76" t="str">
        <f t="shared" si="9"/>
        <v>TEXT</v>
      </c>
      <c r="R35" s="76" t="str">
        <f t="shared" si="10"/>
        <v/>
      </c>
      <c r="S35" s="76" t="str">
        <f t="shared" si="11"/>
        <v/>
      </c>
      <c r="T35" s="76" t="str">
        <f t="shared" si="12"/>
        <v>-- 麻酔識別区分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6"/>
      <c r="O36" s="76"/>
      <c r="P36" s="76" t="str">
        <f t="shared" si="8"/>
        <v>,reserve2</v>
      </c>
      <c r="Q36" s="76" t="str">
        <f t="shared" si="9"/>
        <v>TEXT</v>
      </c>
      <c r="R36" s="76" t="str">
        <f t="shared" si="10"/>
        <v/>
      </c>
      <c r="S36" s="76" t="str">
        <f t="shared" si="11"/>
        <v/>
      </c>
      <c r="T36" s="76" t="str">
        <f t="shared" si="12"/>
        <v>-- 予備2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6"/>
      <c r="O37" s="76"/>
      <c r="P37" s="76" t="str">
        <f t="shared" si="8"/>
        <v>,shobyo_kanren_kubun</v>
      </c>
      <c r="Q37" s="76" t="str">
        <f t="shared" si="9"/>
        <v>TEXT</v>
      </c>
      <c r="R37" s="76" t="str">
        <f t="shared" si="10"/>
        <v/>
      </c>
      <c r="S37" s="76" t="str">
        <f t="shared" si="11"/>
        <v/>
      </c>
      <c r="T37" s="76" t="str">
        <f t="shared" si="12"/>
        <v>-- 傷病名関連区分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6"/>
      <c r="O38" s="76"/>
      <c r="P38" s="76" t="str">
        <f t="shared" si="8"/>
        <v>,reserve3</v>
      </c>
      <c r="Q38" s="76" t="str">
        <f t="shared" si="9"/>
        <v>TEXT</v>
      </c>
      <c r="R38" s="76" t="str">
        <f t="shared" si="10"/>
        <v/>
      </c>
      <c r="S38" s="76" t="str">
        <f t="shared" si="11"/>
        <v/>
      </c>
      <c r="T38" s="76" t="str">
        <f t="shared" si="12"/>
        <v>-- 予備3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6"/>
      <c r="O39" s="76"/>
      <c r="P39" s="76" t="str">
        <f t="shared" si="8"/>
        <v>,jitsu_days</v>
      </c>
      <c r="Q39" s="76" t="str">
        <f t="shared" si="9"/>
        <v>INTEGER</v>
      </c>
      <c r="R39" s="76" t="str">
        <f t="shared" si="10"/>
        <v/>
      </c>
      <c r="S39" s="76" t="str">
        <f t="shared" si="11"/>
        <v/>
      </c>
      <c r="T39" s="76" t="str">
        <f t="shared" si="12"/>
        <v>-- 実日数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6"/>
      <c r="O40" s="76"/>
      <c r="P40" s="76" t="str">
        <f t="shared" si="8"/>
        <v>,days_times</v>
      </c>
      <c r="Q40" s="76" t="str">
        <f t="shared" si="9"/>
        <v>INTEGER</v>
      </c>
      <c r="R40" s="76" t="str">
        <f t="shared" si="10"/>
        <v/>
      </c>
      <c r="S40" s="76" t="str">
        <f t="shared" si="11"/>
        <v/>
      </c>
      <c r="T40" s="76" t="str">
        <f t="shared" si="12"/>
        <v>-- 日数・回数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6"/>
      <c r="O41" s="76"/>
      <c r="P41" s="76" t="str">
        <f t="shared" si="8"/>
        <v>,iyakuhin_kanren_kubun</v>
      </c>
      <c r="Q41" s="76" t="str">
        <f t="shared" si="9"/>
        <v>TEXT</v>
      </c>
      <c r="R41" s="76" t="str">
        <f t="shared" si="10"/>
        <v/>
      </c>
      <c r="S41" s="76" t="str">
        <f t="shared" si="11"/>
        <v/>
      </c>
      <c r="T41" s="76" t="str">
        <f t="shared" si="12"/>
        <v>-- 医薬品関連区分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6"/>
      <c r="O42" s="76"/>
      <c r="P42" s="76" t="str">
        <f t="shared" si="8"/>
        <v>,kizami_keisan_shikibetsu</v>
      </c>
      <c r="Q42" s="76" t="str">
        <f t="shared" si="9"/>
        <v>TEXT</v>
      </c>
      <c r="R42" s="76" t="str">
        <f t="shared" si="10"/>
        <v/>
      </c>
      <c r="S42" s="76" t="str">
        <f t="shared" si="11"/>
        <v/>
      </c>
      <c r="T42" s="76" t="str">
        <f t="shared" si="12"/>
        <v>-- きざみ値計算識別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6"/>
      <c r="O43" s="76"/>
      <c r="P43" s="76" t="str">
        <f t="shared" si="8"/>
        <v>,kizami_low</v>
      </c>
      <c r="Q43" s="76" t="str">
        <f t="shared" si="9"/>
        <v>INTEGER</v>
      </c>
      <c r="R43" s="76" t="str">
        <f t="shared" si="10"/>
        <v/>
      </c>
      <c r="S43" s="76" t="str">
        <f t="shared" si="11"/>
        <v/>
      </c>
      <c r="T43" s="76" t="str">
        <f t="shared" si="12"/>
        <v>-- きざみ値下限値</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6"/>
      <c r="O44" s="76"/>
      <c r="P44" s="76" t="str">
        <f t="shared" si="8"/>
        <v>,kizami_up</v>
      </c>
      <c r="Q44" s="76" t="str">
        <f t="shared" si="9"/>
        <v>INTEGER</v>
      </c>
      <c r="R44" s="76" t="str">
        <f t="shared" si="10"/>
        <v/>
      </c>
      <c r="S44" s="76" t="str">
        <f t="shared" si="11"/>
        <v/>
      </c>
      <c r="T44" s="76" t="str">
        <f t="shared" si="12"/>
        <v>-- きざみ値上限値</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6"/>
      <c r="O45" s="76"/>
      <c r="P45" s="76" t="str">
        <f t="shared" si="8"/>
        <v>,kizami_value</v>
      </c>
      <c r="Q45" s="76" t="str">
        <f t="shared" si="9"/>
        <v>INTEGER</v>
      </c>
      <c r="R45" s="76" t="str">
        <f t="shared" si="10"/>
        <v/>
      </c>
      <c r="S45" s="76" t="str">
        <f t="shared" si="11"/>
        <v/>
      </c>
      <c r="T45" s="76" t="str">
        <f t="shared" si="12"/>
        <v>-- きざみ値</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6"/>
      <c r="O46" s="76"/>
      <c r="P46" s="76" t="str">
        <f t="shared" si="8"/>
        <v>,kizami_tensu</v>
      </c>
      <c r="Q46" s="76" t="str">
        <f t="shared" si="9"/>
        <v>NUMERIC</v>
      </c>
      <c r="R46" s="76" t="str">
        <f t="shared" si="10"/>
        <v/>
      </c>
      <c r="S46" s="76" t="str">
        <f t="shared" si="11"/>
        <v/>
      </c>
      <c r="T46" s="76" t="str">
        <f t="shared" si="12"/>
        <v>-- きざみ点数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6"/>
      <c r="O47" s="76"/>
      <c r="P47" s="76" t="str">
        <f t="shared" si="8"/>
        <v>,up_low_error</v>
      </c>
      <c r="Q47" s="76" t="str">
        <f t="shared" si="9"/>
        <v>TEXT</v>
      </c>
      <c r="R47" s="76" t="str">
        <f t="shared" si="10"/>
        <v/>
      </c>
      <c r="S47" s="76" t="str">
        <f t="shared" si="11"/>
        <v/>
      </c>
      <c r="T47" s="76" t="str">
        <f t="shared" si="12"/>
        <v>-- 上下限エラー処理</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6"/>
      <c r="O48" s="76"/>
      <c r="P48" s="76" t="str">
        <f t="shared" si="8"/>
        <v>,up_times</v>
      </c>
      <c r="Q48" s="76" t="str">
        <f t="shared" si="9"/>
        <v>INTEGER</v>
      </c>
      <c r="R48" s="76" t="str">
        <f t="shared" si="10"/>
        <v/>
      </c>
      <c r="S48" s="76" t="str">
        <f t="shared" si="11"/>
        <v/>
      </c>
      <c r="T48" s="76" t="str">
        <f t="shared" si="12"/>
        <v>-- 上限回数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6"/>
      <c r="O49" s="76"/>
      <c r="P49" s="76" t="str">
        <f t="shared" si="8"/>
        <v>,up_times_error</v>
      </c>
      <c r="Q49" s="76" t="str">
        <f t="shared" si="9"/>
        <v>TEXT</v>
      </c>
      <c r="R49" s="76" t="str">
        <f t="shared" si="10"/>
        <v/>
      </c>
      <c r="S49" s="76" t="str">
        <f t="shared" si="11"/>
        <v/>
      </c>
      <c r="T49" s="76" t="str">
        <f t="shared" si="12"/>
        <v>-- 上限回数エラー処理</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6"/>
      <c r="O50" s="76"/>
      <c r="P50" s="76" t="str">
        <f t="shared" si="8"/>
        <v>,chu_kasan_code</v>
      </c>
      <c r="Q50" s="76" t="str">
        <f t="shared" si="9"/>
        <v>TEXT</v>
      </c>
      <c r="R50" s="76" t="str">
        <f t="shared" si="10"/>
        <v/>
      </c>
      <c r="S50" s="76" t="str">
        <f t="shared" si="11"/>
        <v/>
      </c>
      <c r="T50" s="76" t="str">
        <f t="shared" si="12"/>
        <v>-- 注加算コード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6"/>
      <c r="O51" s="76"/>
      <c r="P51" s="76" t="str">
        <f t="shared" si="8"/>
        <v>,chu_kasan_no</v>
      </c>
      <c r="Q51" s="76" t="str">
        <f t="shared" si="9"/>
        <v>TEXT</v>
      </c>
      <c r="R51" s="76" t="str">
        <f t="shared" si="10"/>
        <v/>
      </c>
      <c r="S51" s="76" t="str">
        <f t="shared" si="11"/>
        <v/>
      </c>
      <c r="T51" s="76" t="str">
        <f t="shared" si="12"/>
        <v>-- 注加算通番</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6"/>
      <c r="O52" s="76"/>
      <c r="P52" s="76" t="str">
        <f t="shared" si="8"/>
        <v>,tsusoku_age</v>
      </c>
      <c r="Q52" s="76" t="str">
        <f t="shared" si="9"/>
        <v>TEXT</v>
      </c>
      <c r="R52" s="76" t="str">
        <f t="shared" si="10"/>
        <v/>
      </c>
      <c r="S52" s="76" t="str">
        <f t="shared" si="11"/>
        <v/>
      </c>
      <c r="T52" s="76" t="str">
        <f t="shared" si="12"/>
        <v>-- 通則年齢</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6"/>
      <c r="O53" s="76"/>
      <c r="P53" s="76" t="str">
        <f t="shared" si="8"/>
        <v>,low_age</v>
      </c>
      <c r="Q53" s="76" t="str">
        <f t="shared" si="9"/>
        <v>TEXT</v>
      </c>
      <c r="R53" s="76" t="str">
        <f t="shared" si="10"/>
        <v/>
      </c>
      <c r="S53" s="76" t="str">
        <f t="shared" si="11"/>
        <v/>
      </c>
      <c r="T53" s="76" t="str">
        <f t="shared" si="12"/>
        <v>-- 下限年齢</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6"/>
      <c r="O54" s="76"/>
      <c r="P54" s="76" t="str">
        <f t="shared" si="8"/>
        <v>,up_age</v>
      </c>
      <c r="Q54" s="76" t="str">
        <f t="shared" si="9"/>
        <v>TEXT</v>
      </c>
      <c r="R54" s="76" t="str">
        <f t="shared" si="10"/>
        <v/>
      </c>
      <c r="S54" s="76" t="str">
        <f t="shared" si="11"/>
        <v/>
      </c>
      <c r="T54" s="76" t="str">
        <f t="shared" si="12"/>
        <v>-- 上限年齢</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6"/>
      <c r="O55" s="76"/>
      <c r="P55" s="76" t="str">
        <f t="shared" si="8"/>
        <v>,time_kasan_kubun</v>
      </c>
      <c r="Q55" s="76" t="str">
        <f t="shared" si="9"/>
        <v>TEXT</v>
      </c>
      <c r="R55" s="76" t="str">
        <f t="shared" si="10"/>
        <v/>
      </c>
      <c r="S55" s="76" t="str">
        <f t="shared" si="11"/>
        <v/>
      </c>
      <c r="T55" s="76" t="str">
        <f t="shared" si="12"/>
        <v>-- 時間加算区分</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6"/>
      <c r="O56" s="76"/>
      <c r="P56" s="76" t="str">
        <f t="shared" si="8"/>
        <v>,tekigo_kubun</v>
      </c>
      <c r="Q56" s="76" t="str">
        <f t="shared" si="9"/>
        <v>TEXT</v>
      </c>
      <c r="R56" s="76" t="str">
        <f t="shared" si="10"/>
        <v/>
      </c>
      <c r="S56" s="76" t="str">
        <f t="shared" si="11"/>
        <v/>
      </c>
      <c r="T56" s="76" t="str">
        <f t="shared" si="12"/>
        <v>-- 適合区分</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6"/>
      <c r="O57" s="76"/>
      <c r="P57" s="76" t="str">
        <f t="shared" si="8"/>
        <v>,facility_kijun</v>
      </c>
      <c r="Q57" s="76" t="str">
        <f t="shared" si="9"/>
        <v>TEXT</v>
      </c>
      <c r="R57" s="76" t="str">
        <f t="shared" si="10"/>
        <v/>
      </c>
      <c r="S57" s="76" t="str">
        <f t="shared" si="11"/>
        <v/>
      </c>
      <c r="T57" s="76" t="str">
        <f t="shared" si="12"/>
        <v>-- 対象施設基準</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6"/>
      <c r="O58" s="76"/>
      <c r="P58" s="76" t="str">
        <f t="shared" si="8"/>
        <v>,nyuyoji_kasan_kubun</v>
      </c>
      <c r="Q58" s="76" t="str">
        <f t="shared" si="9"/>
        <v>TEXT</v>
      </c>
      <c r="R58" s="76" t="str">
        <f t="shared" si="10"/>
        <v/>
      </c>
      <c r="S58" s="76" t="str">
        <f t="shared" si="11"/>
        <v/>
      </c>
      <c r="T58" s="76" t="str">
        <f t="shared" si="12"/>
        <v>-- 処置乳幼児加算区分</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6"/>
      <c r="O59" s="76"/>
      <c r="P59" s="76" t="str">
        <f t="shared" si="8"/>
        <v>,taijuji_kasan_kubun</v>
      </c>
      <c r="Q59" s="76" t="str">
        <f t="shared" si="9"/>
        <v>TEXT</v>
      </c>
      <c r="R59" s="76" t="str">
        <f t="shared" si="10"/>
        <v/>
      </c>
      <c r="S59" s="76" t="str">
        <f t="shared" si="11"/>
        <v/>
      </c>
      <c r="T59" s="76" t="str">
        <f t="shared" si="12"/>
        <v>-- 極低出生体重児加算区分</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6"/>
      <c r="O60" s="76"/>
      <c r="P60" s="76" t="str">
        <f t="shared" si="8"/>
        <v>,nyuin_kihon_gensan_shikibetsu</v>
      </c>
      <c r="Q60" s="76" t="str">
        <f t="shared" si="9"/>
        <v>TEXT</v>
      </c>
      <c r="R60" s="76" t="str">
        <f t="shared" si="10"/>
        <v/>
      </c>
      <c r="S60" s="76" t="str">
        <f t="shared" si="11"/>
        <v/>
      </c>
      <c r="T60" s="76" t="str">
        <f t="shared" si="12"/>
        <v>-- 入院基本料等減算対象識別</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6"/>
      <c r="O61" s="76"/>
      <c r="P61" s="76" t="str">
        <f t="shared" si="8"/>
        <v>,donor_kubun</v>
      </c>
      <c r="Q61" s="76" t="str">
        <f t="shared" si="9"/>
        <v>TEXT</v>
      </c>
      <c r="R61" s="76" t="str">
        <f t="shared" si="10"/>
        <v/>
      </c>
      <c r="S61" s="76" t="str">
        <f t="shared" si="11"/>
        <v/>
      </c>
      <c r="T61" s="76" t="str">
        <f t="shared" si="12"/>
        <v>-- ドナー分集計区分</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6"/>
      <c r="O62" s="76"/>
      <c r="P62" s="76" t="str">
        <f t="shared" si="8"/>
        <v>,kensa_handan_kubun</v>
      </c>
      <c r="Q62" s="76" t="str">
        <f t="shared" si="9"/>
        <v>TEXT</v>
      </c>
      <c r="R62" s="76" t="str">
        <f t="shared" si="10"/>
        <v/>
      </c>
      <c r="S62" s="76" t="str">
        <f t="shared" si="11"/>
        <v/>
      </c>
      <c r="T62" s="76" t="str">
        <f t="shared" si="12"/>
        <v>-- 検査等実施判断区分</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6"/>
      <c r="O63" s="76"/>
      <c r="P63" s="76" t="str">
        <f t="shared" si="8"/>
        <v>,kensa_handan_group_kubun</v>
      </c>
      <c r="Q63" s="76" t="str">
        <f t="shared" si="9"/>
        <v>TEXT</v>
      </c>
      <c r="R63" s="76" t="str">
        <f t="shared" si="10"/>
        <v/>
      </c>
      <c r="S63" s="76" t="str">
        <f t="shared" si="11"/>
        <v/>
      </c>
      <c r="T63" s="76" t="str">
        <f t="shared" si="12"/>
        <v>-- 検査等実施判断グループ区分</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6"/>
      <c r="O64" s="76"/>
      <c r="P64" s="76" t="str">
        <f t="shared" si="8"/>
        <v>,teigen_kubun</v>
      </c>
      <c r="Q64" s="76" t="str">
        <f t="shared" si="9"/>
        <v>TEXT</v>
      </c>
      <c r="R64" s="76" t="str">
        <f t="shared" si="10"/>
        <v/>
      </c>
      <c r="S64" s="76" t="str">
        <f t="shared" si="11"/>
        <v/>
      </c>
      <c r="T64" s="76" t="str">
        <f t="shared" si="12"/>
        <v>-- 逓減対象区分</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6"/>
      <c r="O65" s="76"/>
      <c r="P65" s="76" t="str">
        <f t="shared" si="8"/>
        <v>,sekizui_kasan_kubun</v>
      </c>
      <c r="Q65" s="76" t="str">
        <f t="shared" si="9"/>
        <v>TEXT</v>
      </c>
      <c r="R65" s="76" t="str">
        <f t="shared" si="10"/>
        <v/>
      </c>
      <c r="S65" s="76" t="str">
        <f t="shared" si="11"/>
        <v/>
      </c>
      <c r="T65" s="76" t="str">
        <f t="shared" si="12"/>
        <v>-- 脊髄誘発電位測定等加算区分</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6"/>
      <c r="O66" s="76"/>
      <c r="P66" s="76" t="str">
        <f t="shared" si="8"/>
        <v>,keibu_kasan_kubun</v>
      </c>
      <c r="Q66" s="76" t="str">
        <f t="shared" si="9"/>
        <v>TEXT</v>
      </c>
      <c r="R66" s="76" t="str">
        <f t="shared" si="10"/>
        <v/>
      </c>
      <c r="S66" s="76" t="str">
        <f t="shared" si="11"/>
        <v/>
      </c>
      <c r="T66" s="76" t="str">
        <f t="shared" si="12"/>
        <v>-- 頸部郭清術併施加算区分</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6"/>
      <c r="O67" s="76"/>
      <c r="P67" s="76" t="str">
        <f t="shared" si="8"/>
        <v>,hogoki_kasan_kubun</v>
      </c>
      <c r="Q67" s="76" t="str">
        <f t="shared" si="9"/>
        <v>TEXT</v>
      </c>
      <c r="R67" s="76" t="str">
        <f t="shared" si="10"/>
        <v/>
      </c>
      <c r="S67" s="76" t="str">
        <f t="shared" si="11"/>
        <v/>
      </c>
      <c r="T67" s="76" t="str">
        <f t="shared" si="12"/>
        <v>-- 自動縫合器加算区分</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6"/>
      <c r="O68" s="76"/>
      <c r="P68" s="76" t="str">
        <f t="shared" si="8"/>
        <v>,gairai_kasan_kubun</v>
      </c>
      <c r="Q68" s="76" t="str">
        <f t="shared" si="9"/>
        <v>TEXT</v>
      </c>
      <c r="R68" s="76" t="str">
        <f t="shared" si="10"/>
        <v/>
      </c>
      <c r="S68" s="76" t="str">
        <f t="shared" si="11"/>
        <v/>
      </c>
      <c r="T68" s="76" t="str">
        <f t="shared" si="12"/>
        <v>-- 外来管理加算区分</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6"/>
      <c r="O69" s="76"/>
      <c r="P69" s="76" t="str">
        <f t="shared" si="8"/>
        <v>,old_tensu_shikibetsu</v>
      </c>
      <c r="Q69" s="76" t="str">
        <f t="shared" si="9"/>
        <v>TEXT</v>
      </c>
      <c r="R69" s="76" t="str">
        <f t="shared" si="10"/>
        <v/>
      </c>
      <c r="S69" s="76" t="str">
        <f t="shared" si="11"/>
        <v/>
      </c>
      <c r="T69" s="76" t="str">
        <f t="shared" si="12"/>
        <v>-- 旧点数識別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6"/>
      <c r="O70" s="76"/>
      <c r="P70" s="76" t="str">
        <f t="shared" si="8"/>
        <v>,old_tensu</v>
      </c>
      <c r="Q70" s="76" t="str">
        <f t="shared" si="9"/>
        <v>NUMERIC</v>
      </c>
      <c r="R70" s="76" t="str">
        <f t="shared" si="10"/>
        <v/>
      </c>
      <c r="S70" s="76" t="str">
        <f t="shared" si="11"/>
        <v/>
      </c>
      <c r="T70" s="76" t="str">
        <f t="shared" si="12"/>
        <v>-- 旧点数</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6"/>
      <c r="O71" s="76"/>
      <c r="P71" s="76" t="str">
        <f t="shared" si="8"/>
        <v>,kanji_henko_kubun</v>
      </c>
      <c r="Q71" s="76" t="str">
        <f t="shared" si="9"/>
        <v>TEXT</v>
      </c>
      <c r="R71" s="76" t="str">
        <f t="shared" si="10"/>
        <v/>
      </c>
      <c r="S71" s="76" t="str">
        <f t="shared" si="11"/>
        <v/>
      </c>
      <c r="T71" s="76" t="str">
        <f t="shared" si="12"/>
        <v>-- 漢字名称変更区分</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6"/>
      <c r="O72" s="76"/>
      <c r="P72" s="76" t="str">
        <f t="shared" si="8"/>
        <v>,kana_henko_kubun</v>
      </c>
      <c r="Q72" s="76" t="str">
        <f t="shared" si="9"/>
        <v>TEXT</v>
      </c>
      <c r="R72" s="76" t="str">
        <f t="shared" si="10"/>
        <v/>
      </c>
      <c r="S72" s="76" t="str">
        <f t="shared" si="11"/>
        <v/>
      </c>
      <c r="T72" s="76" t="str">
        <f t="shared" si="12"/>
        <v>-- カナ名称変更区分</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6"/>
      <c r="O73" s="76"/>
      <c r="P73" s="76" t="str">
        <f t="shared" si="8"/>
        <v>,kentai_comment</v>
      </c>
      <c r="Q73" s="76" t="str">
        <f t="shared" si="9"/>
        <v>TEXT</v>
      </c>
      <c r="R73" s="76" t="str">
        <f t="shared" si="10"/>
        <v/>
      </c>
      <c r="S73" s="76" t="str">
        <f t="shared" si="11"/>
        <v/>
      </c>
      <c r="T73" s="76" t="str">
        <f t="shared" si="12"/>
        <v>-- 検体検査コメント</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6"/>
      <c r="O74" s="76"/>
      <c r="P74" s="76" t="str">
        <f t="shared" si="8"/>
        <v>,tsusoku_kasan_tensu</v>
      </c>
      <c r="Q74" s="76" t="str">
        <f t="shared" si="9"/>
        <v>TEXT</v>
      </c>
      <c r="R74" s="76" t="str">
        <f t="shared" si="10"/>
        <v/>
      </c>
      <c r="S74" s="76" t="str">
        <f t="shared" si="11"/>
        <v/>
      </c>
      <c r="T74" s="76" t="str">
        <f t="shared" si="12"/>
        <v>-- 通則加算所定点数対象区分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6"/>
      <c r="O75" s="76"/>
      <c r="P75" s="76" t="str">
        <f t="shared" si="8"/>
        <v>,hokatsu_teigen_kubun</v>
      </c>
      <c r="Q75" s="76" t="str">
        <f t="shared" si="9"/>
        <v>TEXT</v>
      </c>
      <c r="R75" s="76" t="str">
        <f t="shared" si="10"/>
        <v/>
      </c>
      <c r="S75" s="76" t="str">
        <f t="shared" si="11"/>
        <v/>
      </c>
      <c r="T75" s="76" t="str">
        <f t="shared" si="12"/>
        <v>-- 包括逓減区分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6"/>
      <c r="O76" s="76"/>
      <c r="P76" s="76" t="str">
        <f t="shared" si="8"/>
        <v>,choonpa_naishikyo_kasan_kubun</v>
      </c>
      <c r="Q76" s="76" t="str">
        <f t="shared" si="9"/>
        <v>TEXT</v>
      </c>
      <c r="R76" s="76" t="str">
        <f t="shared" si="10"/>
        <v/>
      </c>
      <c r="S76" s="76" t="str">
        <f t="shared" si="11"/>
        <v/>
      </c>
      <c r="T76" s="76" t="str">
        <f t="shared" si="12"/>
        <v>-- 超音波内視鏡加算区分</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6"/>
      <c r="O77" s="76"/>
      <c r="P77" s="76" t="str">
        <f t="shared" si="8"/>
        <v>,reserve4</v>
      </c>
      <c r="Q77" s="76" t="str">
        <f t="shared" si="9"/>
        <v>TEXT</v>
      </c>
      <c r="R77" s="76" t="str">
        <f t="shared" si="10"/>
        <v/>
      </c>
      <c r="S77" s="76" t="str">
        <f t="shared" si="11"/>
        <v/>
      </c>
      <c r="T77" s="76" t="str">
        <f t="shared" si="12"/>
        <v>-- 予備4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6"/>
      <c r="O78" s="76"/>
      <c r="P78" s="76" t="str">
        <f t="shared" si="8"/>
        <v>,tensuran_shikibetsu_nyuin</v>
      </c>
      <c r="Q78" s="76" t="str">
        <f t="shared" si="9"/>
        <v>TEXT</v>
      </c>
      <c r="R78" s="76" t="str">
        <f t="shared" si="10"/>
        <v/>
      </c>
      <c r="S78" s="76" t="str">
        <f t="shared" si="11"/>
        <v/>
      </c>
      <c r="T78" s="76" t="str">
        <f t="shared" si="12"/>
        <v>-- 点数欄集計先識別（入院）</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6"/>
      <c r="O79" s="76"/>
      <c r="P79" s="76" t="str">
        <f t="shared" si="8"/>
        <v>,fungoki_kasan_kubun</v>
      </c>
      <c r="Q79" s="76" t="str">
        <f t="shared" si="9"/>
        <v>TEXT</v>
      </c>
      <c r="R79" s="76" t="str">
        <f t="shared" si="10"/>
        <v/>
      </c>
      <c r="S79" s="76" t="str">
        <f t="shared" si="11"/>
        <v/>
      </c>
      <c r="T79" s="76" t="str">
        <f t="shared" si="12"/>
        <v>-- 自動吻合器加算区分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6"/>
      <c r="O80" s="76"/>
      <c r="P80" s="76" t="str">
        <f t="shared" si="8"/>
        <v>,kokuji_shikibetsu_kubun1</v>
      </c>
      <c r="Q80" s="76" t="str">
        <f t="shared" si="9"/>
        <v>TEXT</v>
      </c>
      <c r="R80" s="76" t="str">
        <f t="shared" si="10"/>
        <v/>
      </c>
      <c r="S80" s="76" t="str">
        <f t="shared" si="11"/>
        <v/>
      </c>
      <c r="T80" s="76" t="str">
        <f t="shared" si="12"/>
        <v>-- 告示等識別区分1</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6"/>
      <c r="O81" s="76"/>
      <c r="P81" s="76" t="str">
        <f t="shared" si="8"/>
        <v>,kokuji_shikibetsu_kubun2</v>
      </c>
      <c r="Q81" s="76" t="str">
        <f t="shared" si="9"/>
        <v>TEXT</v>
      </c>
      <c r="R81" s="76" t="str">
        <f t="shared" si="10"/>
        <v/>
      </c>
      <c r="S81" s="76" t="str">
        <f t="shared" si="11"/>
        <v/>
      </c>
      <c r="T81" s="76" t="str">
        <f t="shared" si="12"/>
        <v>-- 告示等識別区分2</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6"/>
      <c r="O82" s="76"/>
      <c r="P82" s="76" t="str">
        <f t="shared" ref="P82:P145" si="14">IF(B82&lt;&gt;1,","&amp;D82,D82)</f>
        <v>,chiiki_kasan</v>
      </c>
      <c r="Q82" s="76" t="str">
        <f t="shared" ref="Q82:Q145" si="15">UPPER(G82)</f>
        <v>TEXT</v>
      </c>
      <c r="R82" s="76" t="str">
        <f t="shared" ref="R82:R145" si="16">IF(H82&lt;&gt;"","default "&amp;IF(G82="text","'"&amp;H82&amp;"'",H82),"")</f>
        <v/>
      </c>
      <c r="S82" s="76" t="str">
        <f t="shared" ref="S82:S145" si="17">IF(I82="○","NOT NULL","")</f>
        <v/>
      </c>
      <c r="T82" s="76" t="str">
        <f t="shared" ref="T82:T145" si="18">"-- "&amp;C82</f>
        <v>-- 地域加算</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6"/>
      <c r="O83" s="76"/>
      <c r="P83" s="76" t="str">
        <f t="shared" si="14"/>
        <v>,bed_su_kubun</v>
      </c>
      <c r="Q83" s="76" t="str">
        <f t="shared" si="15"/>
        <v>TEXT</v>
      </c>
      <c r="R83" s="76" t="str">
        <f t="shared" si="16"/>
        <v/>
      </c>
      <c r="S83" s="76" t="str">
        <f t="shared" si="17"/>
        <v/>
      </c>
      <c r="T83" s="76" t="str">
        <f t="shared" si="18"/>
        <v>-- 病床数区分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6"/>
      <c r="O84" s="76"/>
      <c r="P84" s="76" t="str">
        <f t="shared" si="14"/>
        <v>,facility_kijun_code1</v>
      </c>
      <c r="Q84" s="76" t="str">
        <f t="shared" si="15"/>
        <v>TEXT</v>
      </c>
      <c r="R84" s="76" t="str">
        <f t="shared" si="16"/>
        <v/>
      </c>
      <c r="S84" s="76" t="str">
        <f t="shared" si="17"/>
        <v/>
      </c>
      <c r="T84" s="76" t="str">
        <f t="shared" si="18"/>
        <v>-- 施設基準コード1</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6"/>
      <c r="O85" s="76"/>
      <c r="P85" s="76" t="str">
        <f t="shared" si="14"/>
        <v>,facility_kijun_code2</v>
      </c>
      <c r="Q85" s="76" t="str">
        <f t="shared" si="15"/>
        <v>TEXT</v>
      </c>
      <c r="R85" s="76" t="str">
        <f t="shared" si="16"/>
        <v/>
      </c>
      <c r="S85" s="76" t="str">
        <f t="shared" si="17"/>
        <v/>
      </c>
      <c r="T85" s="76" t="str">
        <f t="shared" si="18"/>
        <v>-- 施設基準コード2</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6"/>
      <c r="O86" s="76"/>
      <c r="P86" s="76" t="str">
        <f t="shared" si="14"/>
        <v>,facility_kijun_code3</v>
      </c>
      <c r="Q86" s="76" t="str">
        <f t="shared" si="15"/>
        <v>TEXT</v>
      </c>
      <c r="R86" s="76" t="str">
        <f t="shared" si="16"/>
        <v/>
      </c>
      <c r="S86" s="76" t="str">
        <f t="shared" si="17"/>
        <v/>
      </c>
      <c r="T86" s="76" t="str">
        <f t="shared" si="18"/>
        <v>-- 施設基準コード3</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6"/>
      <c r="O87" s="76"/>
      <c r="P87" s="76" t="str">
        <f t="shared" si="14"/>
        <v>,facility_kijun_code4</v>
      </c>
      <c r="Q87" s="76" t="str">
        <f t="shared" si="15"/>
        <v>TEXT</v>
      </c>
      <c r="R87" s="76" t="str">
        <f t="shared" si="16"/>
        <v/>
      </c>
      <c r="S87" s="76" t="str">
        <f t="shared" si="17"/>
        <v/>
      </c>
      <c r="T87" s="76" t="str">
        <f t="shared" si="18"/>
        <v>-- 施設基準コード4</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6"/>
      <c r="O88" s="76"/>
      <c r="P88" s="76" t="str">
        <f t="shared" si="14"/>
        <v>,facility_kijun_code5</v>
      </c>
      <c r="Q88" s="76" t="str">
        <f t="shared" si="15"/>
        <v>TEXT</v>
      </c>
      <c r="R88" s="76" t="str">
        <f t="shared" si="16"/>
        <v/>
      </c>
      <c r="S88" s="76" t="str">
        <f t="shared" si="17"/>
        <v/>
      </c>
      <c r="T88" s="76" t="str">
        <f t="shared" si="18"/>
        <v>-- 施設基準コード5</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6"/>
      <c r="O89" s="76"/>
      <c r="P89" s="76" t="str">
        <f t="shared" si="14"/>
        <v>,facility_kijun_code6</v>
      </c>
      <c r="Q89" s="76" t="str">
        <f t="shared" si="15"/>
        <v>TEXT</v>
      </c>
      <c r="R89" s="76" t="str">
        <f t="shared" si="16"/>
        <v/>
      </c>
      <c r="S89" s="76" t="str">
        <f t="shared" si="17"/>
        <v/>
      </c>
      <c r="T89" s="76" t="str">
        <f t="shared" si="18"/>
        <v>-- 施設基準コード6</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6"/>
      <c r="O90" s="76"/>
      <c r="P90" s="76" t="str">
        <f t="shared" si="14"/>
        <v>,facility_kijun_code7</v>
      </c>
      <c r="Q90" s="76" t="str">
        <f t="shared" si="15"/>
        <v>TEXT</v>
      </c>
      <c r="R90" s="76" t="str">
        <f t="shared" si="16"/>
        <v/>
      </c>
      <c r="S90" s="76" t="str">
        <f t="shared" si="17"/>
        <v/>
      </c>
      <c r="T90" s="76" t="str">
        <f t="shared" si="18"/>
        <v>-- 施設基準コード7</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6"/>
      <c r="O91" s="76"/>
      <c r="P91" s="76" t="str">
        <f t="shared" si="14"/>
        <v>,facility_kijun_code8</v>
      </c>
      <c r="Q91" s="76" t="str">
        <f t="shared" si="15"/>
        <v>TEXT</v>
      </c>
      <c r="R91" s="76" t="str">
        <f t="shared" si="16"/>
        <v/>
      </c>
      <c r="S91" s="76" t="str">
        <f t="shared" si="17"/>
        <v/>
      </c>
      <c r="T91" s="76" t="str">
        <f t="shared" si="18"/>
        <v>-- 施設基準コード8</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6"/>
      <c r="O92" s="76"/>
      <c r="P92" s="76" t="str">
        <f t="shared" si="14"/>
        <v>,facility_kijun_code9</v>
      </c>
      <c r="Q92" s="76" t="str">
        <f t="shared" si="15"/>
        <v>TEXT</v>
      </c>
      <c r="R92" s="76" t="str">
        <f t="shared" si="16"/>
        <v/>
      </c>
      <c r="S92" s="76" t="str">
        <f t="shared" si="17"/>
        <v/>
      </c>
      <c r="T92" s="76" t="str">
        <f t="shared" si="18"/>
        <v>-- 施設基準コード9</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6"/>
      <c r="O93" s="76"/>
      <c r="P93" s="76" t="str">
        <f t="shared" si="14"/>
        <v>,facility_kijun_code10</v>
      </c>
      <c r="Q93" s="76" t="str">
        <f t="shared" si="15"/>
        <v>TEXT</v>
      </c>
      <c r="R93" s="76" t="str">
        <f t="shared" si="16"/>
        <v/>
      </c>
      <c r="S93" s="76" t="str">
        <f t="shared" si="17"/>
        <v/>
      </c>
      <c r="T93" s="76" t="str">
        <f t="shared" si="18"/>
        <v>-- 施設基準コード10</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6"/>
      <c r="O94" s="76"/>
      <c r="P94" s="76" t="str">
        <f t="shared" si="14"/>
        <v>,choonpa_sekkai_kasan_kubun</v>
      </c>
      <c r="Q94" s="76" t="str">
        <f t="shared" si="15"/>
        <v>TEXT</v>
      </c>
      <c r="R94" s="76" t="str">
        <f t="shared" si="16"/>
        <v/>
      </c>
      <c r="S94" s="76" t="str">
        <f t="shared" si="17"/>
        <v/>
      </c>
      <c r="T94" s="76" t="str">
        <f t="shared" si="18"/>
        <v>-- 超音波凝固切開装置等加算区分</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6"/>
      <c r="O95" s="76"/>
      <c r="P95" s="76" t="str">
        <f t="shared" si="14"/>
        <v>,tanki_shujutsu</v>
      </c>
      <c r="Q95" s="76" t="str">
        <f t="shared" si="15"/>
        <v>TEXT</v>
      </c>
      <c r="R95" s="76" t="str">
        <f t="shared" si="16"/>
        <v/>
      </c>
      <c r="S95" s="76" t="str">
        <f t="shared" si="17"/>
        <v/>
      </c>
      <c r="T95" s="76" t="str">
        <f t="shared" si="18"/>
        <v>-- 短期滞在手術</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6"/>
      <c r="O96" s="76"/>
      <c r="P96" s="76" t="str">
        <f t="shared" si="14"/>
        <v>,shika_tekiyo_kubun</v>
      </c>
      <c r="Q96" s="76" t="str">
        <f t="shared" si="15"/>
        <v>TEXT</v>
      </c>
      <c r="R96" s="76" t="str">
        <f t="shared" si="16"/>
        <v/>
      </c>
      <c r="S96" s="76" t="str">
        <f t="shared" si="17"/>
        <v/>
      </c>
      <c r="T96" s="76" t="str">
        <f t="shared" si="18"/>
        <v>-- 歯科適用区分</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6"/>
      <c r="O97" s="76"/>
      <c r="P97" s="76" t="str">
        <f t="shared" si="14"/>
        <v>,code_table_alphabet</v>
      </c>
      <c r="Q97" s="76" t="str">
        <f t="shared" si="15"/>
        <v>TEXT</v>
      </c>
      <c r="R97" s="76" t="str">
        <f t="shared" si="16"/>
        <v/>
      </c>
      <c r="S97" s="76" t="str">
        <f t="shared" si="17"/>
        <v/>
      </c>
      <c r="T97" s="76" t="str">
        <f t="shared" si="18"/>
        <v>-- コード表用番号（アルファベット部）</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6"/>
      <c r="O98" s="76"/>
      <c r="P98" s="76" t="str">
        <f t="shared" si="14"/>
        <v>,kokuji_kanren_no_alphabet</v>
      </c>
      <c r="Q98" s="76" t="str">
        <f t="shared" si="15"/>
        <v>TEXT</v>
      </c>
      <c r="R98" s="76" t="str">
        <f t="shared" si="16"/>
        <v/>
      </c>
      <c r="S98" s="76" t="str">
        <f t="shared" si="17"/>
        <v/>
      </c>
      <c r="T98" s="76" t="str">
        <f t="shared" si="18"/>
        <v>-- 告示・通知関連番号（アルファベット部）</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6"/>
      <c r="O99" s="76"/>
      <c r="P99" s="76" t="str">
        <f t="shared" si="14"/>
        <v>,henko_ymd</v>
      </c>
      <c r="Q99" s="76" t="str">
        <f t="shared" si="15"/>
        <v>TEXT</v>
      </c>
      <c r="R99" s="76" t="str">
        <f t="shared" si="16"/>
        <v/>
      </c>
      <c r="S99" s="76" t="str">
        <f t="shared" si="17"/>
        <v/>
      </c>
      <c r="T99" s="76" t="str">
        <f t="shared" si="18"/>
        <v>-- 変更年月日</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6"/>
      <c r="O100" s="76"/>
      <c r="P100" s="76" t="str">
        <f t="shared" si="14"/>
        <v>,haishi_ymd</v>
      </c>
      <c r="Q100" s="76" t="str">
        <f t="shared" si="15"/>
        <v>TEXT</v>
      </c>
      <c r="R100" s="76" t="str">
        <f t="shared" si="16"/>
        <v/>
      </c>
      <c r="S100" s="76" t="str">
        <f t="shared" si="17"/>
        <v/>
      </c>
      <c r="T100" s="76" t="str">
        <f t="shared" si="18"/>
        <v>-- 廃止年月日</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6"/>
      <c r="O101" s="76"/>
      <c r="P101" s="76" t="str">
        <f t="shared" si="14"/>
        <v>,kohyo_junjo_no</v>
      </c>
      <c r="Q101" s="76" t="str">
        <f t="shared" si="15"/>
        <v>TEXT</v>
      </c>
      <c r="R101" s="76" t="str">
        <f t="shared" si="16"/>
        <v/>
      </c>
      <c r="S101" s="76" t="str">
        <f t="shared" si="17"/>
        <v/>
      </c>
      <c r="T101" s="76" t="str">
        <f t="shared" si="18"/>
        <v>-- 公表順序番号</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6"/>
      <c r="O102" s="76"/>
      <c r="P102" s="76" t="str">
        <f t="shared" si="14"/>
        <v>,code_table_no_sho</v>
      </c>
      <c r="Q102" s="76" t="str">
        <f t="shared" si="15"/>
        <v>TEXT</v>
      </c>
      <c r="R102" s="76" t="str">
        <f t="shared" si="16"/>
        <v/>
      </c>
      <c r="S102" s="76" t="str">
        <f t="shared" si="17"/>
        <v/>
      </c>
      <c r="T102" s="76" t="str">
        <f t="shared" si="18"/>
        <v xml:space="preserve">-- コード表用番号_章 </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6"/>
      <c r="O103" s="76"/>
      <c r="P103" s="76" t="str">
        <f t="shared" si="14"/>
        <v>,code_table_no_bu</v>
      </c>
      <c r="Q103" s="76" t="str">
        <f t="shared" si="15"/>
        <v>TEXT</v>
      </c>
      <c r="R103" s="76" t="str">
        <f t="shared" si="16"/>
        <v/>
      </c>
      <c r="S103" s="76" t="str">
        <f t="shared" si="17"/>
        <v/>
      </c>
      <c r="T103" s="76" t="str">
        <f t="shared" si="18"/>
        <v>-- コード表用番号_部</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6"/>
      <c r="O104" s="76"/>
      <c r="P104" s="76" t="str">
        <f t="shared" si="14"/>
        <v>,code_table_no_kubun</v>
      </c>
      <c r="Q104" s="76" t="str">
        <f t="shared" si="15"/>
        <v>TEXT</v>
      </c>
      <c r="R104" s="76" t="str">
        <f t="shared" si="16"/>
        <v/>
      </c>
      <c r="S104" s="76" t="str">
        <f t="shared" si="17"/>
        <v/>
      </c>
      <c r="T104" s="76" t="str">
        <f t="shared" si="18"/>
        <v>-- コード表用番号_区分番号</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6"/>
      <c r="O105" s="76"/>
      <c r="P105" s="76" t="str">
        <f t="shared" si="14"/>
        <v>,code_table_no_edaban</v>
      </c>
      <c r="Q105" s="76" t="str">
        <f t="shared" si="15"/>
        <v>TEXT</v>
      </c>
      <c r="R105" s="76" t="str">
        <f t="shared" si="16"/>
        <v/>
      </c>
      <c r="S105" s="76" t="str">
        <f t="shared" si="17"/>
        <v/>
      </c>
      <c r="T105" s="76" t="str">
        <f t="shared" si="18"/>
        <v>-- コード表用番号_枝番</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6"/>
      <c r="O106" s="76"/>
      <c r="P106" s="76" t="str">
        <f t="shared" si="14"/>
        <v>,code_table_no_koban</v>
      </c>
      <c r="Q106" s="76" t="str">
        <f t="shared" si="15"/>
        <v>TEXT</v>
      </c>
      <c r="R106" s="76" t="str">
        <f t="shared" si="16"/>
        <v/>
      </c>
      <c r="S106" s="76" t="str">
        <f t="shared" si="17"/>
        <v/>
      </c>
      <c r="T106" s="76" t="str">
        <f t="shared" si="18"/>
        <v>-- コード表用番号_項番</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6"/>
      <c r="O107" s="76"/>
      <c r="P107" s="76" t="str">
        <f t="shared" si="14"/>
        <v>,kokuji_kanren_no_sho</v>
      </c>
      <c r="Q107" s="76" t="str">
        <f t="shared" si="15"/>
        <v>TEXT</v>
      </c>
      <c r="R107" s="76" t="str">
        <f t="shared" si="16"/>
        <v/>
      </c>
      <c r="S107" s="76" t="str">
        <f t="shared" si="17"/>
        <v/>
      </c>
      <c r="T107" s="76" t="str">
        <f t="shared" si="18"/>
        <v xml:space="preserve">-- 告示・通知関連番号_章 </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6"/>
      <c r="O108" s="76"/>
      <c r="P108" s="76" t="str">
        <f t="shared" si="14"/>
        <v>,kokuji_kanren_no_bu</v>
      </c>
      <c r="Q108" s="76" t="str">
        <f t="shared" si="15"/>
        <v>TEXT</v>
      </c>
      <c r="R108" s="76" t="str">
        <f t="shared" si="16"/>
        <v/>
      </c>
      <c r="S108" s="76" t="str">
        <f t="shared" si="17"/>
        <v/>
      </c>
      <c r="T108" s="76" t="str">
        <f t="shared" si="18"/>
        <v>-- 告示・通知関連番号_部</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6"/>
      <c r="O109" s="76"/>
      <c r="P109" s="76" t="str">
        <f t="shared" si="14"/>
        <v>,kokuji_kanren_no_kubun</v>
      </c>
      <c r="Q109" s="76" t="str">
        <f t="shared" si="15"/>
        <v>TEXT</v>
      </c>
      <c r="R109" s="76" t="str">
        <f t="shared" si="16"/>
        <v/>
      </c>
      <c r="S109" s="76" t="str">
        <f t="shared" si="17"/>
        <v/>
      </c>
      <c r="T109" s="76" t="str">
        <f t="shared" si="18"/>
        <v>-- 告示・通知関連番号_区分番号</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6"/>
      <c r="O110" s="76"/>
      <c r="P110" s="76" t="str">
        <f t="shared" si="14"/>
        <v>,kokuji_kanren_no_edaban</v>
      </c>
      <c r="Q110" s="76" t="str">
        <f t="shared" si="15"/>
        <v>TEXT</v>
      </c>
      <c r="R110" s="76" t="str">
        <f t="shared" si="16"/>
        <v/>
      </c>
      <c r="S110" s="76" t="str">
        <f t="shared" si="17"/>
        <v/>
      </c>
      <c r="T110" s="76" t="str">
        <f t="shared" si="18"/>
        <v>-- 告示・通知関連番号_枝番</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6"/>
      <c r="O111" s="76"/>
      <c r="P111" s="76" t="str">
        <f t="shared" si="14"/>
        <v>,kokuji_kanren_no_koban</v>
      </c>
      <c r="Q111" s="76" t="str">
        <f t="shared" si="15"/>
        <v>TEXT</v>
      </c>
      <c r="R111" s="76" t="str">
        <f t="shared" si="16"/>
        <v/>
      </c>
      <c r="S111" s="76" t="str">
        <f t="shared" si="17"/>
        <v/>
      </c>
      <c r="T111" s="76" t="str">
        <f t="shared" si="18"/>
        <v>-- 告示・通知関連番号_項番</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6"/>
      <c r="O112" s="76"/>
      <c r="P112" s="76" t="str">
        <f t="shared" si="14"/>
        <v>,age1_kasan_low</v>
      </c>
      <c r="Q112" s="76" t="str">
        <f t="shared" si="15"/>
        <v>TEXT</v>
      </c>
      <c r="R112" s="76" t="str">
        <f t="shared" si="16"/>
        <v/>
      </c>
      <c r="S112" s="76" t="str">
        <f t="shared" si="17"/>
        <v/>
      </c>
      <c r="T112" s="76" t="str">
        <f t="shared" si="18"/>
        <v>-- 年齢加算1下限年齢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6"/>
      <c r="O113" s="76"/>
      <c r="P113" s="76" t="str">
        <f t="shared" si="14"/>
        <v>,age1_kasan_up</v>
      </c>
      <c r="Q113" s="76" t="str">
        <f t="shared" si="15"/>
        <v>TEXT</v>
      </c>
      <c r="R113" s="76" t="str">
        <f t="shared" si="16"/>
        <v/>
      </c>
      <c r="S113" s="76" t="str">
        <f t="shared" si="17"/>
        <v/>
      </c>
      <c r="T113" s="76" t="str">
        <f t="shared" si="18"/>
        <v>-- 年齢加算1上限年齢</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6"/>
      <c r="O114" s="76"/>
      <c r="P114" s="76" t="str">
        <f t="shared" si="14"/>
        <v>,age1_kasan_koi_code</v>
      </c>
      <c r="Q114" s="76" t="str">
        <f t="shared" si="15"/>
        <v>TEXT</v>
      </c>
      <c r="R114" s="76" t="str">
        <f t="shared" si="16"/>
        <v/>
      </c>
      <c r="S114" s="76" t="str">
        <f t="shared" si="17"/>
        <v/>
      </c>
      <c r="T114" s="76" t="str">
        <f t="shared" si="18"/>
        <v>-- 年齢加算1注加算診療行為コード</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6"/>
      <c r="O115" s="76"/>
      <c r="P115" s="76" t="str">
        <f t="shared" si="14"/>
        <v>,age2_kasan_low</v>
      </c>
      <c r="Q115" s="76" t="str">
        <f t="shared" si="15"/>
        <v>TEXT</v>
      </c>
      <c r="R115" s="76" t="str">
        <f t="shared" si="16"/>
        <v/>
      </c>
      <c r="S115" s="76" t="str">
        <f t="shared" si="17"/>
        <v/>
      </c>
      <c r="T115" s="76" t="str">
        <f t="shared" si="18"/>
        <v>-- 年齢加算2下限年齢</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6"/>
      <c r="O116" s="76"/>
      <c r="P116" s="76" t="str">
        <f t="shared" si="14"/>
        <v>,age2_kasan_up</v>
      </c>
      <c r="Q116" s="76" t="str">
        <f t="shared" si="15"/>
        <v>TEXT</v>
      </c>
      <c r="R116" s="76" t="str">
        <f t="shared" si="16"/>
        <v/>
      </c>
      <c r="S116" s="76" t="str">
        <f t="shared" si="17"/>
        <v/>
      </c>
      <c r="T116" s="76" t="str">
        <f t="shared" si="18"/>
        <v>-- 年齢加算2上限年齢</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6"/>
      <c r="O117" s="76"/>
      <c r="P117" s="76" t="str">
        <f t="shared" si="14"/>
        <v>,age2_kasan_koi_code</v>
      </c>
      <c r="Q117" s="76" t="str">
        <f t="shared" si="15"/>
        <v>TEXT</v>
      </c>
      <c r="R117" s="76" t="str">
        <f t="shared" si="16"/>
        <v/>
      </c>
      <c r="S117" s="76" t="str">
        <f t="shared" si="17"/>
        <v/>
      </c>
      <c r="T117" s="76" t="str">
        <f t="shared" si="18"/>
        <v>-- 年齢加算2注加算診療行為コード</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6"/>
      <c r="O118" s="76"/>
      <c r="P118" s="76" t="str">
        <f t="shared" si="14"/>
        <v>,age3_kasan_low</v>
      </c>
      <c r="Q118" s="76" t="str">
        <f t="shared" si="15"/>
        <v>TEXT</v>
      </c>
      <c r="R118" s="76" t="str">
        <f t="shared" si="16"/>
        <v/>
      </c>
      <c r="S118" s="76" t="str">
        <f t="shared" si="17"/>
        <v/>
      </c>
      <c r="T118" s="76" t="str">
        <f t="shared" si="18"/>
        <v>-- 年齢加算3下限年齢</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6"/>
      <c r="O119" s="76"/>
      <c r="P119" s="76" t="str">
        <f t="shared" si="14"/>
        <v>,age3_kasan_up</v>
      </c>
      <c r="Q119" s="76" t="str">
        <f t="shared" si="15"/>
        <v>TEXT</v>
      </c>
      <c r="R119" s="76" t="str">
        <f t="shared" si="16"/>
        <v/>
      </c>
      <c r="S119" s="76" t="str">
        <f t="shared" si="17"/>
        <v/>
      </c>
      <c r="T119" s="76" t="str">
        <f t="shared" si="18"/>
        <v>-- 年齢加算3上限年齢</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6"/>
      <c r="O120" s="76"/>
      <c r="P120" s="76" t="str">
        <f t="shared" si="14"/>
        <v>,age3_kasan_koi_code</v>
      </c>
      <c r="Q120" s="76" t="str">
        <f t="shared" si="15"/>
        <v>TEXT</v>
      </c>
      <c r="R120" s="76" t="str">
        <f t="shared" si="16"/>
        <v/>
      </c>
      <c r="S120" s="76" t="str">
        <f t="shared" si="17"/>
        <v/>
      </c>
      <c r="T120" s="76" t="str">
        <f t="shared" si="18"/>
        <v>-- 年齢加算3注加算診療行為コード</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6"/>
      <c r="O121" s="76"/>
      <c r="P121" s="76" t="str">
        <f t="shared" si="14"/>
        <v>,age4_kasan_low</v>
      </c>
      <c r="Q121" s="76" t="str">
        <f t="shared" si="15"/>
        <v>TEXT</v>
      </c>
      <c r="R121" s="76" t="str">
        <f t="shared" si="16"/>
        <v/>
      </c>
      <c r="S121" s="76" t="str">
        <f t="shared" si="17"/>
        <v/>
      </c>
      <c r="T121" s="76" t="str">
        <f t="shared" si="18"/>
        <v>-- 年齢加算4下限年齢</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6"/>
      <c r="O122" s="76"/>
      <c r="P122" s="76" t="str">
        <f t="shared" si="14"/>
        <v>,age4_kasan_up</v>
      </c>
      <c r="Q122" s="76" t="str">
        <f t="shared" si="15"/>
        <v>TEXT</v>
      </c>
      <c r="R122" s="76" t="str">
        <f t="shared" si="16"/>
        <v/>
      </c>
      <c r="S122" s="76" t="str">
        <f t="shared" si="17"/>
        <v/>
      </c>
      <c r="T122" s="76" t="str">
        <f t="shared" si="18"/>
        <v>-- 年齢加算4上限年齢</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6"/>
      <c r="O123" s="76"/>
      <c r="P123" s="76" t="str">
        <f t="shared" si="14"/>
        <v>,age4_kasan_koi_code</v>
      </c>
      <c r="Q123" s="76" t="str">
        <f t="shared" si="15"/>
        <v>TEXT</v>
      </c>
      <c r="R123" s="76" t="str">
        <f t="shared" si="16"/>
        <v/>
      </c>
      <c r="S123" s="76" t="str">
        <f t="shared" si="17"/>
        <v/>
      </c>
      <c r="T123" s="76" t="str">
        <f t="shared" si="18"/>
        <v>-- 年齢加算4注加算診療行為コード</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6"/>
      <c r="O124" s="76"/>
      <c r="P124" s="76" t="str">
        <f t="shared" si="14"/>
        <v>,ido_kanren</v>
      </c>
      <c r="Q124" s="76" t="str">
        <f t="shared" si="15"/>
        <v>TEXT</v>
      </c>
      <c r="R124" s="76" t="str">
        <f t="shared" si="16"/>
        <v/>
      </c>
      <c r="S124" s="76" t="str">
        <f t="shared" si="17"/>
        <v/>
      </c>
      <c r="T124" s="76" t="str">
        <f t="shared" si="18"/>
        <v>-- 異動関連</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6"/>
      <c r="O125" s="76"/>
      <c r="P125" s="76" t="str">
        <f t="shared" si="14"/>
        <v>,kihon_kanji_name</v>
      </c>
      <c r="Q125" s="76" t="str">
        <f t="shared" si="15"/>
        <v>TEXT</v>
      </c>
      <c r="R125" s="76" t="str">
        <f t="shared" si="16"/>
        <v/>
      </c>
      <c r="S125" s="76" t="str">
        <f t="shared" si="17"/>
        <v/>
      </c>
      <c r="T125" s="76" t="str">
        <f t="shared" si="18"/>
        <v>-- 基本漢字名称</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6"/>
      <c r="O126" s="76"/>
      <c r="P126" s="76" t="str">
        <f t="shared" si="14"/>
        <v>,fukubiko_naishikyo_kasan</v>
      </c>
      <c r="Q126" s="76" t="str">
        <f t="shared" si="15"/>
        <v>TEXT</v>
      </c>
      <c r="R126" s="76" t="str">
        <f t="shared" si="16"/>
        <v/>
      </c>
      <c r="S126" s="76" t="str">
        <f t="shared" si="17"/>
        <v/>
      </c>
      <c r="T126" s="76" t="str">
        <f t="shared" si="18"/>
        <v>-- 副鼻腔手術用内視鏡加算</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6"/>
      <c r="O127" s="76"/>
      <c r="P127" s="76" t="str">
        <f t="shared" si="14"/>
        <v>,fukubiko_kotsunanbu_kasan</v>
      </c>
      <c r="Q127" s="76" t="str">
        <f t="shared" si="15"/>
        <v>TEXT</v>
      </c>
      <c r="R127" s="76" t="str">
        <f t="shared" si="16"/>
        <v/>
      </c>
      <c r="S127" s="76" t="str">
        <f t="shared" si="17"/>
        <v/>
      </c>
      <c r="T127" s="76" t="str">
        <f t="shared" si="18"/>
        <v>-- 副鼻腔手術用骨軟部組織切除機器加算</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6"/>
      <c r="O128" s="76"/>
      <c r="P128" s="76" t="str">
        <f t="shared" si="14"/>
        <v>,long_masui_kasan</v>
      </c>
      <c r="Q128" s="76" t="str">
        <f t="shared" si="15"/>
        <v>TEXT</v>
      </c>
      <c r="R128" s="76" t="str">
        <f t="shared" si="16"/>
        <v/>
      </c>
      <c r="S128" s="76" t="str">
        <f t="shared" si="17"/>
        <v/>
      </c>
      <c r="T128" s="76" t="str">
        <f t="shared" si="18"/>
        <v>-- 長時間麻酔管理加算</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6"/>
      <c r="O129" s="76"/>
      <c r="P129" s="76" t="str">
        <f t="shared" si="14"/>
        <v>,tensu_kubun_no</v>
      </c>
      <c r="Q129" s="76" t="str">
        <f t="shared" si="15"/>
        <v>TEXT</v>
      </c>
      <c r="R129" s="76" t="str">
        <f t="shared" si="16"/>
        <v/>
      </c>
      <c r="S129" s="76" t="str">
        <f t="shared" si="17"/>
        <v/>
      </c>
      <c r="T129" s="76" t="str">
        <f t="shared" si="18"/>
        <v>-- 点数表区分番号</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6"/>
      <c r="O130" s="76"/>
      <c r="P130" s="76" t="str">
        <f t="shared" si="14"/>
        <v>,monitoring_kasan</v>
      </c>
      <c r="Q130" s="76" t="str">
        <f t="shared" si="15"/>
        <v>TEXT</v>
      </c>
      <c r="R130" s="76" t="str">
        <f t="shared" si="16"/>
        <v/>
      </c>
      <c r="S130" s="76" t="str">
        <f t="shared" si="17"/>
        <v/>
      </c>
      <c r="T130" s="76" t="str">
        <f t="shared" si="18"/>
        <v>-- モニタリング加算</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6"/>
      <c r="O131" s="76"/>
      <c r="P131" s="76" t="str">
        <f t="shared" si="14"/>
        <v>,toketsu_hozon_kasan</v>
      </c>
      <c r="Q131" s="76" t="str">
        <f t="shared" si="15"/>
        <v>TEXT</v>
      </c>
      <c r="R131" s="76" t="str">
        <f t="shared" si="16"/>
        <v/>
      </c>
      <c r="S131" s="76" t="str">
        <f t="shared" si="17"/>
        <v/>
      </c>
      <c r="T131" s="76" t="str">
        <f t="shared" si="18"/>
        <v>-- 凍結保存同種組織加算</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6"/>
      <c r="O132" s="76"/>
      <c r="P132" s="76" t="str">
        <f t="shared" si="14"/>
        <v>,akusei_shuyo_kasan</v>
      </c>
      <c r="Q132" s="76" t="str">
        <f t="shared" si="15"/>
        <v>TEXT</v>
      </c>
      <c r="R132" s="76" t="str">
        <f t="shared" si="16"/>
        <v/>
      </c>
      <c r="S132" s="76" t="str">
        <f t="shared" si="17"/>
        <v/>
      </c>
      <c r="T132" s="76" t="str">
        <f t="shared" si="18"/>
        <v>-- 悪性腫瘍病理組織標本加算</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6"/>
      <c r="O133" s="76"/>
      <c r="P133" s="76" t="str">
        <f t="shared" si="14"/>
        <v>,sogai_kotei_kasan</v>
      </c>
      <c r="Q133" s="76" t="str">
        <f t="shared" si="15"/>
        <v>TEXT</v>
      </c>
      <c r="R133" s="76" t="str">
        <f t="shared" si="16"/>
        <v/>
      </c>
      <c r="S133" s="76" t="str">
        <f t="shared" si="17"/>
        <v/>
      </c>
      <c r="T133" s="76" t="str">
        <f t="shared" si="18"/>
        <v>-- 創外固定器加算</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6"/>
      <c r="O134" s="76"/>
      <c r="P134" s="76" t="str">
        <f t="shared" si="14"/>
        <v>,chouonpa_sessaku_kasan</v>
      </c>
      <c r="Q134" s="76" t="str">
        <f t="shared" si="15"/>
        <v>TEXT</v>
      </c>
      <c r="R134" s="76" t="str">
        <f t="shared" si="16"/>
        <v/>
      </c>
      <c r="S134" s="76" t="str">
        <f t="shared" si="17"/>
        <v/>
      </c>
      <c r="T134" s="76" t="str">
        <f t="shared" si="18"/>
        <v>-- 超音波切削機器加算</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6"/>
      <c r="O135" s="76"/>
      <c r="P135" s="76" t="str">
        <f t="shared" si="14"/>
        <v>,sashin_jiheisa_kasan</v>
      </c>
      <c r="Q135" s="76" t="str">
        <f t="shared" si="15"/>
        <v>TEXT</v>
      </c>
      <c r="R135" s="76" t="str">
        <f t="shared" si="16"/>
        <v/>
      </c>
      <c r="S135" s="76" t="str">
        <f t="shared" si="17"/>
        <v/>
      </c>
      <c r="T135" s="76" t="str">
        <f t="shared" si="18"/>
        <v>-- 左心耳閉鎖術併施加算</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6"/>
      <c r="O136" s="76"/>
      <c r="P136" s="76" t="str">
        <f t="shared" si="14"/>
        <v>,gairai_kansen_taisaku_koujo_kubun</v>
      </c>
      <c r="Q136" s="76" t="str">
        <f t="shared" si="15"/>
        <v>TEXT</v>
      </c>
      <c r="R136" s="76" t="str">
        <f t="shared" si="16"/>
        <v/>
      </c>
      <c r="S136" s="76" t="str">
        <f t="shared" si="17"/>
        <v/>
      </c>
      <c r="T136" s="76" t="str">
        <f t="shared" si="18"/>
        <v>-- 外来感染対策向上加算等</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6"/>
      <c r="O137" s="76"/>
      <c r="P137" s="76" t="str">
        <f t="shared" si="14"/>
        <v>,jibi_inko_nyuyoji_kasan</v>
      </c>
      <c r="Q137" s="76" t="str">
        <f t="shared" si="15"/>
        <v>TEXT</v>
      </c>
      <c r="R137" s="76" t="str">
        <f t="shared" si="16"/>
        <v/>
      </c>
      <c r="S137" s="76" t="str">
        <f t="shared" si="17"/>
        <v/>
      </c>
      <c r="T137" s="76" t="str">
        <f t="shared" si="18"/>
        <v>-- 耳鼻咽喉科乳幼児処置加算</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6"/>
      <c r="O138" s="76"/>
      <c r="P138" s="76" t="str">
        <f t="shared" si="14"/>
        <v>,jibi_inko_shoni_koukin_tekisei_shiyou_shien_kasan</v>
      </c>
      <c r="Q138" s="76" t="str">
        <f t="shared" si="15"/>
        <v>TEXT</v>
      </c>
      <c r="R138" s="76" t="str">
        <f t="shared" si="16"/>
        <v/>
      </c>
      <c r="S138" s="76" t="str">
        <f t="shared" si="17"/>
        <v/>
      </c>
      <c r="T138" s="76" t="str">
        <f t="shared" si="18"/>
        <v>-- 耳鼻咽喉科小児抗菌薬適正使用支援加算</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6"/>
      <c r="O139" s="76"/>
      <c r="P139" s="76" t="str">
        <f t="shared" si="14"/>
        <v>,sekkaisou_kyokusho_inatsu_heisa_shochi_kasan</v>
      </c>
      <c r="Q139" s="76" t="str">
        <f t="shared" si="15"/>
        <v>TEXT</v>
      </c>
      <c r="R139" s="76" t="str">
        <f t="shared" si="16"/>
        <v/>
      </c>
      <c r="S139" s="76" t="str">
        <f t="shared" si="17"/>
        <v/>
      </c>
      <c r="T139" s="76" t="str">
        <f t="shared" si="18"/>
        <v>-- 切開創局所陰圧閉鎖処置機器加算</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6"/>
      <c r="O140" s="76"/>
      <c r="P140" s="76" t="str">
        <f t="shared" si="14"/>
        <v>,reserve5</v>
      </c>
      <c r="Q140" s="76" t="str">
        <f t="shared" si="15"/>
        <v>TEXT</v>
      </c>
      <c r="R140" s="76" t="str">
        <f t="shared" si="16"/>
        <v/>
      </c>
      <c r="S140" s="76" t="str">
        <f t="shared" si="17"/>
        <v/>
      </c>
      <c r="T140" s="76" t="str">
        <f t="shared" si="18"/>
        <v>-- 予備5</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6"/>
      <c r="O141" s="76"/>
      <c r="P141" s="76" t="str">
        <f t="shared" si="14"/>
        <v>,reserve6</v>
      </c>
      <c r="Q141" s="76" t="str">
        <f t="shared" si="15"/>
        <v>TEXT</v>
      </c>
      <c r="R141" s="76" t="str">
        <f t="shared" si="16"/>
        <v/>
      </c>
      <c r="S141" s="76" t="str">
        <f t="shared" si="17"/>
        <v/>
      </c>
      <c r="T141" s="76" t="str">
        <f t="shared" si="18"/>
        <v>-- 予備6</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6"/>
      <c r="O142" s="76"/>
      <c r="P142" s="76" t="str">
        <f t="shared" si="14"/>
        <v>,reserve7</v>
      </c>
      <c r="Q142" s="76" t="str">
        <f t="shared" si="15"/>
        <v>TEXT</v>
      </c>
      <c r="R142" s="76" t="str">
        <f t="shared" si="16"/>
        <v/>
      </c>
      <c r="S142" s="76" t="str">
        <f t="shared" si="17"/>
        <v/>
      </c>
      <c r="T142" s="76" t="str">
        <f t="shared" si="18"/>
        <v>-- 予備7</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6"/>
      <c r="O143" s="76"/>
      <c r="P143" s="76" t="str">
        <f t="shared" si="14"/>
        <v>,reserve8</v>
      </c>
      <c r="Q143" s="76" t="str">
        <f t="shared" si="15"/>
        <v>TEXT</v>
      </c>
      <c r="R143" s="76" t="str">
        <f t="shared" si="16"/>
        <v/>
      </c>
      <c r="S143" s="76" t="str">
        <f t="shared" si="17"/>
        <v/>
      </c>
      <c r="T143" s="76" t="str">
        <f t="shared" si="18"/>
        <v>-- 予備8</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6"/>
      <c r="O144" s="76"/>
      <c r="P144" s="76" t="str">
        <f t="shared" si="14"/>
        <v>,reserve9</v>
      </c>
      <c r="Q144" s="76" t="str">
        <f t="shared" si="15"/>
        <v>TEXT</v>
      </c>
      <c r="R144" s="76" t="str">
        <f t="shared" si="16"/>
        <v/>
      </c>
      <c r="S144" s="76" t="str">
        <f t="shared" si="17"/>
        <v/>
      </c>
      <c r="T144" s="76" t="str">
        <f t="shared" si="18"/>
        <v>-- 予備9</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6"/>
      <c r="O145" s="76"/>
      <c r="P145" s="76" t="str">
        <f t="shared" si="14"/>
        <v>,reserve10</v>
      </c>
      <c r="Q145" s="76" t="str">
        <f t="shared" si="15"/>
        <v>TEXT</v>
      </c>
      <c r="R145" s="76" t="str">
        <f t="shared" si="16"/>
        <v/>
      </c>
      <c r="S145" s="76" t="str">
        <f t="shared" si="17"/>
        <v/>
      </c>
      <c r="T145" s="76" t="str">
        <f t="shared" si="18"/>
        <v>-- 予備10</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6"/>
      <c r="O146" s="76"/>
      <c r="P146" s="76" t="str">
        <f t="shared" ref="P146:P162" si="20">IF(B146&lt;&gt;1,","&amp;D146,D146)</f>
        <v>,reserve11</v>
      </c>
      <c r="Q146" s="76" t="str">
        <f t="shared" ref="Q146:Q162" si="21">UPPER(G146)</f>
        <v>TEXT</v>
      </c>
      <c r="R146" s="76" t="str">
        <f t="shared" ref="R146:R162" si="22">IF(H146&lt;&gt;"","default "&amp;IF(G146="text","'"&amp;H146&amp;"'",H146),"")</f>
        <v/>
      </c>
      <c r="S146" s="76" t="str">
        <f t="shared" ref="S146:S162" si="23">IF(I146="○","NOT NULL","")</f>
        <v/>
      </c>
      <c r="T146" s="76" t="str">
        <f t="shared" ref="T146:T162" si="24">"-- "&amp;C146</f>
        <v>-- 予備11</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6"/>
      <c r="O147" s="76"/>
      <c r="P147" s="76" t="str">
        <f t="shared" si="20"/>
        <v>,reserve12</v>
      </c>
      <c r="Q147" s="76" t="str">
        <f t="shared" si="21"/>
        <v>TEXT</v>
      </c>
      <c r="R147" s="76" t="str">
        <f t="shared" si="22"/>
        <v/>
      </c>
      <c r="S147" s="76" t="str">
        <f t="shared" si="23"/>
        <v/>
      </c>
      <c r="T147" s="76" t="str">
        <f t="shared" si="24"/>
        <v>-- 予備12</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6"/>
      <c r="O148" s="76"/>
      <c r="P148" s="76" t="str">
        <f t="shared" si="20"/>
        <v>,reserve13</v>
      </c>
      <c r="Q148" s="76" t="str">
        <f t="shared" si="21"/>
        <v>TEXT</v>
      </c>
      <c r="R148" s="76" t="str">
        <f t="shared" si="22"/>
        <v/>
      </c>
      <c r="S148" s="76" t="str">
        <f t="shared" si="23"/>
        <v/>
      </c>
      <c r="T148" s="76" t="str">
        <f t="shared" si="24"/>
        <v>-- 予備13</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6"/>
      <c r="O149" s="76"/>
      <c r="P149" s="76" t="str">
        <f t="shared" si="20"/>
        <v>,reserve14</v>
      </c>
      <c r="Q149" s="76" t="str">
        <f t="shared" si="21"/>
        <v>TEXT</v>
      </c>
      <c r="R149" s="76" t="str">
        <f t="shared" si="22"/>
        <v/>
      </c>
      <c r="S149" s="76" t="str">
        <f t="shared" si="23"/>
        <v/>
      </c>
      <c r="T149" s="76" t="str">
        <f t="shared" si="24"/>
        <v>-- 予備14</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6"/>
      <c r="O150" s="76"/>
      <c r="P150" s="76" t="str">
        <f t="shared" si="20"/>
        <v>,reserve15</v>
      </c>
      <c r="Q150" s="76" t="str">
        <f t="shared" si="21"/>
        <v>TEXT</v>
      </c>
      <c r="R150" s="76" t="str">
        <f t="shared" si="22"/>
        <v/>
      </c>
      <c r="S150" s="76" t="str">
        <f t="shared" si="23"/>
        <v/>
      </c>
      <c r="T150" s="76" t="str">
        <f t="shared" si="24"/>
        <v>-- 予備15</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6"/>
      <c r="O151" s="76"/>
      <c r="P151" s="76" t="str">
        <f t="shared" si="20"/>
        <v>,reserve16</v>
      </c>
      <c r="Q151" s="76" t="str">
        <f t="shared" si="21"/>
        <v>TEXT</v>
      </c>
      <c r="R151" s="76" t="str">
        <f t="shared" si="22"/>
        <v/>
      </c>
      <c r="S151" s="76" t="str">
        <f t="shared" si="23"/>
        <v/>
      </c>
      <c r="T151" s="76" t="str">
        <f t="shared" si="24"/>
        <v>-- 予備16</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6"/>
      <c r="O152" s="76"/>
      <c r="P152" s="76" t="str">
        <f t="shared" si="20"/>
        <v>,reserve17</v>
      </c>
      <c r="Q152" s="76" t="str">
        <f t="shared" si="21"/>
        <v>TEXT</v>
      </c>
      <c r="R152" s="76" t="str">
        <f t="shared" si="22"/>
        <v/>
      </c>
      <c r="S152" s="76" t="str">
        <f t="shared" si="23"/>
        <v/>
      </c>
      <c r="T152" s="76" t="str">
        <f t="shared" si="24"/>
        <v>-- 予備17</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6"/>
      <c r="O153" s="76"/>
      <c r="P153" s="76" t="str">
        <f t="shared" si="20"/>
        <v>,reserve18</v>
      </c>
      <c r="Q153" s="76" t="str">
        <f t="shared" si="21"/>
        <v>TEXT</v>
      </c>
      <c r="R153" s="76" t="str">
        <f t="shared" si="22"/>
        <v/>
      </c>
      <c r="S153" s="76" t="str">
        <f t="shared" si="23"/>
        <v/>
      </c>
      <c r="T153" s="76" t="str">
        <f t="shared" si="24"/>
        <v>-- 予備18</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6"/>
      <c r="O154" s="76"/>
      <c r="P154" s="76" t="str">
        <f t="shared" si="20"/>
        <v>,reserve19</v>
      </c>
      <c r="Q154" s="76" t="str">
        <f t="shared" si="21"/>
        <v>TEXT</v>
      </c>
      <c r="R154" s="76" t="str">
        <f t="shared" si="22"/>
        <v/>
      </c>
      <c r="S154" s="76" t="str">
        <f t="shared" si="23"/>
        <v/>
      </c>
      <c r="T154" s="76" t="str">
        <f t="shared" si="24"/>
        <v>-- 予備19</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6"/>
      <c r="O155" s="76"/>
      <c r="P155" s="76" t="str">
        <f t="shared" si="20"/>
        <v>,reserve20</v>
      </c>
      <c r="Q155" s="76" t="str">
        <f t="shared" si="21"/>
        <v>TEXT</v>
      </c>
      <c r="R155" s="76" t="str">
        <f t="shared" si="22"/>
        <v/>
      </c>
      <c r="S155" s="76" t="str">
        <f t="shared" si="23"/>
        <v/>
      </c>
      <c r="T155" s="76" t="str">
        <f t="shared" si="24"/>
        <v>-- 予備20</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6"/>
      <c r="O156" s="76"/>
      <c r="P156" s="76" t="str">
        <f t="shared" si="20"/>
        <v>,reserve21</v>
      </c>
      <c r="Q156" s="76" t="str">
        <f t="shared" si="21"/>
        <v>TEXT</v>
      </c>
      <c r="R156" s="76" t="str">
        <f t="shared" si="22"/>
        <v/>
      </c>
      <c r="S156" s="76" t="str">
        <f t="shared" si="23"/>
        <v/>
      </c>
      <c r="T156" s="76" t="str">
        <f t="shared" si="24"/>
        <v>-- 予備21</v>
      </c>
      <c r="U156" s="4"/>
      <c r="AA156" s="4"/>
      <c r="AB156" s="4"/>
      <c r="AC156" s="4"/>
      <c r="AD156" s="4"/>
      <c r="AE156" s="4"/>
      <c r="AF156" s="4"/>
      <c r="AG156" s="4"/>
      <c r="AH156" s="4"/>
      <c r="AI156" s="4"/>
      <c r="AJ156" s="76" t="str">
        <f>IF(E156="○",IF(COUNTA(E$13:E156)=1,"",",")&amp;D156,"")</f>
        <v/>
      </c>
      <c r="AK156" s="4"/>
      <c r="AL156" s="4"/>
      <c r="AM156" s="4"/>
      <c r="AN156" s="4"/>
      <c r="AO156" s="4"/>
      <c r="AP156" s="4"/>
      <c r="AQ156" s="4"/>
      <c r="AR156" s="4"/>
      <c r="AS156" s="76" t="str">
        <f>"COMMENT ON COLUMN "&amp;エンティティ一覧!$O$2&amp;"."&amp;D$8&amp;"."&amp;D156&amp;" IS '"&amp;C156&amp;"';"</f>
        <v>COMMENT ON COLUMN milscm_2023_009.sny_202310_backup_mt_shinryo_koi_fuka.reserve21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6"/>
      <c r="O157" s="76"/>
      <c r="P157" s="76" t="str">
        <f t="shared" si="20"/>
        <v>,reserve22</v>
      </c>
      <c r="Q157" s="76" t="str">
        <f t="shared" si="21"/>
        <v>TEXT</v>
      </c>
      <c r="R157" s="76" t="str">
        <f t="shared" si="22"/>
        <v/>
      </c>
      <c r="S157" s="76" t="str">
        <f t="shared" si="23"/>
        <v/>
      </c>
      <c r="T157" s="76" t="str">
        <f t="shared" si="24"/>
        <v>-- 予備22</v>
      </c>
      <c r="U157" s="4"/>
      <c r="AA157" s="4"/>
      <c r="AB157" s="4"/>
      <c r="AC157" s="4"/>
      <c r="AD157" s="4"/>
      <c r="AE157" s="4"/>
      <c r="AF157" s="4"/>
      <c r="AG157" s="4"/>
      <c r="AH157" s="4"/>
      <c r="AI157" s="4"/>
      <c r="AJ157" s="76" t="str">
        <f>IF(E157="○",IF(COUNTA(E$13:E157)=1,"",",")&amp;D157,"")</f>
        <v/>
      </c>
      <c r="AK157" s="4"/>
      <c r="AL157" s="4"/>
      <c r="AM157" s="4"/>
      <c r="AN157" s="4"/>
      <c r="AO157" s="4"/>
      <c r="AP157" s="4"/>
      <c r="AQ157" s="4"/>
      <c r="AR157" s="4"/>
      <c r="AS157" s="76" t="str">
        <f>"COMMENT ON COLUMN "&amp;エンティティ一覧!$O$2&amp;"."&amp;D$8&amp;"."&amp;D157&amp;" IS '"&amp;C157&amp;"';"</f>
        <v>COMMENT ON COLUMN milscm_2023_009.sny_202310_backup_mt_shinryo_koi_fuka.reserve22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6"/>
      <c r="O158" s="76"/>
      <c r="P158" s="76" t="str">
        <f t="shared" si="20"/>
        <v>,reserve23</v>
      </c>
      <c r="Q158" s="76" t="str">
        <f t="shared" si="21"/>
        <v>TEXT</v>
      </c>
      <c r="R158" s="76" t="str">
        <f t="shared" si="22"/>
        <v/>
      </c>
      <c r="S158" s="76" t="str">
        <f t="shared" si="23"/>
        <v/>
      </c>
      <c r="T158" s="76" t="str">
        <f t="shared" si="24"/>
        <v>-- 予備23</v>
      </c>
      <c r="U158" s="4"/>
      <c r="AA158" s="4"/>
      <c r="AB158" s="4"/>
      <c r="AC158" s="4"/>
      <c r="AD158" s="4"/>
      <c r="AE158" s="4"/>
      <c r="AF158" s="4"/>
      <c r="AG158" s="4"/>
      <c r="AH158" s="4"/>
      <c r="AI158" s="4"/>
      <c r="AJ158" s="76" t="str">
        <f>IF(E158="○",IF(COUNTA(E$13:E158)=1,"",",")&amp;D158,"")</f>
        <v/>
      </c>
      <c r="AK158" s="4"/>
      <c r="AL158" s="4"/>
      <c r="AM158" s="4"/>
      <c r="AN158" s="4"/>
      <c r="AO158" s="4"/>
      <c r="AP158" s="4"/>
      <c r="AQ158" s="4"/>
      <c r="AR158" s="4"/>
      <c r="AS158" s="76" t="str">
        <f>"COMMENT ON COLUMN "&amp;エンティティ一覧!$O$2&amp;"."&amp;D$8&amp;"."&amp;D158&amp;" IS '"&amp;C158&amp;"';"</f>
        <v>COMMENT ON COLUMN milscm_2023_009.sny_202310_backup_mt_shinryo_koi_fuka.reserve23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6"/>
      <c r="O159" s="76"/>
      <c r="P159" s="76" t="str">
        <f t="shared" si="20"/>
        <v>,reserve24</v>
      </c>
      <c r="Q159" s="76" t="str">
        <f t="shared" si="21"/>
        <v>TEXT</v>
      </c>
      <c r="R159" s="76" t="str">
        <f t="shared" si="22"/>
        <v/>
      </c>
      <c r="S159" s="76" t="str">
        <f t="shared" si="23"/>
        <v/>
      </c>
      <c r="T159" s="76" t="str">
        <f t="shared" si="24"/>
        <v>-- 予備24</v>
      </c>
      <c r="U159" s="4"/>
      <c r="AA159" s="4"/>
      <c r="AB159" s="4"/>
      <c r="AC159" s="4"/>
      <c r="AD159" s="4"/>
      <c r="AE159" s="4"/>
      <c r="AF159" s="4"/>
      <c r="AG159" s="4"/>
      <c r="AH159" s="4"/>
      <c r="AI159" s="4"/>
      <c r="AJ159" s="76" t="str">
        <f>IF(E159="○",IF(COUNTA(E$13:E159)=1,"",",")&amp;D159,"")</f>
        <v/>
      </c>
      <c r="AK159" s="4"/>
      <c r="AL159" s="4"/>
      <c r="AM159" s="4"/>
      <c r="AN159" s="4"/>
      <c r="AO159" s="4"/>
      <c r="AP159" s="4"/>
      <c r="AQ159" s="4"/>
      <c r="AR159" s="4"/>
      <c r="AS159" s="76" t="str">
        <f>"COMMENT ON COLUMN "&amp;エンティティ一覧!$O$2&amp;"."&amp;D$8&amp;"."&amp;D159&amp;" IS '"&amp;C159&amp;"';"</f>
        <v>COMMENT ON COLUMN milscm_2023_009.sny_202310_backup_mt_shinryo_koi_fuka.reserve24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6"/>
      <c r="O160" s="76"/>
      <c r="P160" s="76" t="str">
        <f t="shared" si="20"/>
        <v>,reserve25</v>
      </c>
      <c r="Q160" s="76" t="str">
        <f t="shared" si="21"/>
        <v>TEXT</v>
      </c>
      <c r="R160" s="76" t="str">
        <f t="shared" si="22"/>
        <v/>
      </c>
      <c r="S160" s="76" t="str">
        <f t="shared" si="23"/>
        <v/>
      </c>
      <c r="T160" s="76" t="str">
        <f t="shared" si="24"/>
        <v>-- 予備25</v>
      </c>
      <c r="U160" s="4"/>
      <c r="AA160" s="4"/>
      <c r="AB160" s="4"/>
      <c r="AC160" s="4"/>
      <c r="AD160" s="4"/>
      <c r="AE160" s="4"/>
      <c r="AF160" s="4"/>
      <c r="AG160" s="4"/>
      <c r="AH160" s="4"/>
      <c r="AI160" s="4"/>
      <c r="AJ160" s="76" t="str">
        <f>IF(E160="○",IF(COUNTA(E$13:E160)=1,"",",")&amp;D160,"")</f>
        <v/>
      </c>
      <c r="AK160" s="4"/>
      <c r="AL160" s="4"/>
      <c r="AM160" s="4"/>
      <c r="AN160" s="4"/>
      <c r="AO160" s="4"/>
      <c r="AP160" s="4"/>
      <c r="AQ160" s="4"/>
      <c r="AR160" s="4"/>
      <c r="AS160" s="76" t="str">
        <f>"COMMENT ON COLUMN "&amp;エンティティ一覧!$O$2&amp;"."&amp;D$8&amp;"."&amp;D160&amp;" IS '"&amp;C160&amp;"';"</f>
        <v>COMMENT ON COLUMN milscm_2023_009.sny_202310_backup_mt_shinryo_koi_fuka.reserve25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6"/>
      <c r="O161" s="76"/>
      <c r="P161" s="76" t="str">
        <f t="shared" si="20"/>
        <v>,reserve26</v>
      </c>
      <c r="Q161" s="76" t="str">
        <f t="shared" si="21"/>
        <v>TEXT</v>
      </c>
      <c r="R161" s="76" t="str">
        <f t="shared" si="22"/>
        <v/>
      </c>
      <c r="S161" s="76" t="str">
        <f t="shared" si="23"/>
        <v/>
      </c>
      <c r="T161" s="76" t="str">
        <f t="shared" si="24"/>
        <v>-- 予備26</v>
      </c>
      <c r="U161" s="4"/>
      <c r="AA161" s="4"/>
      <c r="AB161" s="4"/>
      <c r="AC161" s="4"/>
      <c r="AD161" s="4"/>
      <c r="AE161" s="4"/>
      <c r="AF161" s="4"/>
      <c r="AG161" s="4"/>
      <c r="AH161" s="4"/>
      <c r="AI161" s="4"/>
      <c r="AJ161" s="76" t="str">
        <f>IF(E161="○",IF(COUNTA(E$13:E161)=1,"",",")&amp;D161,"")</f>
        <v/>
      </c>
      <c r="AK161" s="4"/>
      <c r="AL161" s="4"/>
      <c r="AM161" s="4"/>
      <c r="AN161" s="4"/>
      <c r="AO161" s="4"/>
      <c r="AP161" s="4"/>
      <c r="AQ161" s="4"/>
      <c r="AR161" s="4"/>
      <c r="AS161" s="76" t="str">
        <f>"COMMENT ON COLUMN "&amp;エンティティ一覧!$O$2&amp;"."&amp;D$8&amp;"."&amp;D161&amp;" IS '"&amp;C161&amp;"';"</f>
        <v>COMMENT ON COLUMN milscm_2023_009.sny_202310_backup_mt_shinryo_koi_fuka.reserve26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6"/>
      <c r="O162" s="76"/>
      <c r="P162" s="76" t="str">
        <f t="shared" si="20"/>
        <v>,reserve27</v>
      </c>
      <c r="Q162" s="76" t="str">
        <f t="shared" si="21"/>
        <v>TEXT</v>
      </c>
      <c r="R162" s="76" t="str">
        <f t="shared" si="22"/>
        <v/>
      </c>
      <c r="S162" s="76" t="str">
        <f t="shared" si="23"/>
        <v/>
      </c>
      <c r="T162" s="76" t="str">
        <f t="shared" si="24"/>
        <v>-- 予備27</v>
      </c>
      <c r="U162" s="4"/>
      <c r="AA162" s="4"/>
      <c r="AB162" s="4"/>
      <c r="AC162" s="4"/>
      <c r="AD162" s="4"/>
      <c r="AE162" s="4"/>
      <c r="AF162" s="4"/>
      <c r="AG162" s="4"/>
      <c r="AH162" s="4"/>
      <c r="AI162" s="4"/>
      <c r="AJ162" s="76" t="str">
        <f>IF(E162="○",IF(COUNTA(E$13:E162)=1,"",",")&amp;D162,"")</f>
        <v/>
      </c>
      <c r="AK162" s="4"/>
      <c r="AL162" s="4"/>
      <c r="AM162" s="4"/>
      <c r="AN162" s="4"/>
      <c r="AO162" s="4"/>
      <c r="AP162" s="4"/>
      <c r="AQ162" s="4"/>
      <c r="AR162" s="4"/>
      <c r="AS162" s="76" t="str">
        <f>"COMMENT ON COLUMN "&amp;エンティティ一覧!$O$2&amp;"."&amp;D$8&amp;"."&amp;D162&amp;" IS '"&amp;C162&amp;"';"</f>
        <v>COMMENT ON COLUMN milscm_2023_009.sny_202310_backup_mt_shinryo_koi_fuka.reserve27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4" t="s">
        <v>2403</v>
      </c>
      <c r="N163" s="76"/>
      <c r="O163" s="76"/>
      <c r="P163" s="76" t="str">
        <f t="shared" si="4"/>
        <v>,update_ymd</v>
      </c>
      <c r="Q163" s="76" t="str">
        <f t="shared" si="0"/>
        <v>TEXT</v>
      </c>
      <c r="R163" s="76" t="str">
        <f t="shared" si="1"/>
        <v/>
      </c>
      <c r="S163" s="76" t="str">
        <f t="shared" si="5"/>
        <v>NOT NULL</v>
      </c>
      <c r="T163" s="76" t="str">
        <f t="shared" si="6"/>
        <v>-- データ登録日</v>
      </c>
      <c r="U163" s="4"/>
      <c r="AA163" s="4"/>
      <c r="AB163" s="4"/>
      <c r="AC163" s="4"/>
      <c r="AD163" s="4"/>
      <c r="AE163" s="4"/>
      <c r="AF163" s="4"/>
      <c r="AG163" s="4"/>
      <c r="AH163" s="4"/>
      <c r="AI163" s="4"/>
      <c r="AJ163" s="76" t="str">
        <f>IF(E163="○",IF(COUNTA(E$13:E163)=1,"",",")&amp;D163,"")</f>
        <v>,update_ymd</v>
      </c>
      <c r="AK163" s="4"/>
      <c r="AL163" s="4"/>
      <c r="AM163" s="4"/>
      <c r="AN163" s="4"/>
      <c r="AO163" s="4"/>
      <c r="AP163" s="4"/>
      <c r="AQ163" s="4"/>
      <c r="AR163" s="4"/>
      <c r="AS163" s="76" t="str">
        <f>"COMMENT ON COLUMN "&amp;エンティティ一覧!$O$2&amp;"."&amp;D$8&amp;"."&amp;D163&amp;" IS '"&amp;C163&amp;"';"</f>
        <v>COMMENT ON COLUMN milscm_2023_009.sny_202310_backup_mt_shinryo_koi_fuka.update_ymd IS 'データ登録日';</v>
      </c>
    </row>
    <row r="164" spans="1:52">
      <c r="L164" s="25"/>
      <c r="M164" s="25"/>
      <c r="N164" s="76" t="s">
        <v>142</v>
      </c>
      <c r="O164" s="76"/>
      <c r="P164" s="76"/>
      <c r="Q164" s="76"/>
      <c r="R164" s="76"/>
      <c r="S164" s="76"/>
      <c r="T164" s="76"/>
      <c r="V164" s="25"/>
      <c r="W164" s="25"/>
      <c r="X164" s="25"/>
      <c r="Y164" s="25"/>
      <c r="Z164" s="25"/>
      <c r="AJ164" s="76"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ENT_01_A3-16</v>
      </c>
      <c r="E6" s="234"/>
      <c r="F6" s="234"/>
      <c r="G6" s="234"/>
      <c r="H6" s="234"/>
      <c r="I6" s="234"/>
      <c r="J6" s="235"/>
    </row>
    <row r="7" spans="1:45">
      <c r="B7" s="223" t="s">
        <v>115</v>
      </c>
      <c r="C7" s="224"/>
      <c r="D7" s="225" t="s">
        <v>2404</v>
      </c>
      <c r="E7" s="226"/>
      <c r="F7" s="226"/>
      <c r="G7" s="226"/>
      <c r="H7" s="226"/>
      <c r="I7" s="226"/>
      <c r="J7" s="227"/>
    </row>
    <row r="8" spans="1:45">
      <c r="B8" s="223" t="s">
        <v>116</v>
      </c>
      <c r="C8" s="224"/>
      <c r="D8" s="225" t="str">
        <f>エンティティ一覧!AE2&amp;"_"&amp;D5&amp;"_mt_shori_shisetsu"</f>
        <v>sny_202310_backup_mt_shori_shisetsu</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milscm_2023_009.sny_202310_backup_mt_shori_shisetsu;</v>
      </c>
      <c r="O10" s="76"/>
      <c r="P10" s="76"/>
      <c r="Q10" s="76"/>
      <c r="R10" s="76"/>
      <c r="S10" s="76"/>
      <c r="T10" s="76"/>
      <c r="AJ10" s="76" t="str">
        <f>"ALTER TABLE ONLY "&amp;エンティティ一覧!$O$2&amp;"."&amp;D$8</f>
        <v>ALTER TABLE ONLY milscm_2023_009.sny_202310_backup_mt_shori_shisetsu</v>
      </c>
      <c r="AS10" s="76" t="str">
        <f>"ALTER TABLE "&amp;エンティティ一覧!$O$2&amp;"."&amp;D$8&amp;" OWNER TO pgmisgrp1;"</f>
        <v>ALTER TABLE milscm_2023_009.sny_202310_backup_mt_shori_shisetsu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milscm_2023_009.sny_202310_backup_mt_shori_shisetsu</v>
      </c>
      <c r="O11" s="76"/>
      <c r="P11" s="76"/>
      <c r="Q11" s="76"/>
      <c r="R11" s="76"/>
      <c r="S11" s="76"/>
      <c r="T11" s="76"/>
      <c r="AJ11" s="76" t="str">
        <f>"ADD CONSTRAINT "&amp;D$8&amp;"_pkey PRIMARY KEY"</f>
        <v>ADD CONSTRAINT sny_202310_backup_mt_shori_shisetsu_pkey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6"/>
      <c r="O13" s="76"/>
      <c r="P13" s="76" t="str">
        <f>IF(B13&lt;&gt;1,","&amp;D13,D13)</f>
        <v>facility_id</v>
      </c>
      <c r="Q13" s="76" t="str">
        <f t="shared" ref="Q13:Q22" si="0">UPPER(G13)</f>
        <v>TEXT</v>
      </c>
      <c r="R13" s="76" t="str">
        <f t="shared" ref="R13:R22"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milscm_2023_009.sny_202310_backup_mt_shori_shisetsu.facility_id IS '施設ID';</v>
      </c>
    </row>
    <row r="14" spans="1:45" s="25" customFormat="1">
      <c r="A14" s="4"/>
      <c r="B14" s="21">
        <f t="shared" ref="B14:B21" si="2">ROW()-12</f>
        <v>2</v>
      </c>
      <c r="C14" s="6" t="s">
        <v>2406</v>
      </c>
      <c r="D14" s="6" t="s">
        <v>2407</v>
      </c>
      <c r="E14" s="8"/>
      <c r="F14" s="7" t="s">
        <v>865</v>
      </c>
      <c r="G14" s="7" t="str">
        <f t="shared" ref="G14:G22" si="3">IF(F14="フラグ","boolean",IF(F14="文字列","text",IF(F14="整数","integer",IF(F14="実数","numeric",""))))</f>
        <v>text</v>
      </c>
      <c r="H14" s="26"/>
      <c r="I14" s="10" t="s">
        <v>127</v>
      </c>
      <c r="J14" s="11" t="s">
        <v>2425</v>
      </c>
      <c r="M14" s="4"/>
      <c r="N14" s="76"/>
      <c r="O14" s="76"/>
      <c r="P14" s="76" t="str">
        <f t="shared" ref="P14:P22" si="4">IF(B14&lt;&gt;1,","&amp;D14,D14)</f>
        <v>,facility_id_mml</v>
      </c>
      <c r="Q14" s="76" t="str">
        <f t="shared" si="0"/>
        <v>TEXT</v>
      </c>
      <c r="R14" s="76" t="str">
        <f t="shared" si="1"/>
        <v/>
      </c>
      <c r="S14" s="76" t="str">
        <f t="shared" ref="S14:S22" si="5">IF(I14="○","NOT NULL","")</f>
        <v>NOT NULL</v>
      </c>
      <c r="T14" s="76" t="str">
        <f t="shared" ref="T14:T22"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6"/>
      <c r="O16" s="76"/>
      <c r="P16" s="76" t="str">
        <f t="shared" si="4"/>
        <v>,opt_out_ymd</v>
      </c>
      <c r="Q16" s="76" t="str">
        <f t="shared" si="0"/>
        <v>TEXT</v>
      </c>
      <c r="R16" s="76" t="str">
        <f t="shared" si="1"/>
        <v/>
      </c>
      <c r="S16" s="76" t="str">
        <f t="shared" si="5"/>
        <v/>
      </c>
      <c r="T16" s="76" t="str">
        <f t="shared" si="6"/>
        <v>-- オプトアウト通知開始年月日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6"/>
      <c r="O17" s="76"/>
      <c r="P17" s="76" t="str">
        <f t="shared" si="4"/>
        <v>,group_id_edit_kubun</v>
      </c>
      <c r="Q17" s="76" t="str">
        <f t="shared" si="0"/>
        <v>TEXT</v>
      </c>
      <c r="R17" s="76" t="str">
        <f t="shared" si="1"/>
        <v/>
      </c>
      <c r="S17" s="76" t="str">
        <f t="shared" si="5"/>
        <v/>
      </c>
      <c r="T17" s="76" t="str">
        <f t="shared" si="6"/>
        <v>-- 紐付けID編集区分</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milscm_2023_009.sny_202310_backup_mt_shori_shisetsu.group_id_edit_kubun IS '紐付けID編集区分';</v>
      </c>
    </row>
    <row r="18" spans="1:52" s="25" customFormat="1" ht="34.799999999999997">
      <c r="A18" s="4"/>
      <c r="B18" s="21">
        <f t="shared" si="2"/>
        <v>6</v>
      </c>
      <c r="C18" s="6" t="s">
        <v>2414</v>
      </c>
      <c r="D18" s="6" t="s">
        <v>2415</v>
      </c>
      <c r="E18" s="8"/>
      <c r="F18" s="7" t="s">
        <v>865</v>
      </c>
      <c r="G18" s="7" t="str">
        <f t="shared" ref="G18:G20" si="7">IF(F18="フラグ","boolean",IF(F18="文字列","text",IF(F18="整数","integer",IF(F18="実数","numeric",""))))</f>
        <v>text</v>
      </c>
      <c r="H18" s="26"/>
      <c r="I18" s="10"/>
      <c r="J18" s="11" t="s">
        <v>2427</v>
      </c>
      <c r="M18" s="4"/>
      <c r="N18" s="76"/>
      <c r="O18" s="76"/>
      <c r="P18" s="76" t="str">
        <f t="shared" ref="P18:P20" si="8">IF(B18&lt;&gt;1,","&amp;D18,D18)</f>
        <v>,facility_contract_start</v>
      </c>
      <c r="Q18" s="76" t="str">
        <f t="shared" ref="Q18:Q20" si="9">UPPER(G18)</f>
        <v>TEXT</v>
      </c>
      <c r="R18" s="76" t="str">
        <f t="shared" ref="R18:R20" si="10">IF(H18&lt;&gt;"","default "&amp;IF(G18="text","'"&amp;H18&amp;"'",H18),"")</f>
        <v/>
      </c>
      <c r="S18" s="76" t="str">
        <f t="shared" ref="S18:S20" si="11">IF(I18="○","NOT NULL","")</f>
        <v/>
      </c>
      <c r="T18" s="76" t="str">
        <f t="shared" ref="T18:T20" si="12">"-- "&amp;C18</f>
        <v>-- 施設データ提供開始日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milscm_2023_009.sny_202310_backup_mt_shori_shisetsu.facility_contract_start IS '施設データ提供開始日';</v>
      </c>
    </row>
    <row r="19" spans="1:52" s="25" customFormat="1" ht="69.599999999999994">
      <c r="A19" s="4"/>
      <c r="B19" s="21">
        <f t="shared" si="2"/>
        <v>7</v>
      </c>
      <c r="C19" s="6" t="s">
        <v>2416</v>
      </c>
      <c r="D19" s="6" t="s">
        <v>2417</v>
      </c>
      <c r="E19" s="8"/>
      <c r="F19" s="7" t="s">
        <v>865</v>
      </c>
      <c r="G19" s="7" t="str">
        <f t="shared" si="7"/>
        <v>text</v>
      </c>
      <c r="H19" s="26"/>
      <c r="I19" s="10"/>
      <c r="J19" s="11" t="s">
        <v>2428</v>
      </c>
      <c r="M19" s="4"/>
      <c r="N19" s="76"/>
      <c r="O19" s="76"/>
      <c r="P19" s="76" t="str">
        <f t="shared" si="8"/>
        <v>,facility_contract_end</v>
      </c>
      <c r="Q19" s="76" t="str">
        <f t="shared" si="9"/>
        <v>TEXT</v>
      </c>
      <c r="R19" s="76" t="str">
        <f t="shared" si="10"/>
        <v/>
      </c>
      <c r="S19" s="76" t="str">
        <f t="shared" si="11"/>
        <v/>
      </c>
      <c r="T19" s="76" t="str">
        <f t="shared" si="12"/>
        <v>-- 施設データ提供終了日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6"/>
      <c r="O20" s="76"/>
      <c r="P20" s="76" t="str">
        <f t="shared" si="8"/>
        <v>,size</v>
      </c>
      <c r="Q20" s="76" t="str">
        <f t="shared" si="9"/>
        <v>INTEGER</v>
      </c>
      <c r="R20" s="76" t="str">
        <f t="shared" si="10"/>
        <v>default 0</v>
      </c>
      <c r="S20" s="76" t="str">
        <f t="shared" si="11"/>
        <v/>
      </c>
      <c r="T20" s="76" t="str">
        <f t="shared" si="12"/>
        <v>-- 施設規模</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6"/>
      <c r="O21" s="76"/>
      <c r="P21" s="76" t="str">
        <f t="shared" si="4"/>
        <v>,shori_f</v>
      </c>
      <c r="Q21" s="76" t="str">
        <f t="shared" si="0"/>
        <v>BOOLEAN</v>
      </c>
      <c r="R21" s="76" t="str">
        <f t="shared" si="1"/>
        <v>default TRUE</v>
      </c>
      <c r="S21" s="76" t="str">
        <f t="shared" si="5"/>
        <v>NOT NULL</v>
      </c>
      <c r="T21" s="76" t="str">
        <f t="shared" si="6"/>
        <v>-- データ取得対象フラグ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4" t="s">
        <v>2432</v>
      </c>
      <c r="N22" s="76"/>
      <c r="O22" s="76"/>
      <c r="P22" s="76" t="str">
        <f t="shared" si="4"/>
        <v>,feasibility_f</v>
      </c>
      <c r="Q22" s="76" t="str">
        <f t="shared" si="0"/>
        <v>BOOLEAN</v>
      </c>
      <c r="R22" s="76" t="str">
        <f t="shared" si="1"/>
        <v>default FALSE</v>
      </c>
      <c r="S22" s="76" t="str">
        <f t="shared" si="5"/>
        <v>NOT NULL</v>
      </c>
      <c r="T22" s="76" t="str">
        <f t="shared" si="6"/>
        <v>-- フィジビリティ対象フラグ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milscm_2023_009.sny_202310_backup_mt_shori_shisetsu.feasibility_f IS 'フィジビリティ対象フラグ';</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ENT_01_A3-17</v>
      </c>
      <c r="E6" s="234"/>
      <c r="F6" s="234"/>
      <c r="G6" s="234"/>
      <c r="H6" s="234"/>
      <c r="I6" s="234"/>
      <c r="J6" s="235"/>
    </row>
    <row r="7" spans="1:45">
      <c r="B7" s="223" t="s">
        <v>115</v>
      </c>
      <c r="C7" s="224"/>
      <c r="D7" s="225" t="s">
        <v>2433</v>
      </c>
      <c r="E7" s="226"/>
      <c r="F7" s="226"/>
      <c r="G7" s="226"/>
      <c r="H7" s="226"/>
      <c r="I7" s="226"/>
      <c r="J7" s="227"/>
    </row>
    <row r="8" spans="1:45">
      <c r="B8" s="223" t="s">
        <v>116</v>
      </c>
      <c r="C8" s="224"/>
      <c r="D8" s="225" t="str">
        <f>エンティティ一覧!AE2&amp;"_"&amp;D5&amp;"_mt_shori_shisetsu_manage"</f>
        <v>sny_202310_backup_mt_shori_shisetsu_manage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milscm_2023_009.sny_202310_backup_mt_shori_shisetsu_manage;</v>
      </c>
      <c r="O10" s="76"/>
      <c r="P10" s="76"/>
      <c r="Q10" s="76"/>
      <c r="R10" s="76"/>
      <c r="S10" s="76"/>
      <c r="T10" s="76"/>
      <c r="AJ10" s="76" t="str">
        <f>"ALTER TABLE ONLY "&amp;エンティティ一覧!$O$2&amp;"."&amp;D$8</f>
        <v>ALTER TABLE ONLY milscm_2023_009.sny_202310_backup_mt_shori_shisetsu_manage</v>
      </c>
      <c r="AS10" s="76" t="str">
        <f>"ALTER TABLE "&amp;エンティティ一覧!$O$2&amp;"."&amp;D$8&amp;" OWNER TO pgmisgrp1;"</f>
        <v>ALTER TABLE milscm_2023_009.sny_202310_backup_mt_shori_shisetsu_manage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milscm_2023_009.sny_202310_backup_mt_shori_shisetsu_manage</v>
      </c>
      <c r="O11" s="76"/>
      <c r="P11" s="76"/>
      <c r="Q11" s="76"/>
      <c r="R11" s="76"/>
      <c r="S11" s="76"/>
      <c r="T11" s="76"/>
      <c r="AJ11" s="76" t="str">
        <f>"ADD CONSTRAINT "&amp;D$8&amp;"_pkey PRIMARY KEY"</f>
        <v>ADD CONSTRAINT sny_202310_backup_mt_shori_shisetsu_manage_pkey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6"/>
      <c r="O13" s="76"/>
      <c r="P13" s="76" t="str">
        <f>IF(B13&lt;&gt;1,","&amp;D13,D13)</f>
        <v>facility_id</v>
      </c>
      <c r="Q13" s="76" t="str">
        <f t="shared" ref="Q13:Q18" si="0">UPPER(G13)</f>
        <v>TEXT</v>
      </c>
      <c r="R13" s="76" t="str">
        <f t="shared" ref="R13:R18"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milscm_2023_009.sny_202310_backup_mt_shori_shisetsu_manage.facility_id IS '施設ID';</v>
      </c>
    </row>
    <row r="14" spans="1:45" s="25" customFormat="1" ht="34.799999999999997">
      <c r="A14" s="4"/>
      <c r="B14" s="21">
        <f t="shared" ref="B14:B17" si="2">ROW()-12</f>
        <v>2</v>
      </c>
      <c r="C14" s="6" t="s">
        <v>2414</v>
      </c>
      <c r="D14" s="6" t="s">
        <v>2415</v>
      </c>
      <c r="E14" s="8"/>
      <c r="F14" s="7" t="s">
        <v>865</v>
      </c>
      <c r="G14" s="7" t="str">
        <f t="shared" ref="G14:G18" si="3">IF(F14="フラグ","boolean",IF(F14="文字列","text",IF(F14="整数","integer",IF(F14="実数","numeric",""))))</f>
        <v>text</v>
      </c>
      <c r="H14" s="26"/>
      <c r="I14" s="10"/>
      <c r="J14" s="11" t="s">
        <v>2427</v>
      </c>
      <c r="M14" s="4"/>
      <c r="N14" s="76"/>
      <c r="O14" s="76"/>
      <c r="P14" s="76" t="str">
        <f t="shared" ref="P14:P18" si="4">IF(B14&lt;&gt;1,","&amp;D14,D14)</f>
        <v>,facility_contract_start</v>
      </c>
      <c r="Q14" s="76" t="str">
        <f t="shared" si="0"/>
        <v>TEXT</v>
      </c>
      <c r="R14" s="76" t="str">
        <f t="shared" si="1"/>
        <v/>
      </c>
      <c r="S14" s="76" t="str">
        <f t="shared" ref="S14:S18" si="5">IF(I14="○","NOT NULL","")</f>
        <v/>
      </c>
      <c r="T14" s="76" t="str">
        <f t="shared" ref="T14:T18" si="6">"-- "&amp;C14</f>
        <v>-- 施設データ提供開始日</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milscm_2023_009.sny_202310_backup_mt_shori_shisetsu_manage.facility_contract_start IS '施設データ提供開始日';</v>
      </c>
    </row>
    <row r="15" spans="1:45" s="25" customFormat="1" ht="69.599999999999994">
      <c r="A15" s="4"/>
      <c r="B15" s="21">
        <f t="shared" si="2"/>
        <v>3</v>
      </c>
      <c r="C15" s="6" t="s">
        <v>2416</v>
      </c>
      <c r="D15" s="6" t="s">
        <v>2417</v>
      </c>
      <c r="E15" s="8"/>
      <c r="F15" s="7" t="s">
        <v>865</v>
      </c>
      <c r="G15" s="7" t="str">
        <f t="shared" si="3"/>
        <v>text</v>
      </c>
      <c r="H15" s="26"/>
      <c r="I15" s="10"/>
      <c r="J15" s="11" t="s">
        <v>2428</v>
      </c>
      <c r="M15" s="4"/>
      <c r="N15" s="76"/>
      <c r="O15" s="76"/>
      <c r="P15" s="76" t="str">
        <f t="shared" si="4"/>
        <v>,facility_contract_end</v>
      </c>
      <c r="Q15" s="76" t="str">
        <f t="shared" si="0"/>
        <v>TEXT</v>
      </c>
      <c r="R15" s="76" t="str">
        <f t="shared" si="1"/>
        <v/>
      </c>
      <c r="S15" s="76" t="str">
        <f t="shared" si="5"/>
        <v/>
      </c>
      <c r="T15" s="76" t="str">
        <f t="shared" si="6"/>
        <v>-- 施設データ提供終了日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6"/>
      <c r="O16" s="76"/>
      <c r="P16" s="76" t="str">
        <f t="shared" si="4"/>
        <v>,size</v>
      </c>
      <c r="Q16" s="76" t="str">
        <f t="shared" si="0"/>
        <v>INTEGER</v>
      </c>
      <c r="R16" s="76" t="str">
        <f t="shared" si="1"/>
        <v>default 0</v>
      </c>
      <c r="S16" s="76" t="str">
        <f t="shared" si="5"/>
        <v/>
      </c>
      <c r="T16" s="76" t="str">
        <f t="shared" si="6"/>
        <v>-- 施設規模</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6"/>
      <c r="O17" s="76"/>
      <c r="P17" s="76" t="str">
        <f t="shared" si="4"/>
        <v>,shori_f</v>
      </c>
      <c r="Q17" s="76" t="str">
        <f t="shared" si="0"/>
        <v>BOOLEAN</v>
      </c>
      <c r="R17" s="76" t="str">
        <f t="shared" si="1"/>
        <v>default TRUE</v>
      </c>
      <c r="S17" s="76" t="str">
        <f t="shared" si="5"/>
        <v>NOT NULL</v>
      </c>
      <c r="T17" s="76" t="str">
        <f t="shared" si="6"/>
        <v>-- データ取得対象フラグ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4" t="s">
        <v>2432</v>
      </c>
      <c r="N18" s="76"/>
      <c r="O18" s="76"/>
      <c r="P18" s="76" t="str">
        <f t="shared" si="4"/>
        <v>,feasibility_f</v>
      </c>
      <c r="Q18" s="76" t="str">
        <f t="shared" si="0"/>
        <v>BOOLEAN</v>
      </c>
      <c r="R18" s="76" t="str">
        <f t="shared" si="1"/>
        <v>default FALSE</v>
      </c>
      <c r="S18" s="76" t="str">
        <f t="shared" si="5"/>
        <v>NOT NULL</v>
      </c>
      <c r="T18" s="76" t="str">
        <f t="shared" si="6"/>
        <v>-- フィジビリティ対象フラグ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milscm_2023_009.sny_202310_backup_mt_shori_shisetsu_manage.feasibility_f IS 'フィジビリティ対象フラグ';</v>
      </c>
    </row>
    <row r="19" spans="1:52">
      <c r="L19" s="25"/>
      <c r="M19" s="25"/>
      <c r="N19" s="76" t="s">
        <v>142</v>
      </c>
      <c r="O19" s="76"/>
      <c r="P19" s="76"/>
      <c r="Q19" s="76"/>
      <c r="R19" s="76"/>
      <c r="S19" s="76"/>
      <c r="T19" s="76"/>
      <c r="V19" s="25"/>
      <c r="W19" s="25"/>
      <c r="X19" s="25"/>
      <c r="Y19" s="25"/>
      <c r="Z19" s="25"/>
      <c r="AJ19" s="76"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ENT_01_A3-18</v>
      </c>
      <c r="E6" s="234"/>
      <c r="F6" s="234"/>
      <c r="G6" s="234"/>
      <c r="H6" s="234"/>
      <c r="I6" s="234"/>
      <c r="J6" s="235"/>
    </row>
    <row r="7" spans="1:45">
      <c r="B7" s="223" t="s">
        <v>115</v>
      </c>
      <c r="C7" s="224"/>
      <c r="D7" s="225" t="s">
        <v>3288</v>
      </c>
      <c r="E7" s="226"/>
      <c r="F7" s="226"/>
      <c r="G7" s="226"/>
      <c r="H7" s="226"/>
      <c r="I7" s="226"/>
      <c r="J7" s="227"/>
    </row>
    <row r="8" spans="1:45">
      <c r="B8" s="223" t="s">
        <v>116</v>
      </c>
      <c r="C8" s="224"/>
      <c r="D8" s="225" t="str">
        <f>エンティティ一覧!AE2&amp;"_"&amp;D5&amp;"_mt_iyakuhin"</f>
        <v>sny_202310_backup_mt_iyakuhin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milscm_2023_009.sny_202310_backup_mt_iyakuhin;</v>
      </c>
      <c r="O10" s="76"/>
      <c r="P10" s="76"/>
      <c r="Q10" s="76"/>
      <c r="R10" s="76"/>
      <c r="S10" s="76"/>
      <c r="T10" s="76"/>
      <c r="AJ10" s="76" t="str">
        <f>"ALTER TABLE ONLY "&amp;エンティティ一覧!$O$2&amp;"."&amp;D$8</f>
        <v>ALTER TABLE ONLY milscm_2023_009.sny_202310_backup_mt_iyakuhin</v>
      </c>
      <c r="AS10" s="76" t="str">
        <f>"ALTER TABLE "&amp;エンティティ一覧!$O$2&amp;"."&amp;D$8&amp;" OWNER TO pgmisgrp1;"</f>
        <v>ALTER TABLE milscm_2023_009.sny_202310_backup_mt_iyakuhin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v>
      </c>
      <c r="O11" s="76"/>
      <c r="P11" s="76"/>
      <c r="Q11" s="76"/>
      <c r="R11" s="76"/>
      <c r="S11" s="76"/>
      <c r="T11" s="76"/>
      <c r="AJ11" s="76" t="str">
        <f>"ADD CONSTRAINT "&amp;D$8&amp;"_pkey PRIMARY KEY"</f>
        <v>ADD CONSTRAINT sny_202310_backup_mt_iyakuhin_pkey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 IS 'バックアップ_医薬品マスタ';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34" si="0">UPPER(G13)</f>
        <v>TEXT</v>
      </c>
      <c r="R13" s="76" t="str">
        <f t="shared" ref="R13:R3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milscm_2023_009.sny_202310_backup_mt_iyakuhin.sekoubi IS '施行日';</v>
      </c>
    </row>
    <row r="14" spans="1:45" s="25" customFormat="1">
      <c r="A14" s="4"/>
      <c r="B14" s="21">
        <f t="shared" ref="B14:B33" si="2">ROW()-12</f>
        <v>2</v>
      </c>
      <c r="C14" s="6" t="s">
        <v>3291</v>
      </c>
      <c r="D14" s="6" t="s">
        <v>2051</v>
      </c>
      <c r="E14" s="8" t="s">
        <v>127</v>
      </c>
      <c r="F14" s="7" t="s">
        <v>317</v>
      </c>
      <c r="G14" s="7" t="str">
        <f t="shared" ref="G14:G34" si="3">IF(F14="フラグ","boolean",IF(F14="文字列","text",IF(F14="整数","integer",IF(F14="実数","numeric",""))))</f>
        <v>text</v>
      </c>
      <c r="H14" s="26"/>
      <c r="I14" s="10" t="s">
        <v>127</v>
      </c>
      <c r="J14" s="11" t="s">
        <v>3316</v>
      </c>
      <c r="M14" s="4"/>
      <c r="N14" s="76"/>
      <c r="O14" s="76"/>
      <c r="P14" s="76" t="str">
        <f t="shared" ref="P14:P34" si="4">IF(B14&lt;&gt;1,","&amp;D14,D14)</f>
        <v>,koshin_kubun</v>
      </c>
      <c r="Q14" s="76" t="str">
        <f t="shared" si="0"/>
        <v>TEXT</v>
      </c>
      <c r="R14" s="76" t="str">
        <f t="shared" si="1"/>
        <v/>
      </c>
      <c r="S14" s="76" t="str">
        <f t="shared" ref="S14:S34" si="5">IF(I14="○","NOT NULL","")</f>
        <v>NOT NULL</v>
      </c>
      <c r="T14" s="76" t="str">
        <f t="shared" ref="T14:T3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milscm_2023_009.sny_202310_backup_mt_iyakuhin.iyakuhin_code IS '医薬品コード';</v>
      </c>
    </row>
    <row r="16" spans="1:45" s="25" customFormat="1">
      <c r="A16" s="4"/>
      <c r="B16" s="21">
        <f t="shared" si="2"/>
        <v>4</v>
      </c>
      <c r="C16" s="6" t="s">
        <v>2556</v>
      </c>
      <c r="D16" s="6" t="s">
        <v>3292</v>
      </c>
      <c r="E16" s="8"/>
      <c r="F16" s="7" t="s">
        <v>317</v>
      </c>
      <c r="G16" s="7" t="str">
        <f t="shared" si="3"/>
        <v>text</v>
      </c>
      <c r="H16" s="26"/>
      <c r="I16" s="10" t="s">
        <v>127</v>
      </c>
      <c r="J16" s="11"/>
      <c r="M16" s="4"/>
      <c r="N16" s="76"/>
      <c r="O16" s="76"/>
      <c r="P16" s="76" t="str">
        <f t="shared" si="4"/>
        <v>,yakko_bunrui1_code</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milscm_2023_009.sny_202310_backup_mt_iyakuhin.yakko_bunrui1_code IS '薬効分類1コード';</v>
      </c>
    </row>
    <row r="17" spans="1:45" s="25" customFormat="1">
      <c r="A17" s="4"/>
      <c r="B17" s="21">
        <f t="shared" si="2"/>
        <v>5</v>
      </c>
      <c r="C17" s="6" t="s">
        <v>2558</v>
      </c>
      <c r="D17" s="6" t="s">
        <v>3293</v>
      </c>
      <c r="E17" s="8"/>
      <c r="F17" s="7" t="s">
        <v>317</v>
      </c>
      <c r="G17" s="7" t="str">
        <f t="shared" si="3"/>
        <v>text</v>
      </c>
      <c r="H17" s="26"/>
      <c r="I17" s="10" t="s">
        <v>127</v>
      </c>
      <c r="J17" s="11"/>
      <c r="M17" s="4"/>
      <c r="N17" s="76"/>
      <c r="O17" s="76"/>
      <c r="P17" s="76" t="str">
        <f t="shared" si="4"/>
        <v>,yakko_bunrui2_code</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milscm_2023_009.sny_202310_backup_mt_iyakuhin.yakko_bunrui2_code IS '薬効分類2コード';</v>
      </c>
    </row>
    <row r="18" spans="1:45" s="25" customFormat="1">
      <c r="A18" s="4"/>
      <c r="B18" s="21">
        <f t="shared" si="2"/>
        <v>6</v>
      </c>
      <c r="C18" s="6" t="s">
        <v>2560</v>
      </c>
      <c r="D18" s="6" t="s">
        <v>3294</v>
      </c>
      <c r="E18" s="8"/>
      <c r="F18" s="7" t="s">
        <v>317</v>
      </c>
      <c r="G18" s="7" t="str">
        <f t="shared" ref="G18:G21" si="7">IF(F18="フラグ","boolean",IF(F18="文字列","text",IF(F18="整数","integer",IF(F18="実数","numeric",""))))</f>
        <v>text</v>
      </c>
      <c r="H18" s="26"/>
      <c r="I18" s="10" t="s">
        <v>127</v>
      </c>
      <c r="J18" s="11"/>
      <c r="M18" s="4"/>
      <c r="N18" s="76"/>
      <c r="O18" s="76"/>
      <c r="P18" s="76" t="str">
        <f t="shared" ref="P18:P21" si="8">IF(B18&lt;&gt;1,","&amp;D18,D18)</f>
        <v>,yakko_bunrui3_code</v>
      </c>
      <c r="Q18" s="76" t="str">
        <f t="shared" ref="Q18:Q21" si="9">UPPER(G18)</f>
        <v>TEXT</v>
      </c>
      <c r="R18" s="76" t="str">
        <f t="shared" ref="R18:R21" si="10">IF(H18&lt;&gt;"","default "&amp;IF(G18="text","'"&amp;H18&amp;"'",H18),"")</f>
        <v/>
      </c>
      <c r="S18" s="76" t="str">
        <f t="shared" ref="S18:S21" si="11">IF(I18="○","NOT NULL","")</f>
        <v>NOT NULL</v>
      </c>
      <c r="T18" s="76" t="str">
        <f t="shared" ref="T18:T21" si="12">"-- "&amp;C18</f>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milscm_2023_009.sny_202310_backup_mt_iyakuhin.yakko_bunrui3_code IS '薬効分類3コード';</v>
      </c>
    </row>
    <row r="19" spans="1:45" s="25" customFormat="1">
      <c r="A19" s="4"/>
      <c r="B19" s="21">
        <f t="shared" si="2"/>
        <v>7</v>
      </c>
      <c r="C19" s="6" t="s">
        <v>2562</v>
      </c>
      <c r="D19" s="6" t="s">
        <v>3295</v>
      </c>
      <c r="E19" s="8"/>
      <c r="F19" s="7" t="s">
        <v>317</v>
      </c>
      <c r="G19" s="7" t="str">
        <f t="shared" si="7"/>
        <v>text</v>
      </c>
      <c r="H19" s="26"/>
      <c r="I19" s="10" t="s">
        <v>127</v>
      </c>
      <c r="J19" s="11"/>
      <c r="M19" s="4"/>
      <c r="N19" s="76"/>
      <c r="O19" s="76"/>
      <c r="P19" s="76" t="str">
        <f t="shared" si="8"/>
        <v>,yakko_bunrui4_code</v>
      </c>
      <c r="Q19" s="76" t="str">
        <f t="shared" si="9"/>
        <v>TEXT</v>
      </c>
      <c r="R19" s="76" t="str">
        <f t="shared" si="10"/>
        <v/>
      </c>
      <c r="S19" s="76" t="str">
        <f t="shared" si="11"/>
        <v>NOT NULL</v>
      </c>
      <c r="T19" s="76" t="str">
        <f t="shared" si="12"/>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milscm_2023_009.sny_202310_backup_mt_iyakuhin.yakko_bunrui4_code IS '薬効分類4コード';</v>
      </c>
    </row>
    <row r="20" spans="1:45" s="25" customFormat="1">
      <c r="A20" s="4"/>
      <c r="B20" s="21">
        <f t="shared" si="2"/>
        <v>8</v>
      </c>
      <c r="C20" s="6" t="s">
        <v>2564</v>
      </c>
      <c r="D20" s="6" t="s">
        <v>3296</v>
      </c>
      <c r="E20" s="8"/>
      <c r="F20" s="7" t="s">
        <v>317</v>
      </c>
      <c r="G20" s="7" t="str">
        <f t="shared" si="7"/>
        <v>text</v>
      </c>
      <c r="H20" s="26"/>
      <c r="I20" s="10" t="s">
        <v>127</v>
      </c>
      <c r="J20" s="11"/>
      <c r="M20" s="4"/>
      <c r="N20" s="76"/>
      <c r="O20" s="76"/>
      <c r="P20" s="76" t="str">
        <f t="shared" si="8"/>
        <v>,yakko_bunrui5_code</v>
      </c>
      <c r="Q20" s="76" t="str">
        <f t="shared" si="9"/>
        <v>TEXT</v>
      </c>
      <c r="R20" s="76" t="str">
        <f t="shared" si="10"/>
        <v/>
      </c>
      <c r="S20" s="76" t="str">
        <f t="shared" si="11"/>
        <v>NOT NULL</v>
      </c>
      <c r="T20" s="76" t="str">
        <f t="shared" si="12"/>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milscm_2023_009.sny_202310_backup_mt_iyakuhin.yakko_bunrui5_code IS '薬効分類5コード';</v>
      </c>
    </row>
    <row r="21" spans="1:45" s="25" customFormat="1">
      <c r="A21" s="4"/>
      <c r="B21" s="21">
        <f t="shared" si="2"/>
        <v>9</v>
      </c>
      <c r="C21" s="6" t="s">
        <v>2566</v>
      </c>
      <c r="D21" s="6" t="s">
        <v>3297</v>
      </c>
      <c r="E21" s="8"/>
      <c r="F21" s="7" t="s">
        <v>317</v>
      </c>
      <c r="G21" s="7" t="str">
        <f t="shared" si="7"/>
        <v>text</v>
      </c>
      <c r="H21" s="26"/>
      <c r="I21" s="10" t="s">
        <v>127</v>
      </c>
      <c r="J21" s="11"/>
      <c r="M21" s="4"/>
      <c r="N21" s="76"/>
      <c r="O21" s="76"/>
      <c r="P21" s="76" t="str">
        <f t="shared" si="8"/>
        <v>,seizo_maker_code</v>
      </c>
      <c r="Q21" s="76" t="str">
        <f t="shared" si="9"/>
        <v>TEXT</v>
      </c>
      <c r="R21" s="76" t="str">
        <f t="shared" si="10"/>
        <v/>
      </c>
      <c r="S21" s="76" t="str">
        <f t="shared" si="11"/>
        <v>NOT NULL</v>
      </c>
      <c r="T21" s="76" t="str">
        <f t="shared" si="12"/>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milscm_2023_009.sny_202310_backup_mt_iyakuhin.seizo_maker_code IS '製造メーカコード';</v>
      </c>
    </row>
    <row r="22" spans="1:45" s="25" customFormat="1">
      <c r="A22" s="4"/>
      <c r="B22" s="21">
        <f t="shared" si="2"/>
        <v>10</v>
      </c>
      <c r="C22" s="6" t="s">
        <v>3298</v>
      </c>
      <c r="D22" s="6" t="s">
        <v>2118</v>
      </c>
      <c r="E22" s="8"/>
      <c r="F22" s="7" t="s">
        <v>317</v>
      </c>
      <c r="G22" s="7" t="str">
        <f t="shared" ref="G22:G32" si="13">IF(F22="フラグ","boolean",IF(F22="文字列","text",IF(F22="整数","integer",IF(F22="実数","numeric",""))))</f>
        <v>text</v>
      </c>
      <c r="H22" s="26"/>
      <c r="I22" s="10" t="s">
        <v>127</v>
      </c>
      <c r="J22" s="11"/>
      <c r="M22" s="4"/>
      <c r="N22" s="76"/>
      <c r="O22" s="76"/>
      <c r="P22" s="76" t="str">
        <f t="shared" ref="P22:P32" si="14">IF(B22&lt;&gt;1,","&amp;D22,D22)</f>
        <v>,iyakuhin_name</v>
      </c>
      <c r="Q22" s="76" t="str">
        <f t="shared" ref="Q22:Q32" si="15">UPPER(G22)</f>
        <v>TEXT</v>
      </c>
      <c r="R22" s="76" t="str">
        <f t="shared" ref="R22:R32" si="16">IF(H22&lt;&gt;"","default "&amp;IF(G22="text","'"&amp;H22&amp;"'",H22),"")</f>
        <v/>
      </c>
      <c r="S22" s="76" t="str">
        <f t="shared" ref="S22:S32" si="17">IF(I22="○","NOT NULL","")</f>
        <v>NOT NULL</v>
      </c>
      <c r="T22" s="76" t="str">
        <f t="shared" ref="T22:T32" si="18">"-- "&amp;C22</f>
        <v>-- 医薬品名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milscm_2023_009.sny_202310_backup_mt_iyakuhin.iyakuhin_name IS '医薬品名';</v>
      </c>
    </row>
    <row r="23" spans="1:45" s="25" customFormat="1">
      <c r="A23" s="4"/>
      <c r="B23" s="21">
        <f t="shared" si="2"/>
        <v>11</v>
      </c>
      <c r="C23" s="6" t="s">
        <v>2568</v>
      </c>
      <c r="D23" s="6" t="s">
        <v>2569</v>
      </c>
      <c r="E23" s="8"/>
      <c r="F23" s="7" t="s">
        <v>317</v>
      </c>
      <c r="G23" s="7" t="str">
        <f t="shared" si="13"/>
        <v>text</v>
      </c>
      <c r="H23" s="26"/>
      <c r="I23" s="10" t="s">
        <v>127</v>
      </c>
      <c r="J23" s="11"/>
      <c r="M23" s="4"/>
      <c r="N23" s="76"/>
      <c r="O23" s="76"/>
      <c r="P23" s="76" t="str">
        <f t="shared" si="14"/>
        <v>,iyakuhin_jpn_name</v>
      </c>
      <c r="Q23" s="76" t="str">
        <f t="shared" si="15"/>
        <v>TEXT</v>
      </c>
      <c r="R23" s="76" t="str">
        <f t="shared" si="16"/>
        <v/>
      </c>
      <c r="S23" s="76" t="str">
        <f t="shared" si="17"/>
        <v>NOT NULL</v>
      </c>
      <c r="T23" s="76" t="str">
        <f t="shared" si="18"/>
        <v>-- 医薬品日本語名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milscm_2023_009.sny_202310_backup_mt_iyakuhin.iyakuhin_jpn_name IS '医薬品日本語名';</v>
      </c>
    </row>
    <row r="24" spans="1:45" s="25" customFormat="1">
      <c r="A24" s="4"/>
      <c r="B24" s="21">
        <f t="shared" si="2"/>
        <v>12</v>
      </c>
      <c r="C24" s="6" t="s">
        <v>2586</v>
      </c>
      <c r="D24" s="6" t="s">
        <v>3299</v>
      </c>
      <c r="E24" s="8"/>
      <c r="F24" s="7" t="s">
        <v>317</v>
      </c>
      <c r="G24" s="7" t="str">
        <f t="shared" si="13"/>
        <v>text</v>
      </c>
      <c r="H24" s="26"/>
      <c r="I24" s="10" t="s">
        <v>127</v>
      </c>
      <c r="J24" s="11"/>
      <c r="M24" s="4"/>
      <c r="N24" s="76"/>
      <c r="O24" s="76"/>
      <c r="P24" s="76" t="str">
        <f t="shared" si="14"/>
        <v>,kohatsuhin_flag</v>
      </c>
      <c r="Q24" s="76" t="str">
        <f t="shared" si="15"/>
        <v>TEXT</v>
      </c>
      <c r="R24" s="76" t="str">
        <f t="shared" si="16"/>
        <v/>
      </c>
      <c r="S24" s="76" t="str">
        <f t="shared" si="17"/>
        <v>NOT NULL</v>
      </c>
      <c r="T24" s="76" t="str">
        <f t="shared" si="18"/>
        <v>-- 後発品フラグ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milscm_2023_009.sny_202310_backup_mt_iyakuhin.kohatsuhin_flag IS '後発品フラグ';</v>
      </c>
    </row>
    <row r="25" spans="1:45" s="25" customFormat="1">
      <c r="A25" s="4"/>
      <c r="B25" s="21">
        <f t="shared" si="2"/>
        <v>13</v>
      </c>
      <c r="C25" s="6" t="s">
        <v>3300</v>
      </c>
      <c r="D25" s="6" t="s">
        <v>3301</v>
      </c>
      <c r="E25" s="8"/>
      <c r="F25" s="7" t="s">
        <v>317</v>
      </c>
      <c r="G25" s="7" t="str">
        <f t="shared" si="13"/>
        <v>text</v>
      </c>
      <c r="H25" s="26"/>
      <c r="I25" s="10"/>
      <c r="J25" s="11"/>
      <c r="M25" s="4"/>
      <c r="N25" s="76"/>
      <c r="O25" s="76"/>
      <c r="P25" s="76" t="str">
        <f t="shared" si="14"/>
        <v>,shinyaku_code</v>
      </c>
      <c r="Q25" s="76" t="str">
        <f t="shared" si="15"/>
        <v>TEXT</v>
      </c>
      <c r="R25" s="76" t="str">
        <f t="shared" si="16"/>
        <v/>
      </c>
      <c r="S25" s="76" t="str">
        <f t="shared" si="17"/>
        <v/>
      </c>
      <c r="T25" s="76" t="str">
        <f t="shared" si="18"/>
        <v>-- 新薬コード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milscm_2023_009.sny_202310_backup_mt_iyakuhin.shinyaku_code IS '新薬コード';</v>
      </c>
    </row>
    <row r="26" spans="1:45" s="25" customFormat="1">
      <c r="A26" s="4"/>
      <c r="B26" s="21">
        <f t="shared" si="2"/>
        <v>14</v>
      </c>
      <c r="C26" s="6" t="s">
        <v>2552</v>
      </c>
      <c r="D26" s="6" t="s">
        <v>3302</v>
      </c>
      <c r="E26" s="8"/>
      <c r="F26" s="7" t="s">
        <v>317</v>
      </c>
      <c r="G26" s="7" t="str">
        <f t="shared" si="13"/>
        <v>text</v>
      </c>
      <c r="H26" s="26"/>
      <c r="I26" s="10" t="s">
        <v>127</v>
      </c>
      <c r="J26" s="11"/>
      <c r="M26" s="4"/>
      <c r="N26" s="76"/>
      <c r="O26" s="76"/>
      <c r="P26" s="76" t="str">
        <f t="shared" si="14"/>
        <v>,iyakuhin_brand_code</v>
      </c>
      <c r="Q26" s="76" t="str">
        <f t="shared" si="15"/>
        <v>TEXT</v>
      </c>
      <c r="R26" s="76" t="str">
        <f t="shared" si="16"/>
        <v/>
      </c>
      <c r="S26" s="76" t="str">
        <f t="shared" si="17"/>
        <v>NOT NULL</v>
      </c>
      <c r="T26" s="76" t="str">
        <f t="shared" si="18"/>
        <v>-- 医薬品ブランドコード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milscm_2023_009.sny_202310_backup_mt_iyakuhin.iyakuhin_brand_code IS '医薬品ブランドコード';</v>
      </c>
    </row>
    <row r="27" spans="1:45" s="25" customFormat="1" ht="30">
      <c r="A27" s="4"/>
      <c r="B27" s="21">
        <f t="shared" si="2"/>
        <v>15</v>
      </c>
      <c r="C27" s="6" t="s">
        <v>2554</v>
      </c>
      <c r="D27" s="6" t="s">
        <v>3303</v>
      </c>
      <c r="E27" s="8"/>
      <c r="F27" s="7" t="s">
        <v>317</v>
      </c>
      <c r="G27" s="7" t="str">
        <f t="shared" si="13"/>
        <v>text</v>
      </c>
      <c r="H27" s="26"/>
      <c r="I27" s="10" t="s">
        <v>127</v>
      </c>
      <c r="J27" s="11"/>
      <c r="M27" s="4"/>
      <c r="N27" s="76"/>
      <c r="O27" s="76"/>
      <c r="P27" s="76" t="str">
        <f t="shared" si="14"/>
        <v>,iyakuhin_ippan_name_code</v>
      </c>
      <c r="Q27" s="76" t="str">
        <f t="shared" si="15"/>
        <v>TEXT</v>
      </c>
      <c r="R27" s="76" t="str">
        <f t="shared" si="16"/>
        <v/>
      </c>
      <c r="S27" s="76" t="str">
        <f t="shared" si="17"/>
        <v>NOT NULL</v>
      </c>
      <c r="T27" s="76" t="str">
        <f t="shared" si="18"/>
        <v>-- 医薬品一般名コード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milscm_2023_009.sny_202310_backup_mt_iyakuhin.iyakuhin_ippan_name_code IS '医薬品一般名コード';</v>
      </c>
    </row>
    <row r="28" spans="1:45" s="25" customFormat="1">
      <c r="A28" s="4"/>
      <c r="B28" s="21">
        <f t="shared" si="2"/>
        <v>16</v>
      </c>
      <c r="C28" s="6" t="s">
        <v>2588</v>
      </c>
      <c r="D28" s="6" t="s">
        <v>2589</v>
      </c>
      <c r="E28" s="8"/>
      <c r="F28" s="7" t="s">
        <v>317</v>
      </c>
      <c r="G28" s="7" t="str">
        <f t="shared" si="13"/>
        <v>text</v>
      </c>
      <c r="H28" s="26"/>
      <c r="I28" s="10" t="s">
        <v>127</v>
      </c>
      <c r="J28" s="11"/>
      <c r="M28" s="4"/>
      <c r="N28" s="76"/>
      <c r="O28" s="76"/>
      <c r="P28" s="76" t="str">
        <f t="shared" si="14"/>
        <v>,toyo_keiro_kubun</v>
      </c>
      <c r="Q28" s="76" t="str">
        <f t="shared" si="15"/>
        <v>TEXT</v>
      </c>
      <c r="R28" s="76" t="str">
        <f t="shared" si="16"/>
        <v/>
      </c>
      <c r="S28" s="76" t="str">
        <f t="shared" si="17"/>
        <v>NOT NULL</v>
      </c>
      <c r="T28" s="76" t="str">
        <f t="shared" si="18"/>
        <v>-- 投与経路区分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milscm_2023_009.sny_202310_backup_mt_iyakuhin.toyo_keiro_kubun IS '投与経路区分';</v>
      </c>
    </row>
    <row r="29" spans="1:45" s="25" customFormat="1">
      <c r="A29" s="4"/>
      <c r="B29" s="21">
        <f t="shared" si="2"/>
        <v>17</v>
      </c>
      <c r="C29" s="6" t="s">
        <v>3304</v>
      </c>
      <c r="D29" s="6" t="s">
        <v>3305</v>
      </c>
      <c r="E29" s="8"/>
      <c r="F29" s="7" t="s">
        <v>317</v>
      </c>
      <c r="G29" s="7" t="str">
        <f t="shared" si="13"/>
        <v>text</v>
      </c>
      <c r="H29" s="26"/>
      <c r="I29" s="10"/>
      <c r="J29" s="11"/>
      <c r="M29" s="4"/>
      <c r="N29" s="76"/>
      <c r="O29" s="76"/>
      <c r="P29" s="76" t="str">
        <f t="shared" si="14"/>
        <v>,tokutei_kizai_unit_code</v>
      </c>
      <c r="Q29" s="76" t="str">
        <f t="shared" si="15"/>
        <v>TEXT</v>
      </c>
      <c r="R29" s="76" t="str">
        <f t="shared" si="16"/>
        <v/>
      </c>
      <c r="S29" s="76" t="str">
        <f t="shared" si="17"/>
        <v/>
      </c>
      <c r="T29" s="76" t="str">
        <f t="shared" si="18"/>
        <v>-- 特定器材単位コード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milscm_2023_009.sny_202310_backup_mt_iyakuhin.tokutei_kizai_unit_code IS '特定器材単位コード';</v>
      </c>
    </row>
    <row r="30" spans="1:45" s="25" customFormat="1">
      <c r="A30" s="4"/>
      <c r="B30" s="21">
        <f t="shared" si="2"/>
        <v>18</v>
      </c>
      <c r="C30" s="6" t="s">
        <v>3306</v>
      </c>
      <c r="D30" s="6" t="s">
        <v>3307</v>
      </c>
      <c r="E30" s="8"/>
      <c r="F30" s="7" t="s">
        <v>317</v>
      </c>
      <c r="G30" s="7" t="str">
        <f t="shared" si="13"/>
        <v>text</v>
      </c>
      <c r="H30" s="26"/>
      <c r="I30" s="10" t="s">
        <v>127</v>
      </c>
      <c r="J30" s="11" t="s">
        <v>144</v>
      </c>
      <c r="M30" s="4"/>
      <c r="N30" s="76"/>
      <c r="O30" s="76"/>
      <c r="P30" s="76" t="str">
        <f t="shared" si="14"/>
        <v>,hatsubai_ymd</v>
      </c>
      <c r="Q30" s="76" t="str">
        <f t="shared" si="15"/>
        <v>TEXT</v>
      </c>
      <c r="R30" s="76" t="str">
        <f t="shared" si="16"/>
        <v/>
      </c>
      <c r="S30" s="76" t="str">
        <f t="shared" si="17"/>
        <v>NOT NULL</v>
      </c>
      <c r="T30" s="76" t="str">
        <f t="shared" si="18"/>
        <v>-- 発売年月日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milscm_2023_009.sny_202310_backup_mt_iyakuhin.hatsubai_ymd IS '発売年月日';</v>
      </c>
    </row>
    <row r="31" spans="1:45" s="25" customFormat="1">
      <c r="A31" s="4"/>
      <c r="B31" s="21">
        <f t="shared" si="2"/>
        <v>19</v>
      </c>
      <c r="C31" s="6" t="s">
        <v>3308</v>
      </c>
      <c r="D31" s="6" t="s">
        <v>3309</v>
      </c>
      <c r="E31" s="8"/>
      <c r="F31" s="7" t="s">
        <v>317</v>
      </c>
      <c r="G31" s="7" t="str">
        <f t="shared" si="13"/>
        <v>text</v>
      </c>
      <c r="H31" s="26"/>
      <c r="I31" s="10"/>
      <c r="J31" s="11" t="s">
        <v>3317</v>
      </c>
      <c r="M31" s="4"/>
      <c r="N31" s="76"/>
      <c r="O31" s="76"/>
      <c r="P31" s="76" t="str">
        <f t="shared" si="14"/>
        <v>,ikosaki</v>
      </c>
      <c r="Q31" s="76" t="str">
        <f t="shared" si="15"/>
        <v>TEXT</v>
      </c>
      <c r="R31" s="76" t="str">
        <f t="shared" si="16"/>
        <v/>
      </c>
      <c r="S31" s="76" t="str">
        <f t="shared" si="17"/>
        <v/>
      </c>
      <c r="T31" s="76" t="str">
        <f t="shared" si="18"/>
        <v>-- 移行先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milscm_2023_009.sny_202310_backup_mt_iyakuhin.ikosaki IS '移行先';</v>
      </c>
    </row>
    <row r="32" spans="1:45" s="25" customFormat="1">
      <c r="A32" s="4"/>
      <c r="B32" s="21">
        <f t="shared" si="2"/>
        <v>20</v>
      </c>
      <c r="C32" s="6" t="s">
        <v>3310</v>
      </c>
      <c r="D32" s="6" t="s">
        <v>3311</v>
      </c>
      <c r="E32" s="8"/>
      <c r="F32" s="7" t="s">
        <v>317</v>
      </c>
      <c r="G32" s="7" t="str">
        <f t="shared" si="13"/>
        <v>text</v>
      </c>
      <c r="H32" s="26"/>
      <c r="I32" s="10" t="s">
        <v>127</v>
      </c>
      <c r="J32" s="11" t="s">
        <v>3318</v>
      </c>
      <c r="M32" s="4"/>
      <c r="N32" s="76"/>
      <c r="O32" s="76"/>
      <c r="P32" s="76" t="str">
        <f t="shared" si="14"/>
        <v>,nen</v>
      </c>
      <c r="Q32" s="76" t="str">
        <f t="shared" si="15"/>
        <v>TEXT</v>
      </c>
      <c r="R32" s="76" t="str">
        <f t="shared" si="16"/>
        <v/>
      </c>
      <c r="S32" s="76" t="str">
        <f t="shared" si="17"/>
        <v>NOT NULL</v>
      </c>
      <c r="T32" s="76" t="str">
        <f t="shared" si="18"/>
        <v>-- 年</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milscm_2023_009.sny_202310_backup_mt_iyakuhin.nen IS '年';</v>
      </c>
    </row>
    <row r="33" spans="1:52" s="25" customFormat="1">
      <c r="A33" s="4"/>
      <c r="B33" s="21">
        <f t="shared" si="2"/>
        <v>21</v>
      </c>
      <c r="C33" s="6" t="s">
        <v>3312</v>
      </c>
      <c r="D33" s="6" t="s">
        <v>3313</v>
      </c>
      <c r="E33" s="8"/>
      <c r="F33" s="7" t="s">
        <v>317</v>
      </c>
      <c r="G33" s="7" t="str">
        <f t="shared" ref="G33" si="19">IF(F33="フラグ","boolean",IF(F33="文字列","text",IF(F33="整数","integer",IF(F33="実数","numeric",""))))</f>
        <v>text</v>
      </c>
      <c r="H33" s="26"/>
      <c r="I33" s="10" t="s">
        <v>127</v>
      </c>
      <c r="J33" s="11" t="s">
        <v>3319</v>
      </c>
      <c r="M33" s="4"/>
      <c r="N33" s="76"/>
      <c r="O33" s="76"/>
      <c r="P33" s="76" t="str">
        <f t="shared" ref="P33" si="20">IF(B33&lt;&gt;1,","&amp;D33,D33)</f>
        <v>,nengetsu</v>
      </c>
      <c r="Q33" s="76" t="str">
        <f t="shared" ref="Q33" si="21">UPPER(G33)</f>
        <v>TEXT</v>
      </c>
      <c r="R33" s="76" t="str">
        <f t="shared" ref="R33" si="22">IF(H33&lt;&gt;"","default "&amp;IF(G33="text","'"&amp;H33&amp;"'",H33),"")</f>
        <v/>
      </c>
      <c r="S33" s="76" t="str">
        <f t="shared" ref="S33" si="23">IF(I33="○","NOT NULL","")</f>
        <v>NOT NULL</v>
      </c>
      <c r="T33" s="76" t="str">
        <f t="shared" ref="T33" si="24">"-- "&amp;C33</f>
        <v>-- 年月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milscm_2023_009.sny_202310_backup_mt_iyakuhin.nengetsu IS '年月';</v>
      </c>
    </row>
    <row r="34" spans="1:52" s="25" customFormat="1" ht="18" thickBot="1">
      <c r="A34" s="4"/>
      <c r="B34" s="27">
        <f>ROW()-12</f>
        <v>22</v>
      </c>
      <c r="C34" s="57" t="s">
        <v>3314</v>
      </c>
      <c r="D34" s="57" t="s">
        <v>1885</v>
      </c>
      <c r="E34" s="56"/>
      <c r="F34" s="56" t="s">
        <v>317</v>
      </c>
      <c r="G34" s="56" t="str">
        <f t="shared" si="3"/>
        <v>text</v>
      </c>
      <c r="H34" s="59"/>
      <c r="I34" s="60" t="s">
        <v>127</v>
      </c>
      <c r="J34" s="64" t="s">
        <v>2403</v>
      </c>
      <c r="N34" s="76"/>
      <c r="O34" s="76"/>
      <c r="P34" s="76" t="str">
        <f t="shared" si="4"/>
        <v>,update_ymd</v>
      </c>
      <c r="Q34" s="76" t="str">
        <f t="shared" si="0"/>
        <v>TEXT</v>
      </c>
      <c r="R34" s="76" t="str">
        <f t="shared" si="1"/>
        <v/>
      </c>
      <c r="S34" s="76" t="str">
        <f t="shared" si="5"/>
        <v>NOT NULL</v>
      </c>
      <c r="T34" s="76" t="str">
        <f t="shared" si="6"/>
        <v>-- データ登録日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milscm_2023_009.sny_202310_backup_mt_iyakuhin.update_ymd IS 'データ登録日';</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ENT_01_A3-19</v>
      </c>
      <c r="E6" s="234"/>
      <c r="F6" s="234"/>
      <c r="G6" s="234"/>
      <c r="H6" s="234"/>
      <c r="I6" s="234"/>
      <c r="J6" s="235"/>
    </row>
    <row r="7" spans="1:45">
      <c r="B7" s="223" t="s">
        <v>115</v>
      </c>
      <c r="C7" s="224"/>
      <c r="D7" s="225" t="s">
        <v>3320</v>
      </c>
      <c r="E7" s="226"/>
      <c r="F7" s="226"/>
      <c r="G7" s="226"/>
      <c r="H7" s="226"/>
      <c r="I7" s="226"/>
      <c r="J7" s="227"/>
    </row>
    <row r="8" spans="1:45">
      <c r="B8" s="223" t="s">
        <v>116</v>
      </c>
      <c r="C8" s="224"/>
      <c r="D8" s="225" t="str">
        <f>エンティティ一覧!AE2&amp;"_"&amp;D5&amp;"_mt_iyakuhin_brand"</f>
        <v>sny_202310_backup_mt_iyakuhin_brand</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milscm_2023_009.sny_202310_backup_mt_iyakuhin_brand;</v>
      </c>
      <c r="O10" s="76"/>
      <c r="P10" s="76"/>
      <c r="Q10" s="76"/>
      <c r="R10" s="76"/>
      <c r="S10" s="76"/>
      <c r="T10" s="76"/>
      <c r="AJ10" s="76" t="str">
        <f>"ALTER TABLE ONLY "&amp;エンティティ一覧!$O$2&amp;"."&amp;D$8</f>
        <v>ALTER TABLE ONLY milscm_2023_009.sny_202310_backup_mt_iyakuhin_brand</v>
      </c>
      <c r="AS10" s="76" t="str">
        <f>"ALTER TABLE "&amp;エンティティ一覧!$O$2&amp;"."&amp;D$8&amp;" OWNER TO pgmisgrp1;"</f>
        <v>ALTER TABLE milscm_2023_009.sny_202310_backup_mt_iyakuhin_brand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milscm_2023_009.sny_202310_backup_mt_iyakuhin_brand</v>
      </c>
      <c r="O11" s="76"/>
      <c r="P11" s="76"/>
      <c r="Q11" s="76"/>
      <c r="R11" s="76"/>
      <c r="S11" s="76"/>
      <c r="T11" s="76"/>
      <c r="AJ11" s="76" t="str">
        <f>"ADD CONSTRAINT "&amp;D$8&amp;"_pkey PRIMARY KEY"</f>
        <v>ADD CONSTRAINT sny_202310_backup_mt_iyakuhin_brand_pkey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milscm_2023_009.sny_202310_backup_mt_iyakuhin_brand IS 'バックアップ_医薬品ブランドマスタ';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milscm_2023_009.sny_202310_backup_mt_iyakuhin_brand.sekoubi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milscm_2023_009.sny_202310_backup_mt_iyakuhin_brand.koshin_kubun IS '更新区分';</v>
      </c>
    </row>
    <row r="15" spans="1:45" s="25" customFormat="1">
      <c r="A15" s="4"/>
      <c r="B15" s="21">
        <f t="shared" si="2"/>
        <v>3</v>
      </c>
      <c r="C15" s="6" t="s">
        <v>2552</v>
      </c>
      <c r="D15" s="6" t="s">
        <v>3302</v>
      </c>
      <c r="E15" s="8" t="s">
        <v>127</v>
      </c>
      <c r="F15" s="7" t="s">
        <v>317</v>
      </c>
      <c r="G15" s="7" t="str">
        <f t="shared" si="3"/>
        <v>text</v>
      </c>
      <c r="H15" s="26"/>
      <c r="I15" s="10" t="s">
        <v>127</v>
      </c>
      <c r="J15" s="11"/>
      <c r="M15" s="4"/>
      <c r="N15" s="76"/>
      <c r="O15" s="76"/>
      <c r="P15" s="76" t="str">
        <f t="shared" si="4"/>
        <v>,iyakuhin_brand_code</v>
      </c>
      <c r="Q15" s="76" t="str">
        <f t="shared" si="0"/>
        <v>TEXT</v>
      </c>
      <c r="R15" s="76" t="str">
        <f t="shared" si="1"/>
        <v/>
      </c>
      <c r="S15" s="76" t="str">
        <f t="shared" si="5"/>
        <v>NOT NULL</v>
      </c>
      <c r="T15" s="76" t="str">
        <f t="shared" si="6"/>
        <v>-- 医薬品ブランドコード</v>
      </c>
      <c r="U15" s="4"/>
      <c r="AA15" s="4"/>
      <c r="AB15" s="4"/>
      <c r="AC15" s="4"/>
      <c r="AD15" s="4"/>
      <c r="AE15" s="4"/>
      <c r="AF15" s="4"/>
      <c r="AG15" s="4"/>
      <c r="AH15" s="4"/>
      <c r="AI15" s="4"/>
      <c r="AJ15" s="76" t="str">
        <f>IF(E15="○",IF(COUNTA(E$13:E15)=1,"",",")&amp;D15,"")</f>
        <v>,iyakuhin_brand_code</v>
      </c>
      <c r="AK15" s="4"/>
      <c r="AL15" s="4"/>
      <c r="AM15" s="4"/>
      <c r="AN15" s="4"/>
      <c r="AO15" s="4"/>
      <c r="AP15" s="4"/>
      <c r="AQ15" s="4"/>
      <c r="AR15" s="4"/>
      <c r="AS15" s="76" t="str">
        <f>"COMMENT ON COLUMN "&amp;エンティティ一覧!$O$2&amp;"."&amp;D$8&amp;"."&amp;D15&amp;" IS '"&amp;C15&amp;"';"</f>
        <v>COMMENT ON COLUMN milscm_2023_009.sny_202310_backup_mt_iyakuhin_brand.iyakuhin_brand_code IS '医薬品ブランドコード';</v>
      </c>
    </row>
    <row r="16" spans="1:45" s="25" customFormat="1">
      <c r="A16" s="4"/>
      <c r="B16" s="21">
        <f t="shared" si="2"/>
        <v>4</v>
      </c>
      <c r="C16" s="6" t="s">
        <v>2570</v>
      </c>
      <c r="D16" s="6" t="s">
        <v>3321</v>
      </c>
      <c r="E16" s="8"/>
      <c r="F16" s="7" t="s">
        <v>317</v>
      </c>
      <c r="G16" s="7" t="str">
        <f t="shared" si="3"/>
        <v>text</v>
      </c>
      <c r="H16" s="26"/>
      <c r="I16" s="10" t="s">
        <v>127</v>
      </c>
      <c r="J16" s="11"/>
      <c r="M16" s="4"/>
      <c r="N16" s="76"/>
      <c r="O16" s="76"/>
      <c r="P16" s="76" t="str">
        <f t="shared" si="4"/>
        <v>,iyakuhin_brand_name</v>
      </c>
      <c r="Q16" s="76" t="str">
        <f t="shared" si="0"/>
        <v>TEXT</v>
      </c>
      <c r="R16" s="76" t="str">
        <f t="shared" si="1"/>
        <v/>
      </c>
      <c r="S16" s="76" t="str">
        <f t="shared" si="5"/>
        <v>NOT NULL</v>
      </c>
      <c r="T16" s="76" t="str">
        <f t="shared" si="6"/>
        <v>-- 医薬品ブランド名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milscm_2023_009.sny_202310_backup_mt_iyakuhin_brand.iyakuhin_brand_name IS '医薬品ブランド名';</v>
      </c>
    </row>
    <row r="17" spans="1:52" s="25" customFormat="1" ht="30">
      <c r="A17" s="4"/>
      <c r="B17" s="21">
        <f t="shared" si="2"/>
        <v>5</v>
      </c>
      <c r="C17" s="6" t="s">
        <v>3322</v>
      </c>
      <c r="D17" s="6" t="s">
        <v>2571</v>
      </c>
      <c r="E17" s="8"/>
      <c r="F17" s="7" t="s">
        <v>317</v>
      </c>
      <c r="G17" s="7" t="str">
        <f t="shared" si="3"/>
        <v>text</v>
      </c>
      <c r="H17" s="26"/>
      <c r="I17" s="10" t="s">
        <v>127</v>
      </c>
      <c r="J17" s="11"/>
      <c r="M17" s="4"/>
      <c r="N17" s="76"/>
      <c r="O17" s="76"/>
      <c r="P17" s="76" t="str">
        <f t="shared" si="4"/>
        <v>,iyakuhin_brand_jpn_name</v>
      </c>
      <c r="Q17" s="76" t="str">
        <f t="shared" si="0"/>
        <v>TEXT</v>
      </c>
      <c r="R17" s="76" t="str">
        <f t="shared" si="1"/>
        <v/>
      </c>
      <c r="S17" s="76" t="str">
        <f t="shared" si="5"/>
        <v>NOT NULL</v>
      </c>
      <c r="T17" s="76" t="str">
        <f t="shared" si="6"/>
        <v>-- 医薬品ブランド日本語名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milscm_2023_009.sny_202310_backup_mt_iyakuhin_brand.iyakuhin_brand_jpn_name IS '医薬品ブランド日本語名';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milscm_2023_009.sny_202310_backup_mt_iyakuhin_brand.nen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milscm_2023_009.sny_202310_backup_mt_iyakuhin_brand.nengetsu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milscm_2023_009.sny_202310_backup_mt_iyakuhin_brand.update_ymd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ENT_01_A3-20</v>
      </c>
      <c r="E6" s="234"/>
      <c r="F6" s="234"/>
      <c r="G6" s="234"/>
      <c r="H6" s="234"/>
      <c r="I6" s="234"/>
      <c r="J6" s="235"/>
    </row>
    <row r="7" spans="1:45">
      <c r="B7" s="223" t="s">
        <v>115</v>
      </c>
      <c r="C7" s="224"/>
      <c r="D7" s="225" t="s">
        <v>3323</v>
      </c>
      <c r="E7" s="226"/>
      <c r="F7" s="226"/>
      <c r="G7" s="226"/>
      <c r="H7" s="226"/>
      <c r="I7" s="226"/>
      <c r="J7" s="227"/>
    </row>
    <row r="8" spans="1:45">
      <c r="B8" s="223" t="s">
        <v>116</v>
      </c>
      <c r="C8" s="224"/>
      <c r="D8" s="225" t="str">
        <f>エンティティ一覧!AE2&amp;"_"&amp;D5&amp;"_mt_iyakuhin_ippan_name"</f>
        <v>sny_202310_backup_mt_iyakuhin_ippan_name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milscm_2023_009.sny_202310_backup_mt_iyakuhin_ippan_name;</v>
      </c>
      <c r="O10" s="76"/>
      <c r="P10" s="76"/>
      <c r="Q10" s="76"/>
      <c r="R10" s="76"/>
      <c r="S10" s="76"/>
      <c r="T10" s="76"/>
      <c r="AJ10" s="76" t="str">
        <f>"ALTER TABLE ONLY "&amp;エンティティ一覧!$O$2&amp;"."&amp;D$8</f>
        <v>ALTER TABLE ONLY milscm_2023_009.sny_202310_backup_mt_iyakuhin_ippan_name</v>
      </c>
      <c r="AS10" s="76" t="str">
        <f>"ALTER TABLE "&amp;エンティティ一覧!$O$2&amp;"."&amp;D$8&amp;" OWNER TO pgmisgrp1;"</f>
        <v>ALTER TABLE milscm_2023_009.sny_202310_backup_mt_iyakuhin_ippan_name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milscm_2023_009.sny_202310_backup_mt_iyakuhin_ippan_name</v>
      </c>
      <c r="O11" s="76"/>
      <c r="P11" s="76"/>
      <c r="Q11" s="76"/>
      <c r="R11" s="76"/>
      <c r="S11" s="76"/>
      <c r="T11" s="76"/>
      <c r="AJ11" s="76" t="str">
        <f>"ADD CONSTRAINT "&amp;D$8&amp;"_pkey PRIMARY KEY"</f>
        <v>ADD CONSTRAINT sny_202310_backup_mt_iyakuhin_ippan_name_pkey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milscm_2023_009.sny_202310_backup_mt_iyakuhin_ippan_name IS 'バックアップ_医薬品一般名マスタ';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milscm_2023_009.sny_202310_backup_mt_iyakuhin_ippan_name.sekoubi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milscm_2023_009.sny_202310_backup_mt_iyakuhin_ippan_name.koshin_kubun IS '更新区分';</v>
      </c>
    </row>
    <row r="15" spans="1:45" s="25" customFormat="1" ht="30">
      <c r="A15" s="4"/>
      <c r="B15" s="21">
        <f t="shared" si="2"/>
        <v>3</v>
      </c>
      <c r="C15" s="6" t="s">
        <v>2554</v>
      </c>
      <c r="D15" s="6" t="s">
        <v>3303</v>
      </c>
      <c r="E15" s="8" t="s">
        <v>127</v>
      </c>
      <c r="F15" s="7" t="s">
        <v>317</v>
      </c>
      <c r="G15" s="7" t="str">
        <f t="shared" si="3"/>
        <v>text</v>
      </c>
      <c r="H15" s="26"/>
      <c r="I15" s="10" t="s">
        <v>127</v>
      </c>
      <c r="J15" s="11"/>
      <c r="M15" s="4"/>
      <c r="N15" s="76"/>
      <c r="O15" s="76"/>
      <c r="P15" s="76" t="str">
        <f t="shared" si="4"/>
        <v>,iyakuhin_ippan_name_code</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,iyakuhin_ippan_name_code</v>
      </c>
      <c r="AK15" s="4"/>
      <c r="AL15" s="4"/>
      <c r="AM15" s="4"/>
      <c r="AN15" s="4"/>
      <c r="AO15" s="4"/>
      <c r="AP15" s="4"/>
      <c r="AQ15" s="4"/>
      <c r="AR15" s="4"/>
      <c r="AS15" s="76" t="str">
        <f>"COMMENT ON COLUMN "&amp;エンティティ一覧!$O$2&amp;"."&amp;D$8&amp;"."&amp;D15&amp;" IS '"&amp;C15&amp;"';"</f>
        <v>COMMENT ON COLUMN milscm_2023_009.sny_202310_backup_mt_iyakuhin_ippan_name.iyakuhin_ippan_name_code IS '医薬品一般名コード';</v>
      </c>
    </row>
    <row r="16" spans="1:45" s="25" customFormat="1">
      <c r="A16" s="4"/>
      <c r="B16" s="21">
        <f t="shared" si="2"/>
        <v>4</v>
      </c>
      <c r="C16" s="6" t="s">
        <v>2572</v>
      </c>
      <c r="D16" s="6" t="s">
        <v>2116</v>
      </c>
      <c r="E16" s="8"/>
      <c r="F16" s="7" t="s">
        <v>317</v>
      </c>
      <c r="G16" s="7" t="str">
        <f t="shared" si="3"/>
        <v>text</v>
      </c>
      <c r="H16" s="26"/>
      <c r="I16" s="10" t="s">
        <v>127</v>
      </c>
      <c r="J16" s="11"/>
      <c r="M16" s="4"/>
      <c r="N16" s="76"/>
      <c r="O16" s="76"/>
      <c r="P16" s="76" t="str">
        <f t="shared" si="4"/>
        <v>,iyakuhin_ippan_name</v>
      </c>
      <c r="Q16" s="76" t="str">
        <f t="shared" si="0"/>
        <v>TEXT</v>
      </c>
      <c r="R16" s="76" t="str">
        <f t="shared" si="1"/>
        <v/>
      </c>
      <c r="S16" s="76" t="str">
        <f t="shared" si="5"/>
        <v>NOT NULL</v>
      </c>
      <c r="T16" s="76" t="str">
        <f t="shared" si="6"/>
        <v>-- 医薬品一般名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milscm_2023_009.sny_202310_backup_mt_iyakuhin_ippan_name.iyakuhin_ippan_name IS '医薬品一般名';</v>
      </c>
    </row>
    <row r="17" spans="1:52" s="25" customFormat="1" ht="30">
      <c r="A17" s="4"/>
      <c r="B17" s="21">
        <f t="shared" si="2"/>
        <v>5</v>
      </c>
      <c r="C17" s="6" t="s">
        <v>2573</v>
      </c>
      <c r="D17" s="6" t="s">
        <v>3324</v>
      </c>
      <c r="E17" s="8"/>
      <c r="F17" s="7" t="s">
        <v>317</v>
      </c>
      <c r="G17" s="7" t="str">
        <f t="shared" si="3"/>
        <v>text</v>
      </c>
      <c r="H17" s="26"/>
      <c r="I17" s="10" t="s">
        <v>127</v>
      </c>
      <c r="J17" s="11"/>
      <c r="M17" s="4"/>
      <c r="N17" s="76"/>
      <c r="O17" s="76"/>
      <c r="P17" s="76" t="str">
        <f t="shared" si="4"/>
        <v>,iyakuhin_ippan_englishname</v>
      </c>
      <c r="Q17" s="76" t="str">
        <f t="shared" si="0"/>
        <v>TEXT</v>
      </c>
      <c r="R17" s="76" t="str">
        <f t="shared" si="1"/>
        <v/>
      </c>
      <c r="S17" s="76" t="str">
        <f t="shared" si="5"/>
        <v>NOT NULL</v>
      </c>
      <c r="T17" s="76" t="str">
        <f t="shared" si="6"/>
        <v>-- 医薬品一般名英名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milscm_2023_009.sny_202310_backup_mt_iyakuhin_ippan_name.iyakuhin_ippan_englishname IS '医薬品一般名英名';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milscm_2023_009.sny_202310_backup_mt_iyakuhin_ippan_name.nen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milscm_2023_009.sny_202310_backup_mt_iyakuhin_ippan_name.nengetsu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milscm_2023_009.sny_202310_backup_mt_iyakuhin_ippan_name.update_ymd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ENT_01_A3-21</v>
      </c>
      <c r="E6" s="234"/>
      <c r="F6" s="234"/>
      <c r="G6" s="234"/>
      <c r="H6" s="234"/>
      <c r="I6" s="234"/>
      <c r="J6" s="235"/>
    </row>
    <row r="7" spans="1:45">
      <c r="B7" s="223" t="s">
        <v>115</v>
      </c>
      <c r="C7" s="224"/>
      <c r="D7" s="225" t="s">
        <v>3325</v>
      </c>
      <c r="E7" s="226"/>
      <c r="F7" s="226"/>
      <c r="G7" s="226"/>
      <c r="H7" s="226"/>
      <c r="I7" s="226"/>
      <c r="J7" s="227"/>
    </row>
    <row r="8" spans="1:45">
      <c r="B8" s="223" t="s">
        <v>116</v>
      </c>
      <c r="C8" s="224"/>
      <c r="D8" s="225" t="str">
        <f>エンティティ一覧!AE2&amp;"_"&amp;D5&amp;"_mt_iyakuhin_sales_kaisha"</f>
        <v>sny_202310_backup_mt_iyakuhin_sales_kaisha</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milscm_2023_009.sny_202310_backup_mt_iyakuhin_sales_kaisha;</v>
      </c>
      <c r="O10" s="76"/>
      <c r="P10" s="76"/>
      <c r="Q10" s="76"/>
      <c r="R10" s="76"/>
      <c r="S10" s="76"/>
      <c r="T10" s="76"/>
      <c r="AJ10" s="76" t="str">
        <f>"ALTER TABLE ONLY "&amp;エンティティ一覧!$O$2&amp;"."&amp;D$8</f>
        <v>ALTER TABLE ONLY milscm_2023_009.sny_202310_backup_mt_iyakuhin_sales_kaisha</v>
      </c>
      <c r="AS10" s="76" t="str">
        <f>"ALTER TABLE "&amp;エンティティ一覧!$O$2&amp;"."&amp;D$8&amp;" OWNER TO pgmisgrp1;"</f>
        <v>ALTER TABLE milscm_2023_009.sny_202310_backup_mt_iyakuhin_sales_kaisha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milscm_2023_009.sny_202310_backup_mt_iyakuhin_sales_kaisha</v>
      </c>
      <c r="O11" s="76"/>
      <c r="P11" s="76"/>
      <c r="Q11" s="76"/>
      <c r="R11" s="76"/>
      <c r="S11" s="76"/>
      <c r="T11" s="76"/>
      <c r="AJ11" s="76" t="str">
        <f>"ADD CONSTRAINT "&amp;D$8&amp;"_pkey PRIMARY KEY"</f>
        <v>ADD CONSTRAINT sny_202310_backup_mt_iyakuhin_sales_kaisha_pkey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milscm_2023_009.sny_202310_backup_mt_iyakuhin_sales_kaisha IS 'バックアップ_医薬品販売会社マスタ';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milscm_2023_009.sny_202310_backup_mt_iyakuhin_sales_kaisha.sekoubi IS '施行日';</v>
      </c>
    </row>
    <row r="14" spans="1:45" s="25" customFormat="1">
      <c r="A14" s="4"/>
      <c r="B14" s="21">
        <f t="shared" ref="B14:B18" si="2">ROW()-12</f>
        <v>2</v>
      </c>
      <c r="C14" s="6" t="s">
        <v>3291</v>
      </c>
      <c r="D14" s="6" t="s">
        <v>2051</v>
      </c>
      <c r="E14" s="8" t="s">
        <v>127</v>
      </c>
      <c r="F14" s="7" t="s">
        <v>317</v>
      </c>
      <c r="G14" s="7" t="str">
        <f t="shared" ref="G14:G19" si="3">IF(F14="フラグ","boolean",IF(F14="文字列","text",IF(F14="整数","integer",IF(F14="実数","numeric",""))))</f>
        <v>text</v>
      </c>
      <c r="H14" s="26"/>
      <c r="I14" s="10" t="s">
        <v>127</v>
      </c>
      <c r="J14" s="11" t="s">
        <v>3316</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milscm_2023_009.sny_202310_backup_mt_iyakuhin_sales_kaisha.koshin_kubun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milscm_2023_009.sny_202310_backup_mt_iyakuhin_sales_kaisha.iyakuhin_code IS '医薬品コード';</v>
      </c>
    </row>
    <row r="16" spans="1:45" s="25" customFormat="1">
      <c r="A16" s="4"/>
      <c r="B16" s="21">
        <f t="shared" si="2"/>
        <v>4</v>
      </c>
      <c r="C16" s="6" t="s">
        <v>3326</v>
      </c>
      <c r="D16" s="6" t="s">
        <v>3327</v>
      </c>
      <c r="E16" s="8" t="s">
        <v>127</v>
      </c>
      <c r="F16" s="7" t="s">
        <v>317</v>
      </c>
      <c r="G16" s="7" t="str">
        <f t="shared" si="3"/>
        <v>text</v>
      </c>
      <c r="H16" s="26"/>
      <c r="I16" s="10" t="s">
        <v>127</v>
      </c>
      <c r="J16" s="11"/>
      <c r="M16" s="4"/>
      <c r="N16" s="76"/>
      <c r="O16" s="76"/>
      <c r="P16" s="76" t="str">
        <f t="shared" si="4"/>
        <v>,maker_code</v>
      </c>
      <c r="Q16" s="76" t="str">
        <f t="shared" si="0"/>
        <v>TEXT</v>
      </c>
      <c r="R16" s="76" t="str">
        <f t="shared" si="1"/>
        <v/>
      </c>
      <c r="S16" s="76" t="str">
        <f t="shared" si="5"/>
        <v>NOT NULL</v>
      </c>
      <c r="T16" s="76" t="str">
        <f t="shared" si="6"/>
        <v>-- メーカコード</v>
      </c>
      <c r="U16" s="4"/>
      <c r="AA16" s="4"/>
      <c r="AB16" s="4"/>
      <c r="AC16" s="4"/>
      <c r="AD16" s="4"/>
      <c r="AE16" s="4"/>
      <c r="AF16" s="4"/>
      <c r="AG16" s="4"/>
      <c r="AH16" s="4"/>
      <c r="AI16" s="4"/>
      <c r="AJ16" s="76" t="str">
        <f>IF(E16="○",IF(COUNTA(E$13:E16)=1,"",",")&amp;D16,"")</f>
        <v>,maker_code</v>
      </c>
      <c r="AK16" s="4"/>
      <c r="AL16" s="4"/>
      <c r="AM16" s="4"/>
      <c r="AN16" s="4"/>
      <c r="AO16" s="4"/>
      <c r="AP16" s="4"/>
      <c r="AQ16" s="4"/>
      <c r="AR16" s="4"/>
      <c r="AS16" s="76" t="str">
        <f>"COMMENT ON COLUMN "&amp;エンティティ一覧!$O$2&amp;"."&amp;D$8&amp;"."&amp;D16&amp;" IS '"&amp;C16&amp;"';"</f>
        <v>COMMENT ON COLUMN milscm_2023_009.sny_202310_backup_mt_iyakuhin_sales_kaisha.maker_code IS 'メーカコード';</v>
      </c>
    </row>
    <row r="17" spans="1:52" s="25" customFormat="1">
      <c r="A17" s="4"/>
      <c r="B17" s="21">
        <f t="shared" si="2"/>
        <v>5</v>
      </c>
      <c r="C17" s="6" t="s">
        <v>3310</v>
      </c>
      <c r="D17" s="6" t="s">
        <v>3311</v>
      </c>
      <c r="E17" s="8"/>
      <c r="F17" s="7" t="s">
        <v>317</v>
      </c>
      <c r="G17" s="7" t="str">
        <f t="shared" si="3"/>
        <v>text</v>
      </c>
      <c r="H17" s="26"/>
      <c r="I17" s="10" t="s">
        <v>127</v>
      </c>
      <c r="J17" s="11" t="s">
        <v>3318</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milscm_2023_009.sny_202310_backup_mt_iyakuhin_sales_kaisha.nen IS '年';</v>
      </c>
    </row>
    <row r="18" spans="1:52" s="25" customFormat="1">
      <c r="A18" s="4"/>
      <c r="B18" s="21">
        <f t="shared" si="2"/>
        <v>6</v>
      </c>
      <c r="C18" s="6" t="s">
        <v>3312</v>
      </c>
      <c r="D18" s="6" t="s">
        <v>3313</v>
      </c>
      <c r="E18" s="8"/>
      <c r="F18" s="7" t="s">
        <v>317</v>
      </c>
      <c r="G18" s="7" t="str">
        <f t="shared" si="3"/>
        <v>text</v>
      </c>
      <c r="H18" s="26"/>
      <c r="I18" s="10" t="s">
        <v>127</v>
      </c>
      <c r="J18" s="11" t="s">
        <v>3319</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milscm_2023_009.sny_202310_backup_mt_iyakuhin_sales_kaisha.nengetsu IS '年月';</v>
      </c>
    </row>
    <row r="19" spans="1:52" s="25" customFormat="1" ht="18" thickBot="1">
      <c r="A19" s="4"/>
      <c r="B19" s="27">
        <f>ROW()-12</f>
        <v>7</v>
      </c>
      <c r="C19" s="57" t="s">
        <v>3314</v>
      </c>
      <c r="D19" s="57" t="s">
        <v>1885</v>
      </c>
      <c r="E19" s="56"/>
      <c r="F19" s="56" t="s">
        <v>317</v>
      </c>
      <c r="G19" s="56" t="str">
        <f t="shared" si="3"/>
        <v>text</v>
      </c>
      <c r="H19" s="59"/>
      <c r="I19" s="60" t="s">
        <v>127</v>
      </c>
      <c r="J19" s="64" t="s">
        <v>2403</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milscm_2023_009.sny_202310_backup_mt_iyakuhin_sales_kaisha.update_ymd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ENT_01_A3-22</v>
      </c>
      <c r="E6" s="234"/>
      <c r="F6" s="234"/>
      <c r="G6" s="234"/>
      <c r="H6" s="234"/>
      <c r="I6" s="234"/>
      <c r="J6" s="235"/>
    </row>
    <row r="7" spans="1:45">
      <c r="B7" s="223" t="s">
        <v>115</v>
      </c>
      <c r="C7" s="224"/>
      <c r="D7" s="225" t="s">
        <v>3246</v>
      </c>
      <c r="E7" s="226"/>
      <c r="F7" s="226"/>
      <c r="G7" s="226"/>
      <c r="H7" s="226"/>
      <c r="I7" s="226"/>
      <c r="J7" s="227"/>
    </row>
    <row r="8" spans="1:45">
      <c r="B8" s="223" t="s">
        <v>116</v>
      </c>
      <c r="C8" s="224"/>
      <c r="D8" s="225" t="str">
        <f>エンティティ一覧!AE2&amp;"_"&amp;D5&amp;"_mt_maker"</f>
        <v>sny_202310_backup_mt_maker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メーカマスタテーブルから組入れ条件の第一条件で絞り込んだ結果を格納するテーブル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milscm_2023_009.sny_202310_backup_mt_maker;</v>
      </c>
      <c r="O10" s="76"/>
      <c r="P10" s="76"/>
      <c r="Q10" s="76"/>
      <c r="R10" s="76"/>
      <c r="S10" s="76"/>
      <c r="T10" s="76"/>
      <c r="AJ10" s="76" t="str">
        <f>"ALTER TABLE ONLY "&amp;エンティティ一覧!$O$2&amp;"."&amp;D$8</f>
        <v>ALTER TABLE ONLY milscm_2023_009.sny_202310_backup_mt_maker</v>
      </c>
      <c r="AS10" s="76" t="str">
        <f>"ALTER TABLE "&amp;エンティティ一覧!$O$2&amp;"."&amp;D$8&amp;" OWNER TO pgmisgrp1;"</f>
        <v>ALTER TABLE milscm_2023_009.sny_202310_backup_mt_maker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milscm_2023_009.sny_202310_backup_mt_maker</v>
      </c>
      <c r="O11" s="76"/>
      <c r="P11" s="76"/>
      <c r="Q11" s="76"/>
      <c r="R11" s="76"/>
      <c r="S11" s="76"/>
      <c r="T11" s="76"/>
      <c r="AJ11" s="76" t="str">
        <f>"ADD CONSTRAINT "&amp;D$8&amp;"_pkey PRIMARY KEY"</f>
        <v>ADD CONSTRAINT sny_202310_backup_mt_maker_pkey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milscm_2023_009.sny_202310_backup_mt_maker IS 'バックアップ_メーカマスタ';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19" si="0">UPPER(G13)</f>
        <v>TEXT</v>
      </c>
      <c r="R13" s="76" t="str">
        <f t="shared" ref="R13:R19"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milscm_2023_009.sny_202310_backup_mt_maker.sekoubi IS '施行日';</v>
      </c>
    </row>
    <row r="14" spans="1:45" s="25" customFormat="1">
      <c r="A14" s="4"/>
      <c r="B14" s="21">
        <f t="shared" ref="B14:B18" si="2">ROW()-12</f>
        <v>2</v>
      </c>
      <c r="C14" s="6" t="s">
        <v>3291</v>
      </c>
      <c r="D14" s="6" t="s">
        <v>2051</v>
      </c>
      <c r="E14" s="8" t="s">
        <v>127</v>
      </c>
      <c r="F14" s="7" t="s">
        <v>317</v>
      </c>
      <c r="G14" s="7" t="str">
        <f t="shared" ref="G14:G19" si="3">IF(F14="フラグ","boolean",IF(F14="文字列","text",IF(F14="整数","integer",IF(F14="実数","numeric",""))))</f>
        <v>text</v>
      </c>
      <c r="H14" s="26"/>
      <c r="I14" s="10" t="s">
        <v>127</v>
      </c>
      <c r="J14" s="11" t="s">
        <v>3316</v>
      </c>
      <c r="M14" s="4"/>
      <c r="N14" s="76"/>
      <c r="O14" s="76"/>
      <c r="P14" s="76" t="str">
        <f t="shared" ref="P14:P19" si="4">IF(B14&lt;&gt;1,","&amp;D14,D14)</f>
        <v>,koshin_kubun</v>
      </c>
      <c r="Q14" s="76" t="str">
        <f t="shared" si="0"/>
        <v>TEXT</v>
      </c>
      <c r="R14" s="76" t="str">
        <f t="shared" si="1"/>
        <v/>
      </c>
      <c r="S14" s="76" t="str">
        <f t="shared" ref="S14:S19" si="5">IF(I14="○","NOT NULL","")</f>
        <v>NOT NULL</v>
      </c>
      <c r="T14" s="76" t="str">
        <f t="shared" ref="T14:T19"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milscm_2023_009.sny_202310_backup_mt_maker.koshin_kubun IS '更新区分';</v>
      </c>
    </row>
    <row r="15" spans="1:45" s="25" customFormat="1">
      <c r="A15" s="4"/>
      <c r="B15" s="21">
        <f t="shared" si="2"/>
        <v>3</v>
      </c>
      <c r="C15" s="6" t="s">
        <v>3326</v>
      </c>
      <c r="D15" s="6" t="s">
        <v>3327</v>
      </c>
      <c r="E15" s="8" t="s">
        <v>127</v>
      </c>
      <c r="F15" s="7" t="s">
        <v>317</v>
      </c>
      <c r="G15" s="7" t="str">
        <f t="shared" si="3"/>
        <v>text</v>
      </c>
      <c r="H15" s="26"/>
      <c r="I15" s="10" t="s">
        <v>127</v>
      </c>
      <c r="J15" s="11"/>
      <c r="M15" s="4"/>
      <c r="N15" s="76"/>
      <c r="O15" s="76"/>
      <c r="P15" s="76" t="str">
        <f t="shared" si="4"/>
        <v>,maker_code</v>
      </c>
      <c r="Q15" s="76" t="str">
        <f t="shared" si="0"/>
        <v>TEXT</v>
      </c>
      <c r="R15" s="76" t="str">
        <f t="shared" si="1"/>
        <v/>
      </c>
      <c r="S15" s="76" t="str">
        <f t="shared" si="5"/>
        <v>NOT NULL</v>
      </c>
      <c r="T15" s="76" t="str">
        <f t="shared" si="6"/>
        <v>-- メーカコード</v>
      </c>
      <c r="U15" s="4"/>
      <c r="AA15" s="4"/>
      <c r="AB15" s="4"/>
      <c r="AC15" s="4"/>
      <c r="AD15" s="4"/>
      <c r="AE15" s="4"/>
      <c r="AF15" s="4"/>
      <c r="AG15" s="4"/>
      <c r="AH15" s="4"/>
      <c r="AI15" s="4"/>
      <c r="AJ15" s="76" t="str">
        <f>IF(E15="○",IF(COUNTA(E$13:E15)=1,"",",")&amp;D15,"")</f>
        <v>,maker_code</v>
      </c>
      <c r="AK15" s="4"/>
      <c r="AL15" s="4"/>
      <c r="AM15" s="4"/>
      <c r="AN15" s="4"/>
      <c r="AO15" s="4"/>
      <c r="AP15" s="4"/>
      <c r="AQ15" s="4"/>
      <c r="AR15" s="4"/>
      <c r="AS15" s="76" t="str">
        <f>"COMMENT ON COLUMN "&amp;エンティティ一覧!$O$2&amp;"."&amp;D$8&amp;"."&amp;D15&amp;" IS '"&amp;C15&amp;"';"</f>
        <v>COMMENT ON COLUMN milscm_2023_009.sny_202310_backup_mt_maker.maker_code IS 'メーカコード';</v>
      </c>
    </row>
    <row r="16" spans="1:45" s="25" customFormat="1">
      <c r="A16" s="4"/>
      <c r="B16" s="21">
        <f t="shared" si="2"/>
        <v>4</v>
      </c>
      <c r="C16" s="6" t="s">
        <v>3328</v>
      </c>
      <c r="D16" s="6" t="s">
        <v>3329</v>
      </c>
      <c r="E16" s="8"/>
      <c r="F16" s="7" t="s">
        <v>317</v>
      </c>
      <c r="G16" s="7" t="str">
        <f t="shared" si="3"/>
        <v>text</v>
      </c>
      <c r="H16" s="26"/>
      <c r="I16" s="10" t="s">
        <v>127</v>
      </c>
      <c r="J16" s="11"/>
      <c r="M16" s="4"/>
      <c r="N16" s="76"/>
      <c r="O16" s="76"/>
      <c r="P16" s="76" t="str">
        <f t="shared" si="4"/>
        <v>,maker_name</v>
      </c>
      <c r="Q16" s="76" t="str">
        <f t="shared" si="0"/>
        <v>TEXT</v>
      </c>
      <c r="R16" s="76" t="str">
        <f t="shared" si="1"/>
        <v/>
      </c>
      <c r="S16" s="76" t="str">
        <f t="shared" si="5"/>
        <v>NOT NULL</v>
      </c>
      <c r="T16" s="76" t="str">
        <f t="shared" si="6"/>
        <v>-- メーカ名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milscm_2023_009.sny_202310_backup_mt_maker.maker_name IS 'メーカ名';</v>
      </c>
    </row>
    <row r="17" spans="1:52" s="25" customFormat="1">
      <c r="A17" s="4"/>
      <c r="B17" s="21">
        <f t="shared" si="2"/>
        <v>5</v>
      </c>
      <c r="C17" s="6" t="s">
        <v>3310</v>
      </c>
      <c r="D17" s="6" t="s">
        <v>3311</v>
      </c>
      <c r="E17" s="8"/>
      <c r="F17" s="7" t="s">
        <v>317</v>
      </c>
      <c r="G17" s="7" t="str">
        <f t="shared" si="3"/>
        <v>text</v>
      </c>
      <c r="H17" s="26"/>
      <c r="I17" s="10" t="s">
        <v>127</v>
      </c>
      <c r="J17" s="11" t="s">
        <v>3318</v>
      </c>
      <c r="M17" s="4"/>
      <c r="N17" s="76"/>
      <c r="O17" s="76"/>
      <c r="P17" s="76" t="str">
        <f t="shared" si="4"/>
        <v>,nen</v>
      </c>
      <c r="Q17" s="76" t="str">
        <f t="shared" si="0"/>
        <v>TEXT</v>
      </c>
      <c r="R17" s="76" t="str">
        <f t="shared" si="1"/>
        <v/>
      </c>
      <c r="S17" s="76" t="str">
        <f t="shared" si="5"/>
        <v>NOT NULL</v>
      </c>
      <c r="T17" s="76" t="str">
        <f t="shared" si="6"/>
        <v>-- 年</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milscm_2023_009.sny_202310_backup_mt_maker.nen IS '年';</v>
      </c>
    </row>
    <row r="18" spans="1:52" s="25" customFormat="1">
      <c r="A18" s="4"/>
      <c r="B18" s="21">
        <f t="shared" si="2"/>
        <v>6</v>
      </c>
      <c r="C18" s="6" t="s">
        <v>3312</v>
      </c>
      <c r="D18" s="6" t="s">
        <v>3313</v>
      </c>
      <c r="E18" s="8"/>
      <c r="F18" s="7" t="s">
        <v>317</v>
      </c>
      <c r="G18" s="7" t="str">
        <f t="shared" si="3"/>
        <v>text</v>
      </c>
      <c r="H18" s="26"/>
      <c r="I18" s="10" t="s">
        <v>127</v>
      </c>
      <c r="J18" s="11" t="s">
        <v>3319</v>
      </c>
      <c r="M18" s="4"/>
      <c r="N18" s="76"/>
      <c r="O18" s="76"/>
      <c r="P18" s="76" t="str">
        <f t="shared" si="4"/>
        <v>,nengetsu</v>
      </c>
      <c r="Q18" s="76" t="str">
        <f t="shared" si="0"/>
        <v>TEXT</v>
      </c>
      <c r="R18" s="76" t="str">
        <f t="shared" si="1"/>
        <v/>
      </c>
      <c r="S18" s="76" t="str">
        <f t="shared" si="5"/>
        <v>NOT NULL</v>
      </c>
      <c r="T18" s="76" t="str">
        <f t="shared" si="6"/>
        <v>-- 年月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milscm_2023_009.sny_202310_backup_mt_maker.nengetsu IS '年月';</v>
      </c>
    </row>
    <row r="19" spans="1:52" s="25" customFormat="1" ht="18" thickBot="1">
      <c r="A19" s="4"/>
      <c r="B19" s="27">
        <f>ROW()-12</f>
        <v>7</v>
      </c>
      <c r="C19" s="57" t="s">
        <v>3314</v>
      </c>
      <c r="D19" s="57" t="s">
        <v>1885</v>
      </c>
      <c r="E19" s="56"/>
      <c r="F19" s="56" t="s">
        <v>317</v>
      </c>
      <c r="G19" s="56" t="str">
        <f t="shared" si="3"/>
        <v>text</v>
      </c>
      <c r="H19" s="59"/>
      <c r="I19" s="60" t="s">
        <v>127</v>
      </c>
      <c r="J19" s="64" t="s">
        <v>2403</v>
      </c>
      <c r="N19" s="76"/>
      <c r="O19" s="76"/>
      <c r="P19" s="76" t="str">
        <f t="shared" si="4"/>
        <v>,update_ymd</v>
      </c>
      <c r="Q19" s="76" t="str">
        <f t="shared" si="0"/>
        <v>TEXT</v>
      </c>
      <c r="R19" s="76" t="str">
        <f t="shared" si="1"/>
        <v/>
      </c>
      <c r="S19" s="76" t="str">
        <f t="shared" si="5"/>
        <v>NOT NULL</v>
      </c>
      <c r="T19" s="76" t="str">
        <f t="shared" si="6"/>
        <v>-- データ登録日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milscm_2023_009.sny_202310_backup_mt_maker.update_ymd IS 'データ登録日';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ENT_01_A3-23</v>
      </c>
      <c r="E6" s="234"/>
      <c r="F6" s="234"/>
      <c r="G6" s="234"/>
      <c r="H6" s="234"/>
      <c r="I6" s="234"/>
      <c r="J6" s="235"/>
    </row>
    <row r="7" spans="1:45">
      <c r="B7" s="223" t="s">
        <v>115</v>
      </c>
      <c r="C7" s="224"/>
      <c r="D7" s="225" t="s">
        <v>3330</v>
      </c>
      <c r="E7" s="226"/>
      <c r="F7" s="226"/>
      <c r="G7" s="226"/>
      <c r="H7" s="226"/>
      <c r="I7" s="226"/>
      <c r="J7" s="227"/>
    </row>
    <row r="8" spans="1:45">
      <c r="B8" s="223" t="s">
        <v>116</v>
      </c>
      <c r="C8" s="224"/>
      <c r="D8" s="225" t="str">
        <f>エンティティ一覧!AE2&amp;"_"&amp;D5&amp;"_mt_price"</f>
        <v>sny_202310_backup_mt_price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薬価マスタテーブルから組入れ条件の第一条件で絞り込んだ結果を格納するテーブル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milscm_2023_009.sny_202310_backup_mt_price;</v>
      </c>
      <c r="O10" s="76"/>
      <c r="P10" s="76"/>
      <c r="Q10" s="76"/>
      <c r="R10" s="76"/>
      <c r="S10" s="76"/>
      <c r="T10" s="76"/>
      <c r="AJ10" s="76" t="str">
        <f>"ALTER TABLE ONLY "&amp;エンティティ一覧!$O$2&amp;"."&amp;D$8</f>
        <v>ALTER TABLE ONLY milscm_2023_009.sny_202310_backup_mt_price</v>
      </c>
      <c r="AS10" s="76" t="str">
        <f>"ALTER TABLE "&amp;エンティティ一覧!$O$2&amp;"."&amp;D$8&amp;" OWNER TO pgmisgrp1;"</f>
        <v>ALTER TABLE milscm_2023_009.sny_202310_backup_mt_price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milscm_2023_009.sny_202310_backup_mt_price</v>
      </c>
      <c r="O11" s="76"/>
      <c r="P11" s="76"/>
      <c r="Q11" s="76"/>
      <c r="R11" s="76"/>
      <c r="S11" s="76"/>
      <c r="T11" s="76"/>
      <c r="AJ11" s="76" t="str">
        <f>"ADD CONSTRAINT "&amp;D$8&amp;"_pkey PRIMARY KEY"</f>
        <v>ADD CONSTRAINT sny_202310_backup_mt_price_pkey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milscm_2023_009.sny_202310_backup_mt_price IS 'バックアップ_薬価マスタ';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milscm_2023_009.sny_202310_backup_mt_price.sekoubi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milscm_2023_009.sny_202310_backup_mt_price.koshin_kubun IS '更新区分';</v>
      </c>
    </row>
    <row r="15" spans="1:45" s="25" customFormat="1">
      <c r="A15" s="4"/>
      <c r="B15" s="21">
        <f t="shared" si="2"/>
        <v>3</v>
      </c>
      <c r="C15" s="6" t="s">
        <v>1161</v>
      </c>
      <c r="D15" s="6" t="s">
        <v>1162</v>
      </c>
      <c r="E15" s="8" t="s">
        <v>127</v>
      </c>
      <c r="F15" s="7" t="s">
        <v>317</v>
      </c>
      <c r="G15" s="7" t="str">
        <f t="shared" si="3"/>
        <v>text</v>
      </c>
      <c r="H15" s="26"/>
      <c r="I15" s="10" t="s">
        <v>127</v>
      </c>
      <c r="J15" s="11"/>
      <c r="M15" s="4"/>
      <c r="N15" s="76"/>
      <c r="O15" s="76"/>
      <c r="P15" s="76" t="str">
        <f t="shared" si="4"/>
        <v>,iyakuhin_code</v>
      </c>
      <c r="Q15" s="76" t="str">
        <f t="shared" si="0"/>
        <v>TEXT</v>
      </c>
      <c r="R15" s="76" t="str">
        <f t="shared" si="1"/>
        <v/>
      </c>
      <c r="S15" s="76" t="str">
        <f t="shared" si="5"/>
        <v>NOT NULL</v>
      </c>
      <c r="T15" s="76" t="str">
        <f t="shared" si="6"/>
        <v>-- 医薬品コード</v>
      </c>
      <c r="U15" s="4"/>
      <c r="AA15" s="4"/>
      <c r="AB15" s="4"/>
      <c r="AC15" s="4"/>
      <c r="AD15" s="4"/>
      <c r="AE15" s="4"/>
      <c r="AF15" s="4"/>
      <c r="AG15" s="4"/>
      <c r="AH15" s="4"/>
      <c r="AI15" s="4"/>
      <c r="AJ15" s="76" t="str">
        <f>IF(E15="○",IF(COUNTA(E$13:E15)=1,"",",")&amp;D15,"")</f>
        <v>,iyakuhin_code</v>
      </c>
      <c r="AK15" s="4"/>
      <c r="AL15" s="4"/>
      <c r="AM15" s="4"/>
      <c r="AN15" s="4"/>
      <c r="AO15" s="4"/>
      <c r="AP15" s="4"/>
      <c r="AQ15" s="4"/>
      <c r="AR15" s="4"/>
      <c r="AS15" s="76" t="str">
        <f>"COMMENT ON COLUMN "&amp;エンティティ一覧!$O$2&amp;"."&amp;D$8&amp;"."&amp;D15&amp;" IS '"&amp;C15&amp;"';"</f>
        <v>COMMENT ON COLUMN milscm_2023_009.sny_202310_backup_mt_price.iyakuhin_code IS '医薬品コード';</v>
      </c>
    </row>
    <row r="16" spans="1:45" s="25" customFormat="1">
      <c r="A16" s="4"/>
      <c r="B16" s="21">
        <f t="shared" si="2"/>
        <v>4</v>
      </c>
      <c r="C16" s="6" t="s">
        <v>3331</v>
      </c>
      <c r="D16" s="6" t="s">
        <v>3332</v>
      </c>
      <c r="E16" s="8"/>
      <c r="F16" s="7" t="s">
        <v>317</v>
      </c>
      <c r="G16" s="7" t="str">
        <f t="shared" si="3"/>
        <v>text</v>
      </c>
      <c r="H16" s="26"/>
      <c r="I16" s="10" t="s">
        <v>127</v>
      </c>
      <c r="J16" s="11" t="s">
        <v>3333</v>
      </c>
      <c r="M16" s="4"/>
      <c r="N16" s="76"/>
      <c r="O16" s="76"/>
      <c r="P16" s="76" t="str">
        <f t="shared" si="4"/>
        <v>,nendo</v>
      </c>
      <c r="Q16" s="76" t="str">
        <f t="shared" si="0"/>
        <v>TEXT</v>
      </c>
      <c r="R16" s="76" t="str">
        <f t="shared" si="1"/>
        <v/>
      </c>
      <c r="S16" s="76" t="str">
        <f t="shared" si="5"/>
        <v>NOT NULL</v>
      </c>
      <c r="T16" s="76" t="str">
        <f t="shared" si="6"/>
        <v>-- 年度</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milscm_2023_009.sny_202310_backup_mt_price.nendo IS '年度';</v>
      </c>
    </row>
    <row r="17" spans="1:52" s="25" customFormat="1" ht="34.799999999999997">
      <c r="A17" s="4"/>
      <c r="B17" s="21">
        <f t="shared" si="2"/>
        <v>5</v>
      </c>
      <c r="C17" s="6" t="s">
        <v>2607</v>
      </c>
      <c r="D17" s="6" t="s">
        <v>2608</v>
      </c>
      <c r="E17" s="8"/>
      <c r="F17" s="7" t="s">
        <v>332</v>
      </c>
      <c r="G17" s="7" t="str">
        <f t="shared" si="3"/>
        <v>numeric</v>
      </c>
      <c r="H17" s="26"/>
      <c r="I17" s="10" t="s">
        <v>127</v>
      </c>
      <c r="J17" s="11" t="s">
        <v>2399</v>
      </c>
      <c r="M17" s="4"/>
      <c r="N17" s="76"/>
      <c r="O17" s="76"/>
      <c r="P17" s="76" t="str">
        <f t="shared" si="4"/>
        <v>,price</v>
      </c>
      <c r="Q17" s="76" t="str">
        <f t="shared" si="0"/>
        <v>NUMERIC</v>
      </c>
      <c r="R17" s="76" t="str">
        <f t="shared" si="1"/>
        <v/>
      </c>
      <c r="S17" s="76" t="str">
        <f t="shared" si="5"/>
        <v>NOT NULL</v>
      </c>
      <c r="T17" s="76" t="str">
        <f t="shared" si="6"/>
        <v>-- 薬価</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milscm_2023_009.sny_202310_backup_mt_price.price IS '薬価';</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milscm_2023_009.sny_202310_backup_mt_price.nen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milscm_2023_009.sny_202310_backup_mt_price.nengetsu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milscm_2023_009.sny_202310_backup_mt_price.update_ymd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ENT_01_A3-24</v>
      </c>
      <c r="E6" s="234"/>
      <c r="F6" s="234"/>
      <c r="G6" s="234"/>
      <c r="H6" s="234"/>
      <c r="I6" s="234"/>
      <c r="J6" s="235"/>
    </row>
    <row r="7" spans="1:45">
      <c r="B7" s="223" t="s">
        <v>115</v>
      </c>
      <c r="C7" s="224"/>
      <c r="D7" s="225" t="s">
        <v>3248</v>
      </c>
      <c r="E7" s="226"/>
      <c r="F7" s="226"/>
      <c r="G7" s="226"/>
      <c r="H7" s="226"/>
      <c r="I7" s="226"/>
      <c r="J7" s="227"/>
    </row>
    <row r="8" spans="1:45">
      <c r="B8" s="223" t="s">
        <v>116</v>
      </c>
      <c r="C8" s="224"/>
      <c r="D8" s="225" t="str">
        <f>エンティティ一覧!AE2&amp;"_"&amp;D5&amp;"_mt_yakko_atc1"</f>
        <v>sny_202310_backup_mt_yakko_atc1</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milscm_2023_009.sny_202310_backup_mt_yakko_atc1;</v>
      </c>
      <c r="O10" s="76"/>
      <c r="P10" s="76"/>
      <c r="Q10" s="76"/>
      <c r="R10" s="76"/>
      <c r="S10" s="76"/>
      <c r="T10" s="76"/>
      <c r="AJ10" s="76" t="str">
        <f>"ALTER TABLE ONLY "&amp;エンティティ一覧!$O$2&amp;"."&amp;D$8</f>
        <v>ALTER TABLE ONLY milscm_2023_009.sny_202310_backup_mt_yakko_atc1</v>
      </c>
      <c r="AS10" s="76" t="str">
        <f>"ALTER TABLE "&amp;エンティティ一覧!$O$2&amp;"."&amp;D$8&amp;" OWNER TO pgmisgrp1;"</f>
        <v>ALTER TABLE milscm_2023_009.sny_202310_backup_mt_yakko_atc1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milscm_2023_009.sny_202310_backup_mt_yakko_atc1</v>
      </c>
      <c r="O11" s="76"/>
      <c r="P11" s="76"/>
      <c r="Q11" s="76"/>
      <c r="R11" s="76"/>
      <c r="S11" s="76"/>
      <c r="T11" s="76"/>
      <c r="AJ11" s="76" t="str">
        <f>"ADD CONSTRAINT "&amp;D$8&amp;"_pkey PRIMARY KEY"</f>
        <v>ADD CONSTRAINT sny_202310_backup_mt_yakko_atc1_pkey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milscm_2023_009.sny_202310_backup_mt_yakko_atc1 IS 'バックアップ_薬効ATC分類1マスタ';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milscm_2023_009.sny_202310_backup_mt_yakko_atc1.sekoubi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milscm_2023_009.sny_202310_backup_mt_yakko_atc1.koshin_kubun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milscm_2023_009.sny_202310_backup_mt_yakko_atc1.yakko_bunrui1_code IS '薬効分類1コード';</v>
      </c>
    </row>
    <row r="16" spans="1:45" s="25" customFormat="1">
      <c r="A16" s="4"/>
      <c r="B16" s="21">
        <f t="shared" si="2"/>
        <v>4</v>
      </c>
      <c r="C16" s="6" t="s">
        <v>2574</v>
      </c>
      <c r="D16" s="6" t="s">
        <v>3334</v>
      </c>
      <c r="E16" s="8"/>
      <c r="F16" s="7" t="s">
        <v>317</v>
      </c>
      <c r="G16" s="7" t="str">
        <f t="shared" si="3"/>
        <v>text</v>
      </c>
      <c r="H16" s="26"/>
      <c r="I16" s="10" t="s">
        <v>127</v>
      </c>
      <c r="J16" s="11"/>
      <c r="M16" s="4"/>
      <c r="N16" s="76"/>
      <c r="O16" s="76"/>
      <c r="P16" s="76" t="str">
        <f t="shared" si="4"/>
        <v>,yakko_bunrui1_name</v>
      </c>
      <c r="Q16" s="76" t="str">
        <f t="shared" si="0"/>
        <v>TEXT</v>
      </c>
      <c r="R16" s="76" t="str">
        <f t="shared" si="1"/>
        <v/>
      </c>
      <c r="S16" s="76" t="str">
        <f t="shared" si="5"/>
        <v>NOT NULL</v>
      </c>
      <c r="T16" s="76" t="str">
        <f t="shared" si="6"/>
        <v>-- 薬効分類1名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milscm_2023_009.sny_202310_backup_mt_yakko_atc1.yakko_bunrui1_name IS '薬効分類1名';</v>
      </c>
    </row>
    <row r="17" spans="1:52" s="25" customFormat="1" ht="30">
      <c r="A17" s="4"/>
      <c r="B17" s="21">
        <f t="shared" si="2"/>
        <v>5</v>
      </c>
      <c r="C17" s="6" t="s">
        <v>3335</v>
      </c>
      <c r="D17" s="6" t="s">
        <v>2575</v>
      </c>
      <c r="E17" s="8"/>
      <c r="F17" s="7" t="s">
        <v>317</v>
      </c>
      <c r="G17" s="7" t="str">
        <f t="shared" si="3"/>
        <v>text</v>
      </c>
      <c r="H17" s="26"/>
      <c r="I17" s="10" t="s">
        <v>127</v>
      </c>
      <c r="J17" s="11"/>
      <c r="M17" s="4"/>
      <c r="N17" s="76"/>
      <c r="O17" s="76"/>
      <c r="P17" s="76" t="str">
        <f t="shared" si="4"/>
        <v>,yakko_bunrui1_jpn_name</v>
      </c>
      <c r="Q17" s="76" t="str">
        <f t="shared" si="0"/>
        <v>TEXT</v>
      </c>
      <c r="R17" s="76" t="str">
        <f t="shared" si="1"/>
        <v/>
      </c>
      <c r="S17" s="76" t="str">
        <f t="shared" si="5"/>
        <v>NOT NULL</v>
      </c>
      <c r="T17" s="76" t="str">
        <f t="shared" si="6"/>
        <v>-- 薬効分類1日本語名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milscm_2023_009.sny_202310_backup_mt_yakko_atc1.yakko_bunrui1_jpn_name IS '薬効分類1日本語名';</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milscm_2023_009.sny_202310_backup_mt_yakko_atc1.nen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milscm_2023_009.sny_202310_backup_mt_yakko_atc1.nengetsu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milscm_2023_009.sny_202310_backup_mt_yakko_atc1.update_ymd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ENT_01_A3-25</v>
      </c>
      <c r="E6" s="234"/>
      <c r="F6" s="234"/>
      <c r="G6" s="234"/>
      <c r="H6" s="234"/>
      <c r="I6" s="234"/>
      <c r="J6" s="235"/>
    </row>
    <row r="7" spans="1:45">
      <c r="B7" s="223" t="s">
        <v>115</v>
      </c>
      <c r="C7" s="224"/>
      <c r="D7" s="225" t="s">
        <v>3336</v>
      </c>
      <c r="E7" s="226"/>
      <c r="F7" s="226"/>
      <c r="G7" s="226"/>
      <c r="H7" s="226"/>
      <c r="I7" s="226"/>
      <c r="J7" s="227"/>
    </row>
    <row r="8" spans="1:45">
      <c r="B8" s="223" t="s">
        <v>116</v>
      </c>
      <c r="C8" s="224"/>
      <c r="D8" s="225" t="str">
        <f>エンティティ一覧!AE2&amp;"_"&amp;D5&amp;"_mt_yakko_atc2"</f>
        <v>sny_202310_backup_mt_yakko_atc2</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milscm_2023_009.sny_202310_backup_mt_yakko_atc2;</v>
      </c>
      <c r="O10" s="76"/>
      <c r="P10" s="76"/>
      <c r="Q10" s="76"/>
      <c r="R10" s="76"/>
      <c r="S10" s="76"/>
      <c r="T10" s="76"/>
      <c r="AJ10" s="76" t="str">
        <f>"ALTER TABLE ONLY "&amp;エンティティ一覧!$O$2&amp;"."&amp;D$8</f>
        <v>ALTER TABLE ONLY milscm_2023_009.sny_202310_backup_mt_yakko_atc2</v>
      </c>
      <c r="AS10" s="76" t="str">
        <f>"ALTER TABLE "&amp;エンティティ一覧!$O$2&amp;"."&amp;D$8&amp;" OWNER TO pgmisgrp1;"</f>
        <v>ALTER TABLE milscm_2023_009.sny_202310_backup_mt_yakko_atc2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milscm_2023_009.sny_202310_backup_mt_yakko_atc2</v>
      </c>
      <c r="O11" s="76"/>
      <c r="P11" s="76"/>
      <c r="Q11" s="76"/>
      <c r="R11" s="76"/>
      <c r="S11" s="76"/>
      <c r="T11" s="76"/>
      <c r="AJ11" s="76" t="str">
        <f>"ADD CONSTRAINT "&amp;D$8&amp;"_pkey PRIMARY KEY"</f>
        <v>ADD CONSTRAINT sny_202310_backup_mt_yakko_atc2_pkey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milscm_2023_009.sny_202310_backup_mt_yakko_atc2 IS 'バックアップ_薬効ATC分類2マスタ';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milscm_2023_009.sny_202310_backup_mt_yakko_atc2.sekoubi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milscm_2023_009.sny_202310_backup_mt_yakko_atc2.koshin_kubun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milscm_2023_009.sny_202310_backup_mt_yakko_atc2.yakko_bunrui1_code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milscm_2023_009.sny_202310_backup_mt_yakko_atc2.yakko_bunrui2_code IS '薬効分類2コード';</v>
      </c>
    </row>
    <row r="17" spans="1:52" s="25" customFormat="1">
      <c r="A17" s="4"/>
      <c r="B17" s="21">
        <f t="shared" si="2"/>
        <v>5</v>
      </c>
      <c r="C17" s="6" t="s">
        <v>2576</v>
      </c>
      <c r="D17" s="6" t="s">
        <v>3337</v>
      </c>
      <c r="E17" s="8"/>
      <c r="F17" s="7" t="s">
        <v>317</v>
      </c>
      <c r="G17" s="7" t="str">
        <f t="shared" si="3"/>
        <v>text</v>
      </c>
      <c r="H17" s="26"/>
      <c r="I17" s="10" t="s">
        <v>127</v>
      </c>
      <c r="J17" s="11"/>
      <c r="M17" s="4"/>
      <c r="N17" s="76"/>
      <c r="O17" s="76"/>
      <c r="P17" s="76" t="str">
        <f t="shared" si="4"/>
        <v>,yakko_bunrui2_name</v>
      </c>
      <c r="Q17" s="76" t="str">
        <f t="shared" si="0"/>
        <v>TEXT</v>
      </c>
      <c r="R17" s="76" t="str">
        <f t="shared" si="1"/>
        <v/>
      </c>
      <c r="S17" s="76" t="str">
        <f t="shared" si="5"/>
        <v>NOT NULL</v>
      </c>
      <c r="T17" s="76" t="str">
        <f t="shared" si="6"/>
        <v>-- 薬効分類2名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milscm_2023_009.sny_202310_backup_mt_yakko_atc2.yakko_bunrui2_name IS '薬効分類2名';</v>
      </c>
    </row>
    <row r="18" spans="1:52" s="25" customFormat="1" ht="30">
      <c r="A18" s="4"/>
      <c r="B18" s="21">
        <f t="shared" si="2"/>
        <v>6</v>
      </c>
      <c r="C18" s="6" t="s">
        <v>3338</v>
      </c>
      <c r="D18" s="6" t="s">
        <v>2577</v>
      </c>
      <c r="E18" s="8"/>
      <c r="F18" s="7" t="s">
        <v>317</v>
      </c>
      <c r="G18" s="7" t="str">
        <f t="shared" ref="G18" si="7">IF(F18="フラグ","boolean",IF(F18="文字列","text",IF(F18="整数","integer",IF(F18="実数","numeric",""))))</f>
        <v>text</v>
      </c>
      <c r="H18" s="26"/>
      <c r="I18" s="10" t="s">
        <v>127</v>
      </c>
      <c r="J18" s="11"/>
      <c r="M18" s="4"/>
      <c r="N18" s="76"/>
      <c r="O18" s="76"/>
      <c r="P18" s="76" t="str">
        <f t="shared" ref="P18" si="8">IF(B18&lt;&gt;1,","&amp;D18,D18)</f>
        <v>,yakko_bunrui2_jpn_name</v>
      </c>
      <c r="Q18" s="76" t="str">
        <f t="shared" ref="Q18" si="9">UPPER(G18)</f>
        <v>TEXT</v>
      </c>
      <c r="R18" s="76" t="str">
        <f t="shared" ref="R18" si="10">IF(H18&lt;&gt;"","default "&amp;IF(G18="text","'"&amp;H18&amp;"'",H18),"")</f>
        <v/>
      </c>
      <c r="S18" s="76" t="str">
        <f t="shared" ref="S18" si="11">IF(I18="○","NOT NULL","")</f>
        <v>NOT NULL</v>
      </c>
      <c r="T18" s="76" t="str">
        <f t="shared" ref="T18" si="12">"-- "&amp;C18</f>
        <v>-- 薬効分類2日本語名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milscm_2023_009.sny_202310_backup_mt_yakko_atc2.yakko_bunrui2_jpn_name IS '薬効分類2日本語名';</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milscm_2023_009.sny_202310_backup_mt_yakko_atc2.nen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milscm_2023_009.sny_202310_backup_mt_yakko_atc2.nengetsu IS '年月';</v>
      </c>
    </row>
    <row r="21" spans="1:52" s="25" customFormat="1" ht="18"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milscm_2023_009.sny_202310_backup_mt_yakko_atc2.update_ymd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ENT_01_A3-26</v>
      </c>
      <c r="E6" s="234"/>
      <c r="F6" s="234"/>
      <c r="G6" s="234"/>
      <c r="H6" s="234"/>
      <c r="I6" s="234"/>
      <c r="J6" s="235"/>
    </row>
    <row r="7" spans="1:45">
      <c r="B7" s="223" t="s">
        <v>115</v>
      </c>
      <c r="C7" s="224"/>
      <c r="D7" s="225" t="s">
        <v>3339</v>
      </c>
      <c r="E7" s="226"/>
      <c r="F7" s="226"/>
      <c r="G7" s="226"/>
      <c r="H7" s="226"/>
      <c r="I7" s="226"/>
      <c r="J7" s="227"/>
    </row>
    <row r="8" spans="1:45">
      <c r="B8" s="223" t="s">
        <v>116</v>
      </c>
      <c r="C8" s="224"/>
      <c r="D8" s="225" t="str">
        <f>エンティティ一覧!AE2&amp;"_"&amp;D5&amp;"_mt_yakko_atc3"</f>
        <v>sny_202310_backup_mt_yakko_atc3</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milscm_2023_009.sny_202310_backup_mt_yakko_atc3;</v>
      </c>
      <c r="O10" s="76"/>
      <c r="P10" s="76"/>
      <c r="Q10" s="76"/>
      <c r="R10" s="76"/>
      <c r="S10" s="76"/>
      <c r="T10" s="76"/>
      <c r="AJ10" s="76" t="str">
        <f>"ALTER TABLE ONLY "&amp;エンティティ一覧!$O$2&amp;"."&amp;D$8</f>
        <v>ALTER TABLE ONLY milscm_2023_009.sny_202310_backup_mt_yakko_atc3</v>
      </c>
      <c r="AS10" s="76" t="str">
        <f>"ALTER TABLE "&amp;エンティティ一覧!$O$2&amp;"."&amp;D$8&amp;" OWNER TO pgmisgrp1;"</f>
        <v>ALTER TABLE milscm_2023_009.sny_202310_backup_mt_yakko_atc3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milscm_2023_009.sny_202310_backup_mt_yakko_atc3</v>
      </c>
      <c r="O11" s="76"/>
      <c r="P11" s="76"/>
      <c r="Q11" s="76"/>
      <c r="R11" s="76"/>
      <c r="S11" s="76"/>
      <c r="T11" s="76"/>
      <c r="AJ11" s="76" t="str">
        <f>"ADD CONSTRAINT "&amp;D$8&amp;"_pkey PRIMARY KEY"</f>
        <v>ADD CONSTRAINT sny_202310_backup_mt_yakko_atc3_pkey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milscm_2023_009.sny_202310_backup_mt_yakko_atc3 IS 'バックアップ_薬効ATC分類3マスタ';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milscm_2023_009.sny_202310_backup_mt_yakko_atc3.sekoubi IS '施行日';</v>
      </c>
    </row>
    <row r="14" spans="1:45" s="25" customFormat="1">
      <c r="A14" s="4"/>
      <c r="B14" s="21">
        <f t="shared" ref="B14:B21" si="2">ROW()-12</f>
        <v>2</v>
      </c>
      <c r="C14" s="6" t="s">
        <v>3291</v>
      </c>
      <c r="D14" s="6" t="s">
        <v>2051</v>
      </c>
      <c r="E14" s="8" t="s">
        <v>127</v>
      </c>
      <c r="F14" s="7" t="s">
        <v>317</v>
      </c>
      <c r="G14" s="7" t="str">
        <f t="shared" ref="G14:G22" si="3">IF(F14="フラグ","boolean",IF(F14="文字列","text",IF(F14="整数","integer",IF(F14="実数","numeric",""))))</f>
        <v>text</v>
      </c>
      <c r="H14" s="26"/>
      <c r="I14" s="10" t="s">
        <v>127</v>
      </c>
      <c r="J14" s="11" t="s">
        <v>3316</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milscm_2023_009.sny_202310_backup_mt_yakko_atc3.koshin_kubun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milscm_2023_009.sny_202310_backup_mt_yakko_atc3.yakko_bunrui1_code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milscm_2023_009.sny_202310_backup_mt_yakko_atc3.yakko_bunrui2_code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milscm_2023_009.sny_202310_backup_mt_yakko_atc3.yakko_bunrui3_code IS '薬効分類3コード';</v>
      </c>
    </row>
    <row r="18" spans="1:52" s="25" customFormat="1">
      <c r="A18" s="4"/>
      <c r="B18" s="21">
        <f t="shared" si="2"/>
        <v>6</v>
      </c>
      <c r="C18" s="6" t="s">
        <v>2578</v>
      </c>
      <c r="D18" s="6" t="s">
        <v>3340</v>
      </c>
      <c r="E18" s="8"/>
      <c r="F18" s="7" t="s">
        <v>317</v>
      </c>
      <c r="G18" s="7" t="str">
        <f t="shared" si="3"/>
        <v>text</v>
      </c>
      <c r="H18" s="26"/>
      <c r="I18" s="10" t="s">
        <v>127</v>
      </c>
      <c r="J18" s="11"/>
      <c r="M18" s="4"/>
      <c r="N18" s="76"/>
      <c r="O18" s="76"/>
      <c r="P18" s="76" t="str">
        <f t="shared" si="4"/>
        <v>,yakko_bunrui3_name</v>
      </c>
      <c r="Q18" s="76" t="str">
        <f t="shared" si="0"/>
        <v>TEXT</v>
      </c>
      <c r="R18" s="76" t="str">
        <f t="shared" si="1"/>
        <v/>
      </c>
      <c r="S18" s="76" t="str">
        <f t="shared" si="5"/>
        <v>NOT NULL</v>
      </c>
      <c r="T18" s="76" t="str">
        <f t="shared" si="6"/>
        <v>-- 薬効分類3名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milscm_2023_009.sny_202310_backup_mt_yakko_atc3.yakko_bunrui3_name IS '薬効分類3名';</v>
      </c>
    </row>
    <row r="19" spans="1:52" s="25" customFormat="1" ht="30">
      <c r="A19" s="4"/>
      <c r="B19" s="21">
        <f t="shared" si="2"/>
        <v>7</v>
      </c>
      <c r="C19" s="6" t="s">
        <v>3341</v>
      </c>
      <c r="D19" s="6" t="s">
        <v>2579</v>
      </c>
      <c r="E19" s="8"/>
      <c r="F19" s="7" t="s">
        <v>317</v>
      </c>
      <c r="G19" s="7" t="str">
        <f t="shared" si="3"/>
        <v>text</v>
      </c>
      <c r="H19" s="26"/>
      <c r="I19" s="10" t="s">
        <v>127</v>
      </c>
      <c r="J19" s="11"/>
      <c r="M19" s="4"/>
      <c r="N19" s="76"/>
      <c r="O19" s="76"/>
      <c r="P19" s="76" t="str">
        <f t="shared" si="4"/>
        <v>,yakko_bunrui3_jpn_name</v>
      </c>
      <c r="Q19" s="76" t="str">
        <f t="shared" si="0"/>
        <v>TEXT</v>
      </c>
      <c r="R19" s="76" t="str">
        <f t="shared" si="1"/>
        <v/>
      </c>
      <c r="S19" s="76" t="str">
        <f t="shared" si="5"/>
        <v>NOT NULL</v>
      </c>
      <c r="T19" s="76" t="str">
        <f t="shared" si="6"/>
        <v>-- 薬効分類3日本語名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milscm_2023_009.sny_202310_backup_mt_yakko_atc3.yakko_bunrui3_jpn_name IS '薬効分類3日本語名';</v>
      </c>
    </row>
    <row r="20" spans="1:52" s="25" customFormat="1">
      <c r="A20" s="4"/>
      <c r="B20" s="21">
        <f t="shared" si="2"/>
        <v>8</v>
      </c>
      <c r="C20" s="6" t="s">
        <v>3310</v>
      </c>
      <c r="D20" s="6" t="s">
        <v>3311</v>
      </c>
      <c r="E20" s="8"/>
      <c r="F20" s="7" t="s">
        <v>317</v>
      </c>
      <c r="G20" s="7" t="str">
        <f t="shared" ref="G20" si="7">IF(F20="フラグ","boolean",IF(F20="文字列","text",IF(F20="整数","integer",IF(F20="実数","numeric",""))))</f>
        <v>text</v>
      </c>
      <c r="H20" s="26"/>
      <c r="I20" s="10" t="s">
        <v>127</v>
      </c>
      <c r="J20" s="11" t="s">
        <v>3318</v>
      </c>
      <c r="M20" s="4"/>
      <c r="N20" s="76"/>
      <c r="O20" s="76"/>
      <c r="P20" s="76" t="str">
        <f t="shared" ref="P20" si="8">IF(B20&lt;&gt;1,","&amp;D20,D20)</f>
        <v>,nen</v>
      </c>
      <c r="Q20" s="76" t="str">
        <f t="shared" ref="Q20" si="9">UPPER(G20)</f>
        <v>TEXT</v>
      </c>
      <c r="R20" s="76" t="str">
        <f t="shared" ref="R20" si="10">IF(H20&lt;&gt;"","default "&amp;IF(G20="text","'"&amp;H20&amp;"'",H20),"")</f>
        <v/>
      </c>
      <c r="S20" s="76" t="str">
        <f t="shared" ref="S20" si="11">IF(I20="○","NOT NULL","")</f>
        <v>NOT NULL</v>
      </c>
      <c r="T20" s="76" t="str">
        <f t="shared" ref="T20" si="12">"-- "&amp;C20</f>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milscm_2023_009.sny_202310_backup_mt_yakko_atc3.nen IS '年';</v>
      </c>
    </row>
    <row r="21" spans="1:52" s="25" customFormat="1">
      <c r="A21" s="4"/>
      <c r="B21" s="21">
        <f t="shared" si="2"/>
        <v>9</v>
      </c>
      <c r="C21" s="6" t="s">
        <v>3312</v>
      </c>
      <c r="D21" s="6" t="s">
        <v>3313</v>
      </c>
      <c r="E21" s="8"/>
      <c r="F21" s="7" t="s">
        <v>317</v>
      </c>
      <c r="G21" s="7" t="str">
        <f t="shared" si="3"/>
        <v>text</v>
      </c>
      <c r="H21" s="26"/>
      <c r="I21" s="10" t="s">
        <v>127</v>
      </c>
      <c r="J21" s="11" t="s">
        <v>3319</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milscm_2023_009.sny_202310_backup_mt_yakko_atc3.nengetsu IS '年月';</v>
      </c>
    </row>
    <row r="22" spans="1:52" s="25" customFormat="1" ht="18" thickBot="1">
      <c r="A22" s="4"/>
      <c r="B22" s="27">
        <f>ROW()-12</f>
        <v>10</v>
      </c>
      <c r="C22" s="57" t="s">
        <v>3314</v>
      </c>
      <c r="D22" s="57" t="s">
        <v>1885</v>
      </c>
      <c r="E22" s="56"/>
      <c r="F22" s="56" t="s">
        <v>317</v>
      </c>
      <c r="G22" s="56" t="str">
        <f t="shared" si="3"/>
        <v>text</v>
      </c>
      <c r="H22" s="59"/>
      <c r="I22" s="60" t="s">
        <v>127</v>
      </c>
      <c r="J22" s="64" t="s">
        <v>2403</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milscm_2023_009.sny_202310_backup_mt_yakko_atc3.update_ymd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ENT_01_A3-27</v>
      </c>
      <c r="E6" s="234"/>
      <c r="F6" s="234"/>
      <c r="G6" s="234"/>
      <c r="H6" s="234"/>
      <c r="I6" s="234"/>
      <c r="J6" s="235"/>
    </row>
    <row r="7" spans="1:45">
      <c r="B7" s="223" t="s">
        <v>115</v>
      </c>
      <c r="C7" s="224"/>
      <c r="D7" s="225" t="s">
        <v>3342</v>
      </c>
      <c r="E7" s="226"/>
      <c r="F7" s="226"/>
      <c r="G7" s="226"/>
      <c r="H7" s="226"/>
      <c r="I7" s="226"/>
      <c r="J7" s="227"/>
    </row>
    <row r="8" spans="1:45">
      <c r="B8" s="223" t="s">
        <v>116</v>
      </c>
      <c r="C8" s="224"/>
      <c r="D8" s="225" t="str">
        <f>エンティティ一覧!AE2&amp;"_"&amp;D5&amp;"_mt_yakko_atc4"</f>
        <v>sny_202310_backup_mt_yakko_atc4</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milscm_2023_009.sny_202310_backup_mt_yakko_atc4;</v>
      </c>
      <c r="O10" s="76"/>
      <c r="P10" s="76"/>
      <c r="Q10" s="76"/>
      <c r="R10" s="76"/>
      <c r="S10" s="76"/>
      <c r="T10" s="76"/>
      <c r="AJ10" s="76" t="str">
        <f>"ALTER TABLE ONLY "&amp;エンティティ一覧!$O$2&amp;"."&amp;D$8</f>
        <v>ALTER TABLE ONLY milscm_2023_009.sny_202310_backup_mt_yakko_atc4</v>
      </c>
      <c r="AS10" s="76" t="str">
        <f>"ALTER TABLE "&amp;エンティティ一覧!$O$2&amp;"."&amp;D$8&amp;" OWNER TO pgmisgrp1;"</f>
        <v>ALTER TABLE milscm_2023_009.sny_202310_backup_mt_yakko_atc4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milscm_2023_009.sny_202310_backup_mt_yakko_atc4</v>
      </c>
      <c r="O11" s="76"/>
      <c r="P11" s="76"/>
      <c r="Q11" s="76"/>
      <c r="R11" s="76"/>
      <c r="S11" s="76"/>
      <c r="T11" s="76"/>
      <c r="AJ11" s="76" t="str">
        <f>"ADD CONSTRAINT "&amp;D$8&amp;"_pkey PRIMARY KEY"</f>
        <v>ADD CONSTRAINT sny_202310_backup_mt_yakko_atc4_pkey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milscm_2023_009.sny_202310_backup_mt_yakko_atc4 IS 'バックアップ_薬効ATC分類4マスタ';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milscm_2023_009.sny_202310_backup_mt_yakko_atc4.sekoubi IS '施行日';</v>
      </c>
    </row>
    <row r="14" spans="1:45" s="25" customFormat="1">
      <c r="A14" s="4"/>
      <c r="B14" s="21">
        <f t="shared" ref="B14:B22" si="2">ROW()-12</f>
        <v>2</v>
      </c>
      <c r="C14" s="6" t="s">
        <v>3291</v>
      </c>
      <c r="D14" s="6" t="s">
        <v>2051</v>
      </c>
      <c r="E14" s="8" t="s">
        <v>127</v>
      </c>
      <c r="F14" s="7" t="s">
        <v>317</v>
      </c>
      <c r="G14" s="7" t="str">
        <f t="shared" ref="G14:G23" si="3">IF(F14="フラグ","boolean",IF(F14="文字列","text",IF(F14="整数","integer",IF(F14="実数","numeric",""))))</f>
        <v>text</v>
      </c>
      <c r="H14" s="26"/>
      <c r="I14" s="10" t="s">
        <v>127</v>
      </c>
      <c r="J14" s="11" t="s">
        <v>3316</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milscm_2023_009.sny_202310_backup_mt_yakko_atc4.koshin_kubun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milscm_2023_009.sny_202310_backup_mt_yakko_atc4.yakko_bunrui1_code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milscm_2023_009.sny_202310_backup_mt_yakko_atc4.yakko_bunrui2_code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milscm_2023_009.sny_202310_backup_mt_yakko_atc4.yakko_bunrui3_code IS '薬効分類3コード';</v>
      </c>
    </row>
    <row r="18" spans="1:52" s="25" customFormat="1">
      <c r="A18" s="4"/>
      <c r="B18" s="21">
        <f t="shared" si="2"/>
        <v>6</v>
      </c>
      <c r="C18" s="6" t="s">
        <v>2562</v>
      </c>
      <c r="D18" s="6" t="s">
        <v>3295</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milscm_2023_009.sny_202310_backup_mt_yakko_atc4.yakko_bunrui4_code IS '薬効分類4コード';</v>
      </c>
    </row>
    <row r="19" spans="1:52" s="25" customFormat="1">
      <c r="A19" s="4"/>
      <c r="B19" s="21">
        <f t="shared" si="2"/>
        <v>7</v>
      </c>
      <c r="C19" s="6" t="s">
        <v>2580</v>
      </c>
      <c r="D19" s="6" t="s">
        <v>3343</v>
      </c>
      <c r="E19" s="8"/>
      <c r="F19" s="7" t="s">
        <v>317</v>
      </c>
      <c r="G19" s="7" t="str">
        <f t="shared" ref="G19" si="7">IF(F19="フラグ","boolean",IF(F19="文字列","text",IF(F19="整数","integer",IF(F19="実数","numeric",""))))</f>
        <v>text</v>
      </c>
      <c r="H19" s="26"/>
      <c r="I19" s="10" t="s">
        <v>127</v>
      </c>
      <c r="J19" s="11"/>
      <c r="M19" s="4"/>
      <c r="N19" s="76"/>
      <c r="O19" s="76"/>
      <c r="P19" s="76" t="str">
        <f t="shared" ref="P19" si="8">IF(B19&lt;&gt;1,","&amp;D19,D19)</f>
        <v>,yakko_bunrui4_name</v>
      </c>
      <c r="Q19" s="76" t="str">
        <f t="shared" ref="Q19" si="9">UPPER(G19)</f>
        <v>TEXT</v>
      </c>
      <c r="R19" s="76" t="str">
        <f t="shared" ref="R19" si="10">IF(H19&lt;&gt;"","default "&amp;IF(G19="text","'"&amp;H19&amp;"'",H19),"")</f>
        <v/>
      </c>
      <c r="S19" s="76" t="str">
        <f t="shared" ref="S19" si="11">IF(I19="○","NOT NULL","")</f>
        <v>NOT NULL</v>
      </c>
      <c r="T19" s="76" t="str">
        <f t="shared" ref="T19" si="12">"-- "&amp;C19</f>
        <v>-- 薬効分類4名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milscm_2023_009.sny_202310_backup_mt_yakko_atc4.yakko_bunrui4_name IS '薬効分類4名';</v>
      </c>
    </row>
    <row r="20" spans="1:52" s="25" customFormat="1" ht="30">
      <c r="A20" s="4"/>
      <c r="B20" s="21">
        <f t="shared" si="2"/>
        <v>8</v>
      </c>
      <c r="C20" s="6" t="s">
        <v>3344</v>
      </c>
      <c r="D20" s="6" t="s">
        <v>2581</v>
      </c>
      <c r="E20" s="8"/>
      <c r="F20" s="7" t="s">
        <v>317</v>
      </c>
      <c r="G20" s="7" t="str">
        <f t="shared" si="3"/>
        <v>text</v>
      </c>
      <c r="H20" s="26"/>
      <c r="I20" s="10" t="s">
        <v>127</v>
      </c>
      <c r="J20" s="11"/>
      <c r="M20" s="4"/>
      <c r="N20" s="76"/>
      <c r="O20" s="76"/>
      <c r="P20" s="76" t="str">
        <f t="shared" si="4"/>
        <v>,yakko_bunrui4_jpn_name</v>
      </c>
      <c r="Q20" s="76" t="str">
        <f t="shared" si="0"/>
        <v>TEXT</v>
      </c>
      <c r="R20" s="76" t="str">
        <f t="shared" si="1"/>
        <v/>
      </c>
      <c r="S20" s="76" t="str">
        <f t="shared" si="5"/>
        <v>NOT NULL</v>
      </c>
      <c r="T20" s="76" t="str">
        <f t="shared" si="6"/>
        <v>-- 薬効分類4日本語名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milscm_2023_009.sny_202310_backup_mt_yakko_atc4.yakko_bunrui4_jpn_name IS '薬効分類4日本語名';</v>
      </c>
    </row>
    <row r="21" spans="1:52" s="25" customFormat="1">
      <c r="A21" s="4"/>
      <c r="B21" s="21">
        <f t="shared" si="2"/>
        <v>9</v>
      </c>
      <c r="C21" s="6" t="s">
        <v>3310</v>
      </c>
      <c r="D21" s="6" t="s">
        <v>3311</v>
      </c>
      <c r="E21" s="8"/>
      <c r="F21" s="7" t="s">
        <v>317</v>
      </c>
      <c r="G21" s="7" t="str">
        <f t="shared" si="3"/>
        <v>text</v>
      </c>
      <c r="H21" s="26"/>
      <c r="I21" s="10" t="s">
        <v>127</v>
      </c>
      <c r="J21" s="11" t="s">
        <v>3318</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milscm_2023_009.sny_202310_backup_mt_yakko_atc4.nen IS '年';</v>
      </c>
    </row>
    <row r="22" spans="1:52" s="25" customFormat="1">
      <c r="A22" s="4"/>
      <c r="B22" s="21">
        <f t="shared" si="2"/>
        <v>10</v>
      </c>
      <c r="C22" s="6" t="s">
        <v>3312</v>
      </c>
      <c r="D22" s="6" t="s">
        <v>3313</v>
      </c>
      <c r="E22" s="8"/>
      <c r="F22" s="7" t="s">
        <v>317</v>
      </c>
      <c r="G22" s="7" t="str">
        <f t="shared" si="3"/>
        <v>text</v>
      </c>
      <c r="H22" s="26"/>
      <c r="I22" s="10" t="s">
        <v>127</v>
      </c>
      <c r="J22" s="11" t="s">
        <v>3319</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milscm_2023_009.sny_202310_backup_mt_yakko_atc4.nengetsu IS '年月';</v>
      </c>
    </row>
    <row r="23" spans="1:52" s="25" customFormat="1" ht="18" thickBot="1">
      <c r="A23" s="4"/>
      <c r="B23" s="27">
        <f>ROW()-12</f>
        <v>11</v>
      </c>
      <c r="C23" s="57" t="s">
        <v>3314</v>
      </c>
      <c r="D23" s="57" t="s">
        <v>1885</v>
      </c>
      <c r="E23" s="56"/>
      <c r="F23" s="56" t="s">
        <v>317</v>
      </c>
      <c r="G23" s="56" t="str">
        <f t="shared" si="3"/>
        <v>text</v>
      </c>
      <c r="H23" s="59"/>
      <c r="I23" s="60" t="s">
        <v>127</v>
      </c>
      <c r="J23" s="64" t="s">
        <v>2403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milscm_2023_009.sny_202310_backup_mt_yakko_atc4.update_ymd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ENT_01_A3-28</v>
      </c>
      <c r="E6" s="234"/>
      <c r="F6" s="234"/>
      <c r="G6" s="234"/>
      <c r="H6" s="234"/>
      <c r="I6" s="234"/>
      <c r="J6" s="235"/>
    </row>
    <row r="7" spans="1:45">
      <c r="B7" s="223" t="s">
        <v>115</v>
      </c>
      <c r="C7" s="224"/>
      <c r="D7" s="225" t="s">
        <v>3345</v>
      </c>
      <c r="E7" s="226"/>
      <c r="F7" s="226"/>
      <c r="G7" s="226"/>
      <c r="H7" s="226"/>
      <c r="I7" s="226"/>
      <c r="J7" s="227"/>
    </row>
    <row r="8" spans="1:45">
      <c r="B8" s="223" t="s">
        <v>116</v>
      </c>
      <c r="C8" s="224"/>
      <c r="D8" s="225" t="str">
        <f>エンティティ一覧!AE2&amp;"_"&amp;D5&amp;"_mt_yakko_atc5"</f>
        <v>sny_202310_backup_mt_yakko_atc5</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milscm_2023_009.sny_202310_backup_mt_yakko_atc5;</v>
      </c>
      <c r="O10" s="76"/>
      <c r="P10" s="76"/>
      <c r="Q10" s="76"/>
      <c r="R10" s="76"/>
      <c r="S10" s="76"/>
      <c r="T10" s="76"/>
      <c r="AJ10" s="76" t="str">
        <f>"ALTER TABLE ONLY "&amp;エンティティ一覧!$O$2&amp;"."&amp;D$8</f>
        <v>ALTER TABLE ONLY milscm_2023_009.sny_202310_backup_mt_yakko_atc5</v>
      </c>
      <c r="AS10" s="76" t="str">
        <f>"ALTER TABLE "&amp;エンティティ一覧!$O$2&amp;"."&amp;D$8&amp;" OWNER TO pgmisgrp1;"</f>
        <v>ALTER TABLE milscm_2023_009.sny_202310_backup_mt_yakko_atc5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milscm_2023_009.sny_202310_backup_mt_yakko_atc5</v>
      </c>
      <c r="O11" s="76"/>
      <c r="P11" s="76"/>
      <c r="Q11" s="76"/>
      <c r="R11" s="76"/>
      <c r="S11" s="76"/>
      <c r="T11" s="76"/>
      <c r="AJ11" s="76" t="str">
        <f>"ADD CONSTRAINT "&amp;D$8&amp;"_pkey PRIMARY KEY"</f>
        <v>ADD CONSTRAINT sny_202310_backup_mt_yakko_atc5_pkey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milscm_2023_009.sny_202310_backup_mt_yakko_atc5 IS 'バックアップ_薬効ATC分類5マスタ';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4" si="0">UPPER(G13)</f>
        <v>TEXT</v>
      </c>
      <c r="R13" s="76" t="str">
        <f t="shared" ref="R13:R24"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milscm_2023_009.sny_202310_backup_mt_yakko_atc5.sekoubi IS '施行日';</v>
      </c>
    </row>
    <row r="14" spans="1:45" s="25" customFormat="1">
      <c r="A14" s="4"/>
      <c r="B14" s="21">
        <f t="shared" ref="B14:B23" si="2">ROW()-12</f>
        <v>2</v>
      </c>
      <c r="C14" s="6" t="s">
        <v>3291</v>
      </c>
      <c r="D14" s="6" t="s">
        <v>2051</v>
      </c>
      <c r="E14" s="8" t="s">
        <v>127</v>
      </c>
      <c r="F14" s="7" t="s">
        <v>317</v>
      </c>
      <c r="G14" s="7" t="str">
        <f t="shared" ref="G14:G24" si="3">IF(F14="フラグ","boolean",IF(F14="文字列","text",IF(F14="整数","integer",IF(F14="実数","numeric",""))))</f>
        <v>text</v>
      </c>
      <c r="H14" s="26"/>
      <c r="I14" s="10" t="s">
        <v>127</v>
      </c>
      <c r="J14" s="11" t="s">
        <v>3316</v>
      </c>
      <c r="M14" s="4"/>
      <c r="N14" s="76"/>
      <c r="O14" s="76"/>
      <c r="P14" s="76" t="str">
        <f t="shared" ref="P14:P24" si="4">IF(B14&lt;&gt;1,","&amp;D14,D14)</f>
        <v>,koshin_kubun</v>
      </c>
      <c r="Q14" s="76" t="str">
        <f t="shared" si="0"/>
        <v>TEXT</v>
      </c>
      <c r="R14" s="76" t="str">
        <f t="shared" si="1"/>
        <v/>
      </c>
      <c r="S14" s="76" t="str">
        <f t="shared" ref="S14:S24" si="5">IF(I14="○","NOT NULL","")</f>
        <v>NOT NULL</v>
      </c>
      <c r="T14" s="76" t="str">
        <f t="shared" ref="T14:T24"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milscm_2023_009.sny_202310_backup_mt_yakko_atc5.koshin_kubun IS '更新区分';</v>
      </c>
    </row>
    <row r="15" spans="1:45" s="25" customFormat="1">
      <c r="A15" s="4"/>
      <c r="B15" s="21">
        <f t="shared" si="2"/>
        <v>3</v>
      </c>
      <c r="C15" s="6" t="s">
        <v>2556</v>
      </c>
      <c r="D15" s="6" t="s">
        <v>3292</v>
      </c>
      <c r="E15" s="8" t="s">
        <v>127</v>
      </c>
      <c r="F15" s="7" t="s">
        <v>317</v>
      </c>
      <c r="G15" s="7" t="str">
        <f t="shared" si="3"/>
        <v>text</v>
      </c>
      <c r="H15" s="26"/>
      <c r="I15" s="10" t="s">
        <v>127</v>
      </c>
      <c r="J15" s="11"/>
      <c r="M15" s="4"/>
      <c r="N15" s="76"/>
      <c r="O15" s="76"/>
      <c r="P15" s="76" t="str">
        <f t="shared" si="4"/>
        <v>,yakko_bunrui1_code</v>
      </c>
      <c r="Q15" s="76" t="str">
        <f t="shared" si="0"/>
        <v>TEXT</v>
      </c>
      <c r="R15" s="76" t="str">
        <f t="shared" si="1"/>
        <v/>
      </c>
      <c r="S15" s="76" t="str">
        <f t="shared" si="5"/>
        <v>NOT NULL</v>
      </c>
      <c r="T15" s="76" t="str">
        <f t="shared" si="6"/>
        <v>-- 薬効分類1コード</v>
      </c>
      <c r="U15" s="4"/>
      <c r="AA15" s="4"/>
      <c r="AB15" s="4"/>
      <c r="AC15" s="4"/>
      <c r="AD15" s="4"/>
      <c r="AE15" s="4"/>
      <c r="AF15" s="4"/>
      <c r="AG15" s="4"/>
      <c r="AH15" s="4"/>
      <c r="AI15" s="4"/>
      <c r="AJ15" s="76" t="str">
        <f>IF(E15="○",IF(COUNTA(E$13:E15)=1,"",",")&amp;D15,"")</f>
        <v>,yakko_bunrui1_code</v>
      </c>
      <c r="AK15" s="4"/>
      <c r="AL15" s="4"/>
      <c r="AM15" s="4"/>
      <c r="AN15" s="4"/>
      <c r="AO15" s="4"/>
      <c r="AP15" s="4"/>
      <c r="AQ15" s="4"/>
      <c r="AR15" s="4"/>
      <c r="AS15" s="76" t="str">
        <f>"COMMENT ON COLUMN "&amp;エンティティ一覧!$O$2&amp;"."&amp;D$8&amp;"."&amp;D15&amp;" IS '"&amp;C15&amp;"';"</f>
        <v>COMMENT ON COLUMN milscm_2023_009.sny_202310_backup_mt_yakko_atc5.yakko_bunrui1_code IS '薬効分類1コード';</v>
      </c>
    </row>
    <row r="16" spans="1:45" s="25" customFormat="1">
      <c r="A16" s="4"/>
      <c r="B16" s="21">
        <f t="shared" si="2"/>
        <v>4</v>
      </c>
      <c r="C16" s="6" t="s">
        <v>2558</v>
      </c>
      <c r="D16" s="6" t="s">
        <v>3293</v>
      </c>
      <c r="E16" s="8" t="s">
        <v>127</v>
      </c>
      <c r="F16" s="7" t="s">
        <v>317</v>
      </c>
      <c r="G16" s="7" t="str">
        <f t="shared" si="3"/>
        <v>text</v>
      </c>
      <c r="H16" s="26"/>
      <c r="I16" s="10" t="s">
        <v>127</v>
      </c>
      <c r="J16" s="11"/>
      <c r="M16" s="4"/>
      <c r="N16" s="76"/>
      <c r="O16" s="76"/>
      <c r="P16" s="76" t="str">
        <f t="shared" si="4"/>
        <v>,yakko_bunrui2_code</v>
      </c>
      <c r="Q16" s="76" t="str">
        <f t="shared" si="0"/>
        <v>TEXT</v>
      </c>
      <c r="R16" s="76" t="str">
        <f t="shared" si="1"/>
        <v/>
      </c>
      <c r="S16" s="76" t="str">
        <f t="shared" si="5"/>
        <v>NOT NULL</v>
      </c>
      <c r="T16" s="76" t="str">
        <f t="shared" si="6"/>
        <v>-- 薬効分類2コード</v>
      </c>
      <c r="U16" s="4"/>
      <c r="AA16" s="4"/>
      <c r="AB16" s="4"/>
      <c r="AC16" s="4"/>
      <c r="AD16" s="4"/>
      <c r="AE16" s="4"/>
      <c r="AF16" s="4"/>
      <c r="AG16" s="4"/>
      <c r="AH16" s="4"/>
      <c r="AI16" s="4"/>
      <c r="AJ16" s="76" t="str">
        <f>IF(E16="○",IF(COUNTA(E$13:E16)=1,"",",")&amp;D16,"")</f>
        <v>,yakko_bunrui2_code</v>
      </c>
      <c r="AK16" s="4"/>
      <c r="AL16" s="4"/>
      <c r="AM16" s="4"/>
      <c r="AN16" s="4"/>
      <c r="AO16" s="4"/>
      <c r="AP16" s="4"/>
      <c r="AQ16" s="4"/>
      <c r="AR16" s="4"/>
      <c r="AS16" s="76" t="str">
        <f>"COMMENT ON COLUMN "&amp;エンティティ一覧!$O$2&amp;"."&amp;D$8&amp;"."&amp;D16&amp;" IS '"&amp;C16&amp;"';"</f>
        <v>COMMENT ON COLUMN milscm_2023_009.sny_202310_backup_mt_yakko_atc5.yakko_bunrui2_code IS '薬効分類2コード';</v>
      </c>
    </row>
    <row r="17" spans="1:52" s="25" customFormat="1">
      <c r="A17" s="4"/>
      <c r="B17" s="21">
        <f t="shared" si="2"/>
        <v>5</v>
      </c>
      <c r="C17" s="6" t="s">
        <v>2560</v>
      </c>
      <c r="D17" s="6" t="s">
        <v>3294</v>
      </c>
      <c r="E17" s="8" t="s">
        <v>127</v>
      </c>
      <c r="F17" s="7" t="s">
        <v>317</v>
      </c>
      <c r="G17" s="7" t="str">
        <f t="shared" si="3"/>
        <v>text</v>
      </c>
      <c r="H17" s="26"/>
      <c r="I17" s="10" t="s">
        <v>127</v>
      </c>
      <c r="J17" s="11"/>
      <c r="M17" s="4"/>
      <c r="N17" s="76"/>
      <c r="O17" s="76"/>
      <c r="P17" s="76" t="str">
        <f t="shared" si="4"/>
        <v>,yakko_bunrui3_code</v>
      </c>
      <c r="Q17" s="76" t="str">
        <f t="shared" si="0"/>
        <v>TEXT</v>
      </c>
      <c r="R17" s="76" t="str">
        <f t="shared" si="1"/>
        <v/>
      </c>
      <c r="S17" s="76" t="str">
        <f t="shared" si="5"/>
        <v>NOT NULL</v>
      </c>
      <c r="T17" s="76" t="str">
        <f t="shared" si="6"/>
        <v>-- 薬効分類3コード</v>
      </c>
      <c r="U17" s="4"/>
      <c r="AA17" s="4"/>
      <c r="AB17" s="4"/>
      <c r="AC17" s="4"/>
      <c r="AD17" s="4"/>
      <c r="AE17" s="4"/>
      <c r="AF17" s="4"/>
      <c r="AG17" s="4"/>
      <c r="AH17" s="4"/>
      <c r="AI17" s="4"/>
      <c r="AJ17" s="76" t="str">
        <f>IF(E17="○",IF(COUNTA(E$13:E17)=1,"",",")&amp;D17,"")</f>
        <v>,yakko_bunrui3_code</v>
      </c>
      <c r="AK17" s="4"/>
      <c r="AL17" s="4"/>
      <c r="AM17" s="4"/>
      <c r="AN17" s="4"/>
      <c r="AO17" s="4"/>
      <c r="AP17" s="4"/>
      <c r="AQ17" s="4"/>
      <c r="AR17" s="4"/>
      <c r="AS17" s="76" t="str">
        <f>"COMMENT ON COLUMN "&amp;エンティティ一覧!$O$2&amp;"."&amp;D$8&amp;"."&amp;D17&amp;" IS '"&amp;C17&amp;"';"</f>
        <v>COMMENT ON COLUMN milscm_2023_009.sny_202310_backup_mt_yakko_atc5.yakko_bunrui3_code IS '薬効分類3コード';</v>
      </c>
    </row>
    <row r="18" spans="1:52" s="25" customFormat="1">
      <c r="A18" s="4"/>
      <c r="B18" s="21">
        <f t="shared" si="2"/>
        <v>6</v>
      </c>
      <c r="C18" s="6" t="s">
        <v>2562</v>
      </c>
      <c r="D18" s="6" t="s">
        <v>3295</v>
      </c>
      <c r="E18" s="8" t="s">
        <v>127</v>
      </c>
      <c r="F18" s="7" t="s">
        <v>317</v>
      </c>
      <c r="G18" s="7" t="str">
        <f t="shared" si="3"/>
        <v>text</v>
      </c>
      <c r="H18" s="26"/>
      <c r="I18" s="10" t="s">
        <v>127</v>
      </c>
      <c r="J18" s="11"/>
      <c r="M18" s="4"/>
      <c r="N18" s="76"/>
      <c r="O18" s="76"/>
      <c r="P18" s="76" t="str">
        <f t="shared" si="4"/>
        <v>,yakko_bunrui4_code</v>
      </c>
      <c r="Q18" s="76" t="str">
        <f t="shared" si="0"/>
        <v>TEXT</v>
      </c>
      <c r="R18" s="76" t="str">
        <f t="shared" si="1"/>
        <v/>
      </c>
      <c r="S18" s="76" t="str">
        <f t="shared" si="5"/>
        <v>NOT NULL</v>
      </c>
      <c r="T18" s="76" t="str">
        <f t="shared" si="6"/>
        <v>-- 薬効分類4コード</v>
      </c>
      <c r="U18" s="4"/>
      <c r="AA18" s="4"/>
      <c r="AB18" s="4"/>
      <c r="AC18" s="4"/>
      <c r="AD18" s="4"/>
      <c r="AE18" s="4"/>
      <c r="AF18" s="4"/>
      <c r="AG18" s="4"/>
      <c r="AH18" s="4"/>
      <c r="AI18" s="4"/>
      <c r="AJ18" s="76" t="str">
        <f>IF(E18="○",IF(COUNTA(E$13:E18)=1,"",",")&amp;D18,"")</f>
        <v>,yakko_bunrui4_code</v>
      </c>
      <c r="AK18" s="4"/>
      <c r="AL18" s="4"/>
      <c r="AM18" s="4"/>
      <c r="AN18" s="4"/>
      <c r="AO18" s="4"/>
      <c r="AP18" s="4"/>
      <c r="AQ18" s="4"/>
      <c r="AR18" s="4"/>
      <c r="AS18" s="76" t="str">
        <f>"COMMENT ON COLUMN "&amp;エンティティ一覧!$O$2&amp;"."&amp;D$8&amp;"."&amp;D18&amp;" IS '"&amp;C18&amp;"';"</f>
        <v>COMMENT ON COLUMN milscm_2023_009.sny_202310_backup_mt_yakko_atc5.yakko_bunrui4_code IS '薬効分類4コード';</v>
      </c>
    </row>
    <row r="19" spans="1:52" s="25" customFormat="1">
      <c r="A19" s="4"/>
      <c r="B19" s="21">
        <f t="shared" si="2"/>
        <v>7</v>
      </c>
      <c r="C19" s="6" t="s">
        <v>2564</v>
      </c>
      <c r="D19" s="6" t="s">
        <v>3296</v>
      </c>
      <c r="E19" s="8" t="s">
        <v>127</v>
      </c>
      <c r="F19" s="7" t="s">
        <v>317</v>
      </c>
      <c r="G19" s="7" t="str">
        <f t="shared" si="3"/>
        <v>text</v>
      </c>
      <c r="H19" s="26"/>
      <c r="I19" s="10" t="s">
        <v>127</v>
      </c>
      <c r="J19" s="11"/>
      <c r="M19" s="4"/>
      <c r="N19" s="76"/>
      <c r="O19" s="76"/>
      <c r="P19" s="76" t="str">
        <f t="shared" si="4"/>
        <v>,yakko_bunrui5_code</v>
      </c>
      <c r="Q19" s="76" t="str">
        <f t="shared" si="0"/>
        <v>TEXT</v>
      </c>
      <c r="R19" s="76" t="str">
        <f t="shared" si="1"/>
        <v/>
      </c>
      <c r="S19" s="76" t="str">
        <f t="shared" si="5"/>
        <v>NOT NULL</v>
      </c>
      <c r="T19" s="76" t="str">
        <f t="shared" si="6"/>
        <v>-- 薬効分類5コード</v>
      </c>
      <c r="U19" s="4"/>
      <c r="AA19" s="4"/>
      <c r="AB19" s="4"/>
      <c r="AC19" s="4"/>
      <c r="AD19" s="4"/>
      <c r="AE19" s="4"/>
      <c r="AF19" s="4"/>
      <c r="AG19" s="4"/>
      <c r="AH19" s="4"/>
      <c r="AI19" s="4"/>
      <c r="AJ19" s="76" t="str">
        <f>IF(E19="○",IF(COUNTA(E$13:E19)=1,"",",")&amp;D19,"")</f>
        <v>,yakko_bunrui5_code</v>
      </c>
      <c r="AK19" s="4"/>
      <c r="AL19" s="4"/>
      <c r="AM19" s="4"/>
      <c r="AN19" s="4"/>
      <c r="AO19" s="4"/>
      <c r="AP19" s="4"/>
      <c r="AQ19" s="4"/>
      <c r="AR19" s="4"/>
      <c r="AS19" s="76" t="str">
        <f>"COMMENT ON COLUMN "&amp;エンティティ一覧!$O$2&amp;"."&amp;D$8&amp;"."&amp;D19&amp;" IS '"&amp;C19&amp;"';"</f>
        <v>COMMENT ON COLUMN milscm_2023_009.sny_202310_backup_mt_yakko_atc5.yakko_bunrui5_code IS '薬効分類5コード';</v>
      </c>
    </row>
    <row r="20" spans="1:52" s="25" customFormat="1">
      <c r="A20" s="4"/>
      <c r="B20" s="21">
        <f t="shared" si="2"/>
        <v>8</v>
      </c>
      <c r="C20" s="6" t="s">
        <v>2582</v>
      </c>
      <c r="D20" s="6" t="s">
        <v>3346</v>
      </c>
      <c r="E20" s="8"/>
      <c r="F20" s="7" t="s">
        <v>317</v>
      </c>
      <c r="G20" s="7" t="str">
        <f t="shared" si="3"/>
        <v>text</v>
      </c>
      <c r="H20" s="26"/>
      <c r="I20" s="10" t="s">
        <v>127</v>
      </c>
      <c r="J20" s="11"/>
      <c r="M20" s="4"/>
      <c r="N20" s="76"/>
      <c r="O20" s="76"/>
      <c r="P20" s="76" t="str">
        <f t="shared" si="4"/>
        <v>,yakko_bunrui5_name</v>
      </c>
      <c r="Q20" s="76" t="str">
        <f t="shared" si="0"/>
        <v>TEXT</v>
      </c>
      <c r="R20" s="76" t="str">
        <f t="shared" si="1"/>
        <v/>
      </c>
      <c r="S20" s="76" t="str">
        <f t="shared" si="5"/>
        <v>NOT NULL</v>
      </c>
      <c r="T20" s="76" t="str">
        <f t="shared" si="6"/>
        <v>-- 薬効分類5名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milscm_2023_009.sny_202310_backup_mt_yakko_atc5.yakko_bunrui5_name IS '薬効分類5名';</v>
      </c>
    </row>
    <row r="21" spans="1:52" s="25" customFormat="1" ht="30">
      <c r="A21" s="4"/>
      <c r="B21" s="21">
        <f t="shared" si="2"/>
        <v>9</v>
      </c>
      <c r="C21" s="6" t="s">
        <v>3347</v>
      </c>
      <c r="D21" s="6" t="s">
        <v>2583</v>
      </c>
      <c r="E21" s="8"/>
      <c r="F21" s="7" t="s">
        <v>317</v>
      </c>
      <c r="G21" s="7" t="str">
        <f t="shared" ref="G21" si="7">IF(F21="フラグ","boolean",IF(F21="文字列","text",IF(F21="整数","integer",IF(F21="実数","numeric",""))))</f>
        <v>text</v>
      </c>
      <c r="H21" s="26"/>
      <c r="I21" s="10" t="s">
        <v>127</v>
      </c>
      <c r="J21" s="11"/>
      <c r="M21" s="4"/>
      <c r="N21" s="76"/>
      <c r="O21" s="76"/>
      <c r="P21" s="76" t="str">
        <f t="shared" ref="P21" si="8">IF(B21&lt;&gt;1,","&amp;D21,D21)</f>
        <v>,yakko_bunrui5_jpn_name</v>
      </c>
      <c r="Q21" s="76" t="str">
        <f t="shared" ref="Q21" si="9">UPPER(G21)</f>
        <v>TEXT</v>
      </c>
      <c r="R21" s="76" t="str">
        <f t="shared" ref="R21" si="10">IF(H21&lt;&gt;"","default "&amp;IF(G21="text","'"&amp;H21&amp;"'",H21),"")</f>
        <v/>
      </c>
      <c r="S21" s="76" t="str">
        <f t="shared" ref="S21" si="11">IF(I21="○","NOT NULL","")</f>
        <v>NOT NULL</v>
      </c>
      <c r="T21" s="76" t="str">
        <f t="shared" ref="T21" si="12">"-- "&amp;C21</f>
        <v>-- 薬効分類5日本語名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milscm_2023_009.sny_202310_backup_mt_yakko_atc5.yakko_bunrui5_jpn_name IS '薬効分類5日本語名';</v>
      </c>
    </row>
    <row r="22" spans="1:52" s="25" customFormat="1">
      <c r="A22" s="4"/>
      <c r="B22" s="21">
        <f t="shared" si="2"/>
        <v>10</v>
      </c>
      <c r="C22" s="6" t="s">
        <v>3310</v>
      </c>
      <c r="D22" s="6" t="s">
        <v>3311</v>
      </c>
      <c r="E22" s="8"/>
      <c r="F22" s="7" t="s">
        <v>317</v>
      </c>
      <c r="G22" s="7" t="str">
        <f t="shared" si="3"/>
        <v>text</v>
      </c>
      <c r="H22" s="26"/>
      <c r="I22" s="10" t="s">
        <v>127</v>
      </c>
      <c r="J22" s="11" t="s">
        <v>3318</v>
      </c>
      <c r="M22" s="4"/>
      <c r="N22" s="76"/>
      <c r="O22" s="76"/>
      <c r="P22" s="76" t="str">
        <f t="shared" si="4"/>
        <v>,nen</v>
      </c>
      <c r="Q22" s="76" t="str">
        <f t="shared" si="0"/>
        <v>TEXT</v>
      </c>
      <c r="R22" s="76" t="str">
        <f t="shared" si="1"/>
        <v/>
      </c>
      <c r="S22" s="76" t="str">
        <f t="shared" si="5"/>
        <v>NOT NULL</v>
      </c>
      <c r="T22" s="76" t="str">
        <f t="shared" si="6"/>
        <v>-- 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milscm_2023_009.sny_202310_backup_mt_yakko_atc5.nen IS '年';</v>
      </c>
    </row>
    <row r="23" spans="1:52" s="25" customFormat="1">
      <c r="A23" s="4"/>
      <c r="B23" s="21">
        <f t="shared" si="2"/>
        <v>11</v>
      </c>
      <c r="C23" s="6" t="s">
        <v>3312</v>
      </c>
      <c r="D23" s="6" t="s">
        <v>3313</v>
      </c>
      <c r="E23" s="8"/>
      <c r="F23" s="7" t="s">
        <v>317</v>
      </c>
      <c r="G23" s="7" t="str">
        <f t="shared" si="3"/>
        <v>text</v>
      </c>
      <c r="H23" s="26"/>
      <c r="I23" s="10" t="s">
        <v>127</v>
      </c>
      <c r="J23" s="11" t="s">
        <v>3319</v>
      </c>
      <c r="M23" s="4"/>
      <c r="N23" s="76"/>
      <c r="O23" s="76"/>
      <c r="P23" s="76" t="str">
        <f t="shared" si="4"/>
        <v>,nengetsu</v>
      </c>
      <c r="Q23" s="76" t="str">
        <f t="shared" si="0"/>
        <v>TEXT</v>
      </c>
      <c r="R23" s="76" t="str">
        <f t="shared" si="1"/>
        <v/>
      </c>
      <c r="S23" s="76" t="str">
        <f t="shared" si="5"/>
        <v>NOT NULL</v>
      </c>
      <c r="T23" s="76" t="str">
        <f t="shared" si="6"/>
        <v>-- 年月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milscm_2023_009.sny_202310_backup_mt_yakko_atc5.nengetsu IS '年月';</v>
      </c>
    </row>
    <row r="24" spans="1:52" s="25" customFormat="1" ht="18" thickBot="1">
      <c r="A24" s="4"/>
      <c r="B24" s="27">
        <f>ROW()-12</f>
        <v>12</v>
      </c>
      <c r="C24" s="57" t="s">
        <v>3314</v>
      </c>
      <c r="D24" s="57" t="s">
        <v>1885</v>
      </c>
      <c r="E24" s="56"/>
      <c r="F24" s="56" t="s">
        <v>317</v>
      </c>
      <c r="G24" s="56" t="str">
        <f t="shared" si="3"/>
        <v>text</v>
      </c>
      <c r="H24" s="59"/>
      <c r="I24" s="60" t="s">
        <v>127</v>
      </c>
      <c r="J24" s="64" t="s">
        <v>2403</v>
      </c>
      <c r="N24" s="76"/>
      <c r="O24" s="76"/>
      <c r="P24" s="76" t="str">
        <f t="shared" si="4"/>
        <v>,update_ymd</v>
      </c>
      <c r="Q24" s="76" t="str">
        <f t="shared" si="0"/>
        <v>TEXT</v>
      </c>
      <c r="R24" s="76" t="str">
        <f t="shared" si="1"/>
        <v/>
      </c>
      <c r="S24" s="76" t="str">
        <f t="shared" si="5"/>
        <v>NOT NULL</v>
      </c>
      <c r="T24" s="76" t="str">
        <f t="shared" si="6"/>
        <v>-- データ登録日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milscm_2023_009.sny_202310_backup_mt_yakko_atc5.update_ymd IS 'データ登録日';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ENT_01_A3-29</v>
      </c>
      <c r="E6" s="234"/>
      <c r="F6" s="234"/>
      <c r="G6" s="234"/>
      <c r="H6" s="234"/>
      <c r="I6" s="234"/>
      <c r="J6" s="235"/>
    </row>
    <row r="7" spans="1:45">
      <c r="B7" s="223" t="s">
        <v>115</v>
      </c>
      <c r="C7" s="224"/>
      <c r="D7" s="225" t="s">
        <v>3348</v>
      </c>
      <c r="E7" s="226"/>
      <c r="F7" s="226"/>
      <c r="G7" s="226"/>
      <c r="H7" s="226"/>
      <c r="I7" s="226"/>
      <c r="J7" s="227"/>
    </row>
    <row r="8" spans="1:45">
      <c r="B8" s="223" t="s">
        <v>116</v>
      </c>
      <c r="C8" s="224"/>
      <c r="D8" s="225" t="str">
        <f>エンティティ一覧!AE2&amp;"_"&amp;D5&amp;"_mt_shippei"</f>
        <v>sny_202310_backup_mt_shippei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疾病マスタテーブルから組入れ条件の第一条件で絞り込んだ結果を格納するテーブル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milscm_2023_009.sny_202310_backup_mt_shippei;</v>
      </c>
      <c r="O10" s="76"/>
      <c r="P10" s="76"/>
      <c r="Q10" s="76"/>
      <c r="R10" s="76"/>
      <c r="S10" s="76"/>
      <c r="T10" s="76"/>
      <c r="AJ10" s="76" t="str">
        <f>"ALTER TABLE ONLY "&amp;エンティティ一覧!$O$2&amp;"."&amp;D$8</f>
        <v>ALTER TABLE ONLY milscm_2023_009.sny_202310_backup_mt_shippei</v>
      </c>
      <c r="AS10" s="76" t="str">
        <f>"ALTER TABLE "&amp;エンティティ一覧!$O$2&amp;"."&amp;D$8&amp;" OWNER TO pgmisgrp1;"</f>
        <v>ALTER TABLE milscm_2023_009.sny_202310_backup_mt_shippei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milscm_2023_009.sny_202310_backup_mt_shippei</v>
      </c>
      <c r="O11" s="76"/>
      <c r="P11" s="76"/>
      <c r="Q11" s="76"/>
      <c r="R11" s="76"/>
      <c r="S11" s="76"/>
      <c r="T11" s="76"/>
      <c r="AJ11" s="76" t="str">
        <f>"ADD CONSTRAINT "&amp;D$8&amp;"_pkey PRIMARY KEY"</f>
        <v>ADD CONSTRAINT sny_202310_backup_mt_shippei_pkey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milscm_2023_009.sny_202310_backup_mt_shippei IS 'バックアップ_疾病マスタ';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7" si="0">UPPER(G13)</f>
        <v>TEXT</v>
      </c>
      <c r="R13" s="76" t="str">
        <f t="shared" ref="R13:R27"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milscm_2023_009.sny_202310_backup_mt_shippei.sekoubi IS '施行日';</v>
      </c>
    </row>
    <row r="14" spans="1:45" s="25" customFormat="1">
      <c r="A14" s="4"/>
      <c r="B14" s="21">
        <f t="shared" ref="B14:B26" si="2">ROW()-12</f>
        <v>2</v>
      </c>
      <c r="C14" s="6" t="s">
        <v>3291</v>
      </c>
      <c r="D14" s="6" t="s">
        <v>2051</v>
      </c>
      <c r="E14" s="8" t="s">
        <v>127</v>
      </c>
      <c r="F14" s="7" t="s">
        <v>317</v>
      </c>
      <c r="G14" s="7" t="str">
        <f t="shared" ref="G14:G27" si="3">IF(F14="フラグ","boolean",IF(F14="文字列","text",IF(F14="整数","integer",IF(F14="実数","numeric",""))))</f>
        <v>text</v>
      </c>
      <c r="H14" s="26"/>
      <c r="I14" s="10" t="s">
        <v>127</v>
      </c>
      <c r="J14" s="11" t="s">
        <v>3316</v>
      </c>
      <c r="M14" s="4"/>
      <c r="N14" s="76"/>
      <c r="O14" s="76"/>
      <c r="P14" s="76" t="str">
        <f t="shared" ref="P14:P27" si="4">IF(B14&lt;&gt;1,","&amp;D14,D14)</f>
        <v>,koshin_kubun</v>
      </c>
      <c r="Q14" s="76" t="str">
        <f t="shared" si="0"/>
        <v>TEXT</v>
      </c>
      <c r="R14" s="76" t="str">
        <f t="shared" si="1"/>
        <v/>
      </c>
      <c r="S14" s="76" t="str">
        <f t="shared" ref="S14:S27" si="5">IF(I14="○","NOT NULL","")</f>
        <v>NOT NULL</v>
      </c>
      <c r="T14" s="76" t="str">
        <f t="shared" ref="T14:T27"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milscm_2023_009.sny_202310_backup_mt_shippei.koshin_kubun IS '更新区分';</v>
      </c>
    </row>
    <row r="15" spans="1:45" s="25" customFormat="1">
      <c r="A15" s="4"/>
      <c r="B15" s="21">
        <f t="shared" si="2"/>
        <v>3</v>
      </c>
      <c r="C15" s="6" t="s">
        <v>3349</v>
      </c>
      <c r="D15" s="6" t="s">
        <v>3350</v>
      </c>
      <c r="E15" s="8" t="s">
        <v>127</v>
      </c>
      <c r="F15" s="7" t="s">
        <v>317</v>
      </c>
      <c r="G15" s="7" t="str">
        <f t="shared" si="3"/>
        <v>text</v>
      </c>
      <c r="H15" s="26"/>
      <c r="I15" s="10" t="s">
        <v>127</v>
      </c>
      <c r="J15" s="11"/>
      <c r="M15" s="4"/>
      <c r="N15" s="76"/>
      <c r="O15" s="76"/>
      <c r="P15" s="76" t="str">
        <f t="shared" si="4"/>
        <v>,shippei_code</v>
      </c>
      <c r="Q15" s="76" t="str">
        <f t="shared" si="0"/>
        <v>TEXT</v>
      </c>
      <c r="R15" s="76" t="str">
        <f t="shared" si="1"/>
        <v/>
      </c>
      <c r="S15" s="76" t="str">
        <f t="shared" si="5"/>
        <v>NOT NULL</v>
      </c>
      <c r="T15" s="76" t="str">
        <f t="shared" si="6"/>
        <v>-- 疾病コード</v>
      </c>
      <c r="U15" s="4"/>
      <c r="AA15" s="4"/>
      <c r="AB15" s="4"/>
      <c r="AC15" s="4"/>
      <c r="AD15" s="4"/>
      <c r="AE15" s="4"/>
      <c r="AF15" s="4"/>
      <c r="AG15" s="4"/>
      <c r="AH15" s="4"/>
      <c r="AI15" s="4"/>
      <c r="AJ15" s="76" t="str">
        <f>IF(E15="○",IF(COUNTA(E$13:E15)=1,"",",")&amp;D15,"")</f>
        <v>,shippei_code</v>
      </c>
      <c r="AK15" s="4"/>
      <c r="AL15" s="4"/>
      <c r="AM15" s="4"/>
      <c r="AN15" s="4"/>
      <c r="AO15" s="4"/>
      <c r="AP15" s="4"/>
      <c r="AQ15" s="4"/>
      <c r="AR15" s="4"/>
      <c r="AS15" s="76" t="str">
        <f>"COMMENT ON COLUMN "&amp;エンティティ一覧!$O$2&amp;"."&amp;D$8&amp;"."&amp;D15&amp;" IS '"&amp;C15&amp;"';"</f>
        <v>COMMENT ON COLUMN milscm_2023_009.sny_202310_backup_mt_shippei.shippei_code IS '疾病コード';</v>
      </c>
    </row>
    <row r="16" spans="1:45" s="25" customFormat="1">
      <c r="A16" s="4"/>
      <c r="B16" s="21">
        <f t="shared" si="2"/>
        <v>4</v>
      </c>
      <c r="C16" s="6" t="s">
        <v>3351</v>
      </c>
      <c r="D16" s="6" t="s">
        <v>3352</v>
      </c>
      <c r="E16" s="8"/>
      <c r="F16" s="7" t="s">
        <v>317</v>
      </c>
      <c r="G16" s="7" t="str">
        <f t="shared" si="3"/>
        <v>text</v>
      </c>
      <c r="H16" s="26"/>
      <c r="I16" s="10"/>
      <c r="J16" s="11"/>
      <c r="M16" s="4"/>
      <c r="N16" s="76"/>
      <c r="O16" s="76"/>
      <c r="P16" s="76" t="str">
        <f t="shared" si="4"/>
        <v>,icd10_1_l_code</v>
      </c>
      <c r="Q16" s="76" t="str">
        <f t="shared" si="0"/>
        <v>TEXT</v>
      </c>
      <c r="R16" s="76" t="str">
        <f t="shared" si="1"/>
        <v/>
      </c>
      <c r="S16" s="76" t="str">
        <f t="shared" si="5"/>
        <v/>
      </c>
      <c r="T16" s="76" t="str">
        <f t="shared" si="6"/>
        <v>-- ICD10-1大分類コード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milscm_2023_009.sny_202310_backup_mt_shippei.icd10_1_l_code IS 'ICD10-1大分類コード';</v>
      </c>
    </row>
    <row r="17" spans="1:52" s="25" customFormat="1">
      <c r="A17" s="4"/>
      <c r="B17" s="21">
        <f t="shared" si="2"/>
        <v>5</v>
      </c>
      <c r="C17" s="6" t="s">
        <v>3353</v>
      </c>
      <c r="D17" s="6" t="s">
        <v>3354</v>
      </c>
      <c r="E17" s="8"/>
      <c r="F17" s="7" t="s">
        <v>317</v>
      </c>
      <c r="G17" s="7" t="str">
        <f t="shared" si="3"/>
        <v>text</v>
      </c>
      <c r="H17" s="26"/>
      <c r="I17" s="10"/>
      <c r="J17" s="11"/>
      <c r="M17" s="4"/>
      <c r="N17" s="76"/>
      <c r="O17" s="76"/>
      <c r="P17" s="76" t="str">
        <f t="shared" si="4"/>
        <v>,icd10_1_m_code</v>
      </c>
      <c r="Q17" s="76" t="str">
        <f t="shared" si="0"/>
        <v>TEXT</v>
      </c>
      <c r="R17" s="76" t="str">
        <f t="shared" si="1"/>
        <v/>
      </c>
      <c r="S17" s="76" t="str">
        <f t="shared" si="5"/>
        <v/>
      </c>
      <c r="T17" s="76" t="str">
        <f t="shared" si="6"/>
        <v>-- ICD10-1中分類コード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milscm_2023_009.sny_202310_backup_mt_shippei.icd10_1_m_code IS 'ICD10-1中分類コード';</v>
      </c>
    </row>
    <row r="18" spans="1:52" s="25" customFormat="1">
      <c r="A18" s="4"/>
      <c r="B18" s="21">
        <f t="shared" si="2"/>
        <v>6</v>
      </c>
      <c r="C18" s="6" t="s">
        <v>3355</v>
      </c>
      <c r="D18" s="6" t="s">
        <v>3356</v>
      </c>
      <c r="E18" s="8"/>
      <c r="F18" s="7" t="s">
        <v>317</v>
      </c>
      <c r="G18" s="7" t="str">
        <f t="shared" si="3"/>
        <v>text</v>
      </c>
      <c r="H18" s="26"/>
      <c r="I18" s="10"/>
      <c r="J18" s="11"/>
      <c r="M18" s="4"/>
      <c r="N18" s="76"/>
      <c r="O18" s="76"/>
      <c r="P18" s="76" t="str">
        <f t="shared" si="4"/>
        <v>,icd10_1_s_code</v>
      </c>
      <c r="Q18" s="76" t="str">
        <f t="shared" si="0"/>
        <v>TEXT</v>
      </c>
      <c r="R18" s="76" t="str">
        <f t="shared" si="1"/>
        <v/>
      </c>
      <c r="S18" s="76" t="str">
        <f t="shared" si="5"/>
        <v/>
      </c>
      <c r="T18" s="76" t="str">
        <f t="shared" si="6"/>
        <v>-- ICD10-1小分類コード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milscm_2023_009.sny_202310_backup_mt_shippei.icd10_1_s_code IS 'ICD10-1小分類コード';</v>
      </c>
    </row>
    <row r="19" spans="1:52" s="25" customFormat="1">
      <c r="A19" s="4"/>
      <c r="B19" s="21">
        <f t="shared" si="2"/>
        <v>7</v>
      </c>
      <c r="C19" s="6" t="s">
        <v>3357</v>
      </c>
      <c r="D19" s="6" t="s">
        <v>3358</v>
      </c>
      <c r="E19" s="8"/>
      <c r="F19" s="7" t="s">
        <v>317</v>
      </c>
      <c r="G19" s="7" t="str">
        <f t="shared" si="3"/>
        <v>text</v>
      </c>
      <c r="H19" s="26"/>
      <c r="I19" s="10"/>
      <c r="J19" s="11"/>
      <c r="M19" s="4"/>
      <c r="N19" s="76"/>
      <c r="O19" s="76"/>
      <c r="P19" s="76" t="str">
        <f t="shared" si="4"/>
        <v>,icd10_1_ss_code</v>
      </c>
      <c r="Q19" s="76" t="str">
        <f t="shared" si="0"/>
        <v>TEXT</v>
      </c>
      <c r="R19" s="76" t="str">
        <f t="shared" si="1"/>
        <v/>
      </c>
      <c r="S19" s="76" t="str">
        <f t="shared" si="5"/>
        <v/>
      </c>
      <c r="T19" s="76" t="str">
        <f t="shared" si="6"/>
        <v>-- ICD10-1細分類コード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milscm_2023_009.sny_202310_backup_mt_shippei.icd10_1_ss_code IS 'ICD10-1細分類コード';</v>
      </c>
    </row>
    <row r="20" spans="1:52" s="25" customFormat="1">
      <c r="A20" s="4"/>
      <c r="B20" s="21">
        <f t="shared" si="2"/>
        <v>8</v>
      </c>
      <c r="C20" s="6" t="s">
        <v>3359</v>
      </c>
      <c r="D20" s="6" t="s">
        <v>3360</v>
      </c>
      <c r="E20" s="8"/>
      <c r="F20" s="7" t="s">
        <v>317</v>
      </c>
      <c r="G20" s="7" t="str">
        <f t="shared" si="3"/>
        <v>text</v>
      </c>
      <c r="H20" s="26"/>
      <c r="I20" s="10"/>
      <c r="J20" s="11"/>
      <c r="M20" s="4"/>
      <c r="N20" s="76"/>
      <c r="O20" s="76"/>
      <c r="P20" s="76" t="str">
        <f t="shared" si="4"/>
        <v>,icd10_2_l_code</v>
      </c>
      <c r="Q20" s="76" t="str">
        <f t="shared" si="0"/>
        <v>TEXT</v>
      </c>
      <c r="R20" s="76" t="str">
        <f t="shared" si="1"/>
        <v/>
      </c>
      <c r="S20" s="76" t="str">
        <f t="shared" si="5"/>
        <v/>
      </c>
      <c r="T20" s="76" t="str">
        <f t="shared" si="6"/>
        <v>-- ICD10-2大分類コード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milscm_2023_009.sny_202310_backup_mt_shippei.icd10_2_l_code IS 'ICD10-2大分類コード';</v>
      </c>
    </row>
    <row r="21" spans="1:52" s="25" customFormat="1">
      <c r="A21" s="4"/>
      <c r="B21" s="21">
        <f t="shared" si="2"/>
        <v>9</v>
      </c>
      <c r="C21" s="6" t="s">
        <v>3361</v>
      </c>
      <c r="D21" s="6" t="s">
        <v>3362</v>
      </c>
      <c r="E21" s="8"/>
      <c r="F21" s="7" t="s">
        <v>317</v>
      </c>
      <c r="G21" s="7" t="str">
        <f t="shared" ref="G21:G23" si="7">IF(F21="フラグ","boolean",IF(F21="文字列","text",IF(F21="整数","integer",IF(F21="実数","numeric",""))))</f>
        <v>text</v>
      </c>
      <c r="H21" s="26"/>
      <c r="I21" s="10"/>
      <c r="J21" s="11"/>
      <c r="M21" s="4"/>
      <c r="N21" s="76"/>
      <c r="O21" s="76"/>
      <c r="P21" s="76" t="str">
        <f t="shared" ref="P21:P23" si="8">IF(B21&lt;&gt;1,","&amp;D21,D21)</f>
        <v>,icd10_2_m_code</v>
      </c>
      <c r="Q21" s="76" t="str">
        <f t="shared" ref="Q21:Q23" si="9">UPPER(G21)</f>
        <v>TEXT</v>
      </c>
      <c r="R21" s="76" t="str">
        <f t="shared" ref="R21:R23" si="10">IF(H21&lt;&gt;"","default "&amp;IF(G21="text","'"&amp;H21&amp;"'",H21),"")</f>
        <v/>
      </c>
      <c r="S21" s="76" t="str">
        <f t="shared" ref="S21:S23" si="11">IF(I21="○","NOT NULL","")</f>
        <v/>
      </c>
      <c r="T21" s="76" t="str">
        <f t="shared" ref="T21:T23" si="12">"-- "&amp;C21</f>
        <v>-- ICD10-2中分類コード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milscm_2023_009.sny_202310_backup_mt_shippei.icd10_2_m_code IS 'ICD10-2中分類コード';</v>
      </c>
    </row>
    <row r="22" spans="1:52" s="25" customFormat="1">
      <c r="A22" s="4"/>
      <c r="B22" s="21">
        <f t="shared" si="2"/>
        <v>10</v>
      </c>
      <c r="C22" s="6" t="s">
        <v>3363</v>
      </c>
      <c r="D22" s="6" t="s">
        <v>3364</v>
      </c>
      <c r="E22" s="8"/>
      <c r="F22" s="7" t="s">
        <v>317</v>
      </c>
      <c r="G22" s="7" t="str">
        <f t="shared" si="7"/>
        <v>text</v>
      </c>
      <c r="H22" s="26"/>
      <c r="I22" s="10"/>
      <c r="J22" s="11"/>
      <c r="M22" s="4"/>
      <c r="N22" s="76"/>
      <c r="O22" s="76"/>
      <c r="P22" s="76" t="str">
        <f t="shared" si="8"/>
        <v>,icd10_2_s_code</v>
      </c>
      <c r="Q22" s="76" t="str">
        <f t="shared" si="9"/>
        <v>TEXT</v>
      </c>
      <c r="R22" s="76" t="str">
        <f t="shared" si="10"/>
        <v/>
      </c>
      <c r="S22" s="76" t="str">
        <f t="shared" si="11"/>
        <v/>
      </c>
      <c r="T22" s="76" t="str">
        <f t="shared" si="12"/>
        <v>-- ICD10-2小分類コード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milscm_2023_009.sny_202310_backup_mt_shippei.icd10_2_s_code IS 'ICD10-2小分類コード';</v>
      </c>
    </row>
    <row r="23" spans="1:52" s="25" customFormat="1">
      <c r="A23" s="4"/>
      <c r="B23" s="21">
        <f t="shared" si="2"/>
        <v>11</v>
      </c>
      <c r="C23" s="6" t="s">
        <v>3365</v>
      </c>
      <c r="D23" s="6" t="s">
        <v>3366</v>
      </c>
      <c r="E23" s="8"/>
      <c r="F23" s="7" t="s">
        <v>317</v>
      </c>
      <c r="G23" s="7" t="str">
        <f t="shared" si="7"/>
        <v>text</v>
      </c>
      <c r="H23" s="26"/>
      <c r="I23" s="10"/>
      <c r="J23" s="11"/>
      <c r="M23" s="4"/>
      <c r="N23" s="76"/>
      <c r="O23" s="76"/>
      <c r="P23" s="76" t="str">
        <f t="shared" si="8"/>
        <v>,icd10_2_ss_code</v>
      </c>
      <c r="Q23" s="76" t="str">
        <f t="shared" si="9"/>
        <v>TEXT</v>
      </c>
      <c r="R23" s="76" t="str">
        <f t="shared" si="10"/>
        <v/>
      </c>
      <c r="S23" s="76" t="str">
        <f t="shared" si="11"/>
        <v/>
      </c>
      <c r="T23" s="76" t="str">
        <f t="shared" si="12"/>
        <v>-- ICD10-2細分類コード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milscm_2023_009.sny_202310_backup_mt_shippei.icd10_2_ss_code IS 'ICD10-2細分類コード';</v>
      </c>
    </row>
    <row r="24" spans="1:52" s="25" customFormat="1">
      <c r="A24" s="4"/>
      <c r="B24" s="21">
        <f t="shared" si="2"/>
        <v>12</v>
      </c>
      <c r="C24" s="6" t="s">
        <v>3367</v>
      </c>
      <c r="D24" s="6" t="s">
        <v>3368</v>
      </c>
      <c r="E24" s="8"/>
      <c r="F24" s="7" t="s">
        <v>317</v>
      </c>
      <c r="G24" s="7" t="str">
        <f t="shared" si="3"/>
        <v>text</v>
      </c>
      <c r="H24" s="26"/>
      <c r="I24" s="10" t="s">
        <v>127</v>
      </c>
      <c r="J24" s="11"/>
      <c r="M24" s="4"/>
      <c r="N24" s="76"/>
      <c r="O24" s="76"/>
      <c r="P24" s="76" t="str">
        <f t="shared" si="4"/>
        <v>,shippei_name</v>
      </c>
      <c r="Q24" s="76" t="str">
        <f t="shared" si="0"/>
        <v>TEXT</v>
      </c>
      <c r="R24" s="76" t="str">
        <f t="shared" si="1"/>
        <v/>
      </c>
      <c r="S24" s="76" t="str">
        <f t="shared" si="5"/>
        <v>NOT NULL</v>
      </c>
      <c r="T24" s="76" t="str">
        <f t="shared" si="6"/>
        <v>-- 疾病名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milscm_2023_009.sny_202310_backup_mt_shippei.shippei_name IS '疾病名';</v>
      </c>
    </row>
    <row r="25" spans="1:52" s="25" customFormat="1">
      <c r="A25" s="4"/>
      <c r="B25" s="21">
        <f t="shared" si="2"/>
        <v>13</v>
      </c>
      <c r="C25" s="6" t="s">
        <v>3310</v>
      </c>
      <c r="D25" s="6" t="s">
        <v>3311</v>
      </c>
      <c r="E25" s="8"/>
      <c r="F25" s="7" t="s">
        <v>317</v>
      </c>
      <c r="G25" s="7" t="str">
        <f t="shared" si="3"/>
        <v>text</v>
      </c>
      <c r="H25" s="26"/>
      <c r="I25" s="10" t="s">
        <v>127</v>
      </c>
      <c r="J25" s="11" t="s">
        <v>3318</v>
      </c>
      <c r="M25" s="4"/>
      <c r="N25" s="76"/>
      <c r="O25" s="76"/>
      <c r="P25" s="76" t="str">
        <f t="shared" si="4"/>
        <v>,nen</v>
      </c>
      <c r="Q25" s="76" t="str">
        <f t="shared" si="0"/>
        <v>TEXT</v>
      </c>
      <c r="R25" s="76" t="str">
        <f t="shared" si="1"/>
        <v/>
      </c>
      <c r="S25" s="76" t="str">
        <f t="shared" si="5"/>
        <v>NOT NULL</v>
      </c>
      <c r="T25" s="76" t="str">
        <f t="shared" si="6"/>
        <v>-- 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milscm_2023_009.sny_202310_backup_mt_shippei.nen IS '年';</v>
      </c>
    </row>
    <row r="26" spans="1:52" s="25" customFormat="1">
      <c r="A26" s="4"/>
      <c r="B26" s="21">
        <f t="shared" si="2"/>
        <v>14</v>
      </c>
      <c r="C26" s="6" t="s">
        <v>3312</v>
      </c>
      <c r="D26" s="6" t="s">
        <v>3313</v>
      </c>
      <c r="E26" s="8"/>
      <c r="F26" s="7" t="s">
        <v>317</v>
      </c>
      <c r="G26" s="7" t="str">
        <f t="shared" si="3"/>
        <v>text</v>
      </c>
      <c r="H26" s="26"/>
      <c r="I26" s="10" t="s">
        <v>127</v>
      </c>
      <c r="J26" s="11" t="s">
        <v>3319</v>
      </c>
      <c r="M26" s="4"/>
      <c r="N26" s="76"/>
      <c r="O26" s="76"/>
      <c r="P26" s="76" t="str">
        <f t="shared" si="4"/>
        <v>,nengetsu</v>
      </c>
      <c r="Q26" s="76" t="str">
        <f t="shared" si="0"/>
        <v>TEXT</v>
      </c>
      <c r="R26" s="76" t="str">
        <f t="shared" si="1"/>
        <v/>
      </c>
      <c r="S26" s="76" t="str">
        <f t="shared" si="5"/>
        <v>NOT NULL</v>
      </c>
      <c r="T26" s="76" t="str">
        <f t="shared" si="6"/>
        <v>-- 年月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milscm_2023_009.sny_202310_backup_mt_shippei.nengetsu IS '年月';</v>
      </c>
    </row>
    <row r="27" spans="1:52" s="25" customFormat="1" ht="18" thickBot="1">
      <c r="A27" s="4"/>
      <c r="B27" s="27">
        <f>ROW()-12</f>
        <v>15</v>
      </c>
      <c r="C27" s="57" t="s">
        <v>3314</v>
      </c>
      <c r="D27" s="57" t="s">
        <v>1885</v>
      </c>
      <c r="E27" s="56"/>
      <c r="F27" s="56" t="s">
        <v>317</v>
      </c>
      <c r="G27" s="56" t="str">
        <f t="shared" si="3"/>
        <v>text</v>
      </c>
      <c r="H27" s="59"/>
      <c r="I27" s="60" t="s">
        <v>127</v>
      </c>
      <c r="J27" s="64" t="s">
        <v>2403</v>
      </c>
      <c r="N27" s="76"/>
      <c r="O27" s="76"/>
      <c r="P27" s="76" t="str">
        <f t="shared" si="4"/>
        <v>,update_ymd</v>
      </c>
      <c r="Q27" s="76" t="str">
        <f t="shared" si="0"/>
        <v>TEXT</v>
      </c>
      <c r="R27" s="76" t="str">
        <f t="shared" si="1"/>
        <v/>
      </c>
      <c r="S27" s="76" t="str">
        <f t="shared" si="5"/>
        <v>NOT NULL</v>
      </c>
      <c r="T27" s="76" t="str">
        <f t="shared" si="6"/>
        <v>-- データ登録日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milscm_2023_009.sny_202310_backup_mt_shippei.update_ymd IS 'データ登録日';</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ENT_01_A3-30</v>
      </c>
      <c r="E6" s="234"/>
      <c r="F6" s="234"/>
      <c r="G6" s="234"/>
      <c r="H6" s="234"/>
      <c r="I6" s="234"/>
      <c r="J6" s="235"/>
    </row>
    <row r="7" spans="1:45">
      <c r="B7" s="223" t="s">
        <v>115</v>
      </c>
      <c r="C7" s="224"/>
      <c r="D7" s="225" t="s">
        <v>3254</v>
      </c>
      <c r="E7" s="226"/>
      <c r="F7" s="226"/>
      <c r="G7" s="226"/>
      <c r="H7" s="226"/>
      <c r="I7" s="226"/>
      <c r="J7" s="227"/>
    </row>
    <row r="8" spans="1:45">
      <c r="B8" s="223" t="s">
        <v>116</v>
      </c>
      <c r="C8" s="224"/>
      <c r="D8" s="225" t="str">
        <f>エンティティ一覧!AE2&amp;"_"&amp;D5&amp;"_mt_icd10_l"</f>
        <v>sny_202310_backup_mt_icd10_l</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ICD10大分類マスタテーブルから組入れ条件の第一条件で絞り込んだ結果を格納するテーブル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milscm_2023_009.sny_202310_backup_mt_icd10_l;</v>
      </c>
      <c r="O10" s="76"/>
      <c r="P10" s="76"/>
      <c r="Q10" s="76"/>
      <c r="R10" s="76"/>
      <c r="S10" s="76"/>
      <c r="T10" s="76"/>
      <c r="AJ10" s="76" t="str">
        <f>"ALTER TABLE ONLY "&amp;エンティティ一覧!$O$2&amp;"."&amp;D$8</f>
        <v>ALTER TABLE ONLY milscm_2023_009.sny_202310_backup_mt_icd10_l</v>
      </c>
      <c r="AS10" s="76" t="str">
        <f>"ALTER TABLE "&amp;エンティティ一覧!$O$2&amp;"."&amp;D$8&amp;" OWNER TO pgmisgrp1;"</f>
        <v>ALTER TABLE milscm_2023_009.sny_202310_backup_mt_icd10_l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milscm_2023_009.sny_202310_backup_mt_icd10_l</v>
      </c>
      <c r="O11" s="76"/>
      <c r="P11" s="76"/>
      <c r="Q11" s="76"/>
      <c r="R11" s="76"/>
      <c r="S11" s="76"/>
      <c r="T11" s="76"/>
      <c r="AJ11" s="76" t="str">
        <f>"ADD CONSTRAINT "&amp;D$8&amp;"_pkey PRIMARY KEY"</f>
        <v>ADD CONSTRAINT sny_202310_backup_mt_icd10_l_pkey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milscm_2023_009.sny_202310_backup_mt_icd10_l IS 'バックアップ_ICD10大分類マスタ';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milscm_2023_009.sny_202310_backup_mt_icd10_l.sekoubi IS '施行日';</v>
      </c>
    </row>
    <row r="14" spans="1:45" s="25" customFormat="1">
      <c r="A14" s="4"/>
      <c r="B14" s="21">
        <f t="shared" ref="B14:B19" si="2">ROW()-12</f>
        <v>2</v>
      </c>
      <c r="C14" s="6" t="s">
        <v>3291</v>
      </c>
      <c r="D14" s="6" t="s">
        <v>2051</v>
      </c>
      <c r="E14" s="8" t="s">
        <v>127</v>
      </c>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,koshin_kubun</v>
      </c>
      <c r="Q14" s="76" t="str">
        <f t="shared" si="0"/>
        <v>TEXT</v>
      </c>
      <c r="R14" s="76" t="str">
        <f t="shared" si="1"/>
        <v/>
      </c>
      <c r="S14" s="76" t="str">
        <f t="shared" ref="S14:S20" si="5">IF(I14="○","NOT NULL","")</f>
        <v>NOT NULL</v>
      </c>
      <c r="T14" s="76" t="str">
        <f t="shared" ref="T14:T20"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milscm_2023_009.sny_202310_backup_mt_icd10_l.koshin_kubun IS '更新区分';</v>
      </c>
    </row>
    <row r="15" spans="1:45" s="25" customFormat="1">
      <c r="A15" s="4"/>
      <c r="B15" s="21">
        <f t="shared" si="2"/>
        <v>3</v>
      </c>
      <c r="C15" s="6" t="s">
        <v>2657</v>
      </c>
      <c r="D15" s="6" t="s">
        <v>3369</v>
      </c>
      <c r="E15" s="8" t="s">
        <v>127</v>
      </c>
      <c r="F15" s="7" t="s">
        <v>317</v>
      </c>
      <c r="G15" s="7" t="str">
        <f t="shared" si="3"/>
        <v>text</v>
      </c>
      <c r="H15" s="26"/>
      <c r="I15" s="10" t="s">
        <v>127</v>
      </c>
      <c r="J15" s="11"/>
      <c r="M15" s="4"/>
      <c r="N15" s="76"/>
      <c r="O15" s="76"/>
      <c r="P15" s="76" t="str">
        <f t="shared" si="4"/>
        <v>,icd10_l_code</v>
      </c>
      <c r="Q15" s="76" t="str">
        <f t="shared" si="0"/>
        <v>TEXT</v>
      </c>
      <c r="R15" s="76" t="str">
        <f t="shared" si="1"/>
        <v/>
      </c>
      <c r="S15" s="76" t="str">
        <f t="shared" si="5"/>
        <v>NOT NULL</v>
      </c>
      <c r="T15" s="76" t="str">
        <f t="shared" si="6"/>
        <v>-- ICD10大分類コード</v>
      </c>
      <c r="U15" s="4"/>
      <c r="AA15" s="4"/>
      <c r="AB15" s="4"/>
      <c r="AC15" s="4"/>
      <c r="AD15" s="4"/>
      <c r="AE15" s="4"/>
      <c r="AF15" s="4"/>
      <c r="AG15" s="4"/>
      <c r="AH15" s="4"/>
      <c r="AI15" s="4"/>
      <c r="AJ15" s="76" t="str">
        <f>IF(E15="○",IF(COUNTA(E$13:E15)=1,"",",")&amp;D15,"")</f>
        <v>,icd10_l_code</v>
      </c>
      <c r="AK15" s="4"/>
      <c r="AL15" s="4"/>
      <c r="AM15" s="4"/>
      <c r="AN15" s="4"/>
      <c r="AO15" s="4"/>
      <c r="AP15" s="4"/>
      <c r="AQ15" s="4"/>
      <c r="AR15" s="4"/>
      <c r="AS15" s="76" t="str">
        <f>"COMMENT ON COLUMN "&amp;エンティティ一覧!$O$2&amp;"."&amp;D$8&amp;"."&amp;D15&amp;" IS '"&amp;C15&amp;"';"</f>
        <v>COMMENT ON COLUMN milscm_2023_009.sny_202310_backup_mt_icd10_l.icd10_l_code IS 'ICD10大分類コード';</v>
      </c>
    </row>
    <row r="16" spans="1:45" s="25" customFormat="1">
      <c r="A16" s="4"/>
      <c r="B16" s="21">
        <f t="shared" si="2"/>
        <v>4</v>
      </c>
      <c r="C16" s="6" t="s">
        <v>2664</v>
      </c>
      <c r="D16" s="6" t="s">
        <v>2665</v>
      </c>
      <c r="E16" s="8"/>
      <c r="F16" s="7" t="s">
        <v>317</v>
      </c>
      <c r="G16" s="7" t="str">
        <f t="shared" si="3"/>
        <v>text</v>
      </c>
      <c r="H16" s="26"/>
      <c r="I16" s="10" t="s">
        <v>127</v>
      </c>
      <c r="J16" s="11"/>
      <c r="M16" s="4"/>
      <c r="N16" s="76"/>
      <c r="O16" s="76"/>
      <c r="P16" s="76" t="str">
        <f t="shared" si="4"/>
        <v>,icd10_l_name</v>
      </c>
      <c r="Q16" s="76" t="str">
        <f t="shared" si="0"/>
        <v>TEXT</v>
      </c>
      <c r="R16" s="76" t="str">
        <f t="shared" si="1"/>
        <v/>
      </c>
      <c r="S16" s="76" t="str">
        <f t="shared" si="5"/>
        <v>NOT NULL</v>
      </c>
      <c r="T16" s="76" t="str">
        <f t="shared" si="6"/>
        <v>-- ICD10大分類名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milscm_2023_009.sny_202310_backup_mt_icd10_l.icd10_l_name IS 'ICD10大分類名';</v>
      </c>
    </row>
    <row r="17" spans="1:52" s="25" customFormat="1">
      <c r="A17" s="4"/>
      <c r="B17" s="21">
        <f t="shared" si="2"/>
        <v>5</v>
      </c>
      <c r="C17" s="6" t="s">
        <v>3308</v>
      </c>
      <c r="D17" s="6" t="s">
        <v>3309</v>
      </c>
      <c r="E17" s="8"/>
      <c r="F17" s="7" t="s">
        <v>317</v>
      </c>
      <c r="G17" s="7" t="str">
        <f t="shared" si="3"/>
        <v>text</v>
      </c>
      <c r="H17" s="26"/>
      <c r="I17" s="10"/>
      <c r="J17" s="11" t="s">
        <v>3317</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milscm_2023_009.sny_202310_backup_mt_icd10_l.ikosaki IS '移行先';</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milscm_2023_009.sny_202310_backup_mt_icd10_l.nen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milscm_2023_009.sny_202310_backup_mt_icd10_l.nengetsu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milscm_2023_009.sny_202310_backup_mt_icd10_l.update_ymd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ENT_01_A3-31</v>
      </c>
      <c r="E6" s="234"/>
      <c r="F6" s="234"/>
      <c r="G6" s="234"/>
      <c r="H6" s="234"/>
      <c r="I6" s="234"/>
      <c r="J6" s="235"/>
    </row>
    <row r="7" spans="1:45">
      <c r="B7" s="223" t="s">
        <v>115</v>
      </c>
      <c r="C7" s="224"/>
      <c r="D7" s="225" t="s">
        <v>3255</v>
      </c>
      <c r="E7" s="226"/>
      <c r="F7" s="226"/>
      <c r="G7" s="226"/>
      <c r="H7" s="226"/>
      <c r="I7" s="226"/>
      <c r="J7" s="227"/>
    </row>
    <row r="8" spans="1:45">
      <c r="B8" s="223" t="s">
        <v>116</v>
      </c>
      <c r="C8" s="224"/>
      <c r="D8" s="225" t="str">
        <f>エンティティ一覧!AE2&amp;"_"&amp;D5&amp;"_mt_icd10_m"</f>
        <v>sny_202310_backup_mt_icd10_m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ICD10中分類マスタテーブルから組入れ条件の第一条件で絞り込んだ結果を格納するテーブル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milscm_2023_009.sny_202310_backup_mt_icd10_m;</v>
      </c>
      <c r="O10" s="76"/>
      <c r="P10" s="76"/>
      <c r="Q10" s="76"/>
      <c r="R10" s="76"/>
      <c r="S10" s="76"/>
      <c r="T10" s="76"/>
      <c r="AJ10" s="76" t="str">
        <f>"ALTER TABLE ONLY "&amp;エンティティ一覧!$O$2&amp;"."&amp;D$8</f>
        <v>ALTER TABLE ONLY milscm_2023_009.sny_202310_backup_mt_icd10_m</v>
      </c>
      <c r="AS10" s="76" t="str">
        <f>"ALTER TABLE "&amp;エンティティ一覧!$O$2&amp;"."&amp;D$8&amp;" OWNER TO pgmisgrp1;"</f>
        <v>ALTER TABLE milscm_2023_009.sny_202310_backup_mt_icd10_m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milscm_2023_009.sny_202310_backup_mt_icd10_m</v>
      </c>
      <c r="O11" s="76"/>
      <c r="P11" s="76"/>
      <c r="Q11" s="76"/>
      <c r="R11" s="76"/>
      <c r="S11" s="76"/>
      <c r="T11" s="76"/>
      <c r="AJ11" s="76" t="str">
        <f>"ADD CONSTRAINT "&amp;D$8&amp;"_pkey PRIMARY KEY"</f>
        <v>ADD CONSTRAINT sny_202310_backup_mt_icd10_m_pkey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milscm_2023_009.sny_202310_backup_mt_icd10_m IS 'バックアップ_ICD10中分類マスタ';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milscm_2023_009.sny_202310_backup_mt_icd10_m.sekoubi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milscm_2023_009.sny_202310_backup_mt_icd10_m.koshin_kubun IS '更新区分';</v>
      </c>
    </row>
    <row r="15" spans="1:45" s="25" customFormat="1">
      <c r="A15" s="4"/>
      <c r="B15" s="21">
        <f t="shared" si="2"/>
        <v>3</v>
      </c>
      <c r="C15" s="6" t="s">
        <v>2659</v>
      </c>
      <c r="D15" s="6" t="s">
        <v>3370</v>
      </c>
      <c r="E15" s="8" t="s">
        <v>127</v>
      </c>
      <c r="F15" s="7" t="s">
        <v>317</v>
      </c>
      <c r="G15" s="7" t="str">
        <f t="shared" si="3"/>
        <v>text</v>
      </c>
      <c r="H15" s="26"/>
      <c r="I15" s="10" t="s">
        <v>127</v>
      </c>
      <c r="J15" s="11"/>
      <c r="M15" s="4"/>
      <c r="N15" s="76"/>
      <c r="O15" s="76"/>
      <c r="P15" s="76" t="str">
        <f t="shared" si="4"/>
        <v>,icd10_m_code</v>
      </c>
      <c r="Q15" s="76" t="str">
        <f t="shared" si="0"/>
        <v>TEXT</v>
      </c>
      <c r="R15" s="76" t="str">
        <f t="shared" si="1"/>
        <v/>
      </c>
      <c r="S15" s="76" t="str">
        <f t="shared" si="5"/>
        <v>NOT NULL</v>
      </c>
      <c r="T15" s="76" t="str">
        <f t="shared" si="6"/>
        <v>-- ICD10中分類コード</v>
      </c>
      <c r="U15" s="4"/>
      <c r="AA15" s="4"/>
      <c r="AB15" s="4"/>
      <c r="AC15" s="4"/>
      <c r="AD15" s="4"/>
      <c r="AE15" s="4"/>
      <c r="AF15" s="4"/>
      <c r="AG15" s="4"/>
      <c r="AH15" s="4"/>
      <c r="AI15" s="4"/>
      <c r="AJ15" s="76" t="str">
        <f>IF(E15="○",IF(COUNTA(E$13:E15)=1,"",",")&amp;D15,"")</f>
        <v>,icd10_m_code</v>
      </c>
      <c r="AK15" s="4"/>
      <c r="AL15" s="4"/>
      <c r="AM15" s="4"/>
      <c r="AN15" s="4"/>
      <c r="AO15" s="4"/>
      <c r="AP15" s="4"/>
      <c r="AQ15" s="4"/>
      <c r="AR15" s="4"/>
      <c r="AS15" s="76" t="str">
        <f>"COMMENT ON COLUMN "&amp;エンティティ一覧!$O$2&amp;"."&amp;D$8&amp;"."&amp;D15&amp;" IS '"&amp;C15&amp;"';"</f>
        <v>COMMENT ON COLUMN milscm_2023_009.sny_202310_backup_mt_icd10_m.icd10_m_code IS 'ICD10中分類コード';</v>
      </c>
    </row>
    <row r="16" spans="1:45" s="25" customFormat="1">
      <c r="A16" s="4"/>
      <c r="B16" s="21">
        <f t="shared" si="2"/>
        <v>4</v>
      </c>
      <c r="C16" s="6" t="s">
        <v>2666</v>
      </c>
      <c r="D16" s="6" t="s">
        <v>2667</v>
      </c>
      <c r="E16" s="8"/>
      <c r="F16" s="7" t="s">
        <v>317</v>
      </c>
      <c r="G16" s="7" t="str">
        <f t="shared" si="3"/>
        <v>text</v>
      </c>
      <c r="H16" s="26"/>
      <c r="I16" s="10" t="s">
        <v>127</v>
      </c>
      <c r="J16" s="11"/>
      <c r="M16" s="4"/>
      <c r="N16" s="76"/>
      <c r="O16" s="76"/>
      <c r="P16" s="76" t="str">
        <f t="shared" si="4"/>
        <v>,icd10_m_name</v>
      </c>
      <c r="Q16" s="76" t="str">
        <f t="shared" si="0"/>
        <v>TEXT</v>
      </c>
      <c r="R16" s="76" t="str">
        <f t="shared" si="1"/>
        <v/>
      </c>
      <c r="S16" s="76" t="str">
        <f t="shared" si="5"/>
        <v>NOT NULL</v>
      </c>
      <c r="T16" s="76" t="str">
        <f t="shared" si="6"/>
        <v>-- ICD10中分類名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milscm_2023_009.sny_202310_backup_mt_icd10_m.icd10_m_name IS 'ICD10中分類名';</v>
      </c>
    </row>
    <row r="17" spans="1:52" s="25" customFormat="1">
      <c r="A17" s="4"/>
      <c r="B17" s="21">
        <f t="shared" si="2"/>
        <v>5</v>
      </c>
      <c r="C17" s="6" t="s">
        <v>2657</v>
      </c>
      <c r="D17" s="6" t="s">
        <v>3369</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milscm_2023_009.sny_202310_backup_mt_icd10_m.icd10_l_code IS 'ICD10大分類コード';</v>
      </c>
    </row>
    <row r="18" spans="1:52" s="25" customFormat="1">
      <c r="A18" s="4"/>
      <c r="B18" s="21">
        <f t="shared" si="2"/>
        <v>6</v>
      </c>
      <c r="C18" s="6" t="s">
        <v>3308</v>
      </c>
      <c r="D18" s="6" t="s">
        <v>3309</v>
      </c>
      <c r="E18" s="8"/>
      <c r="F18" s="7" t="s">
        <v>317</v>
      </c>
      <c r="G18" s="7" t="str">
        <f t="shared" ref="G18" si="7">IF(F18="フラグ","boolean",IF(F18="文字列","text",IF(F18="整数","integer",IF(F18="実数","numeric",""))))</f>
        <v>text</v>
      </c>
      <c r="H18" s="26"/>
      <c r="I18" s="10"/>
      <c r="J18" s="11" t="s">
        <v>3317</v>
      </c>
      <c r="M18" s="4"/>
      <c r="N18" s="76"/>
      <c r="O18" s="76"/>
      <c r="P18" s="76" t="str">
        <f t="shared" ref="P18" si="8">IF(B18&lt;&gt;1,","&amp;D18,D18)</f>
        <v>,ikosaki</v>
      </c>
      <c r="Q18" s="76" t="str">
        <f t="shared" ref="Q18" si="9">UPPER(G18)</f>
        <v>TEXT</v>
      </c>
      <c r="R18" s="76" t="str">
        <f t="shared" ref="R18" si="10">IF(H18&lt;&gt;"","default "&amp;IF(G18="text","'"&amp;H18&amp;"'",H18),"")</f>
        <v/>
      </c>
      <c r="S18" s="76" t="str">
        <f t="shared" ref="S18" si="11">IF(I18="○","NOT NULL","")</f>
        <v/>
      </c>
      <c r="T18" s="76" t="str">
        <f t="shared" ref="T18" si="12">"-- "&amp;C18</f>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milscm_2023_009.sny_202310_backup_mt_icd10_m.ikosaki IS '移行先';</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milscm_2023_009.sny_202310_backup_mt_icd10_m.nen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milscm_2023_009.sny_202310_backup_mt_icd10_m.nengetsu IS '年月';</v>
      </c>
    </row>
    <row r="21" spans="1:52" s="25" customFormat="1" ht="18"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milscm_2023_009.sny_202310_backup_mt_icd10_m.update_ymd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ENT_01_A3-32</v>
      </c>
      <c r="E6" s="234"/>
      <c r="F6" s="234"/>
      <c r="G6" s="234"/>
      <c r="H6" s="234"/>
      <c r="I6" s="234"/>
      <c r="J6" s="235"/>
    </row>
    <row r="7" spans="1:45">
      <c r="B7" s="223" t="s">
        <v>115</v>
      </c>
      <c r="C7" s="224"/>
      <c r="D7" s="225" t="s">
        <v>3256</v>
      </c>
      <c r="E7" s="226"/>
      <c r="F7" s="226"/>
      <c r="G7" s="226"/>
      <c r="H7" s="226"/>
      <c r="I7" s="226"/>
      <c r="J7" s="227"/>
    </row>
    <row r="8" spans="1:45">
      <c r="B8" s="223" t="s">
        <v>116</v>
      </c>
      <c r="C8" s="224"/>
      <c r="D8" s="225" t="str">
        <f>エンティティ一覧!AE2&amp;"_"&amp;D5&amp;"_mt_icd10_s"</f>
        <v>sny_202310_backup_mt_icd10_s</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ICD10小分類マスタテーブルから組入れ条件の第一条件で絞り込んだ結果を格納するテーブル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milscm_2023_009.sny_202310_backup_mt_icd10_s;</v>
      </c>
      <c r="O10" s="76"/>
      <c r="P10" s="76"/>
      <c r="Q10" s="76"/>
      <c r="R10" s="76"/>
      <c r="S10" s="76"/>
      <c r="T10" s="76"/>
      <c r="AJ10" s="76" t="str">
        <f>"ALTER TABLE ONLY "&amp;エンティティ一覧!$O$2&amp;"."&amp;D$8</f>
        <v>ALTER TABLE ONLY milscm_2023_009.sny_202310_backup_mt_icd10_s</v>
      </c>
      <c r="AS10" s="76" t="str">
        <f>"ALTER TABLE "&amp;エンティティ一覧!$O$2&amp;"."&amp;D$8&amp;" OWNER TO pgmisgrp1;"</f>
        <v>ALTER TABLE milscm_2023_009.sny_202310_backup_mt_icd10_s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milscm_2023_009.sny_202310_backup_mt_icd10_s</v>
      </c>
      <c r="O11" s="76"/>
      <c r="P11" s="76"/>
      <c r="Q11" s="76"/>
      <c r="R11" s="76"/>
      <c r="S11" s="76"/>
      <c r="T11" s="76"/>
      <c r="AJ11" s="76" t="str">
        <f>"ADD CONSTRAINT "&amp;D$8&amp;"_pkey PRIMARY KEY"</f>
        <v>ADD CONSTRAINT sny_202310_backup_mt_icd10_s_pkey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 IS 'バックアップ_ICD10小分類マスタ';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2" si="0">UPPER(G13)</f>
        <v>TEXT</v>
      </c>
      <c r="R13" s="76" t="str">
        <f t="shared" ref="R13:R2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milscm_2023_009.sny_202310_backup_mt_icd10_s.sekoubi IS '施行日';</v>
      </c>
    </row>
    <row r="14" spans="1:45" s="25" customFormat="1">
      <c r="A14" s="4"/>
      <c r="B14" s="21">
        <f t="shared" ref="B14:B21" si="2">ROW()-12</f>
        <v>2</v>
      </c>
      <c r="C14" s="6" t="s">
        <v>3291</v>
      </c>
      <c r="D14" s="6" t="s">
        <v>2051</v>
      </c>
      <c r="E14" s="8" t="s">
        <v>127</v>
      </c>
      <c r="F14" s="7" t="s">
        <v>317</v>
      </c>
      <c r="G14" s="7" t="str">
        <f t="shared" ref="G14:G22" si="3">IF(F14="フラグ","boolean",IF(F14="文字列","text",IF(F14="整数","integer",IF(F14="実数","numeric",""))))</f>
        <v>text</v>
      </c>
      <c r="H14" s="26"/>
      <c r="I14" s="10" t="s">
        <v>127</v>
      </c>
      <c r="J14" s="11" t="s">
        <v>3316</v>
      </c>
      <c r="M14" s="4"/>
      <c r="N14" s="76"/>
      <c r="O14" s="76"/>
      <c r="P14" s="76" t="str">
        <f t="shared" ref="P14:P22" si="4">IF(B14&lt;&gt;1,","&amp;D14,D14)</f>
        <v>,koshin_kubun</v>
      </c>
      <c r="Q14" s="76" t="str">
        <f t="shared" si="0"/>
        <v>TEXT</v>
      </c>
      <c r="R14" s="76" t="str">
        <f t="shared" si="1"/>
        <v/>
      </c>
      <c r="S14" s="76" t="str">
        <f t="shared" ref="S14:S22" si="5">IF(I14="○","NOT NULL","")</f>
        <v>NOT NULL</v>
      </c>
      <c r="T14" s="76" t="str">
        <f t="shared" ref="T14:T2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milscm_2023_009.sny_202310_backup_mt_icd10_s.koshin_kubun IS '更新区分';</v>
      </c>
    </row>
    <row r="15" spans="1:45" s="25" customFormat="1">
      <c r="A15" s="4"/>
      <c r="B15" s="21">
        <f t="shared" si="2"/>
        <v>3</v>
      </c>
      <c r="C15" s="6" t="s">
        <v>2661</v>
      </c>
      <c r="D15" s="6" t="s">
        <v>3371</v>
      </c>
      <c r="E15" s="8" t="s">
        <v>127</v>
      </c>
      <c r="F15" s="7" t="s">
        <v>317</v>
      </c>
      <c r="G15" s="7" t="str">
        <f t="shared" si="3"/>
        <v>text</v>
      </c>
      <c r="H15" s="26"/>
      <c r="I15" s="10" t="s">
        <v>127</v>
      </c>
      <c r="J15" s="11"/>
      <c r="M15" s="4"/>
      <c r="N15" s="76"/>
      <c r="O15" s="76"/>
      <c r="P15" s="76" t="str">
        <f t="shared" si="4"/>
        <v>,icd10_s_code</v>
      </c>
      <c r="Q15" s="76" t="str">
        <f t="shared" si="0"/>
        <v>TEXT</v>
      </c>
      <c r="R15" s="76" t="str">
        <f t="shared" si="1"/>
        <v/>
      </c>
      <c r="S15" s="76" t="str">
        <f t="shared" si="5"/>
        <v>NOT NULL</v>
      </c>
      <c r="T15" s="76" t="str">
        <f t="shared" si="6"/>
        <v>-- ICD10小分類コード</v>
      </c>
      <c r="U15" s="4"/>
      <c r="AA15" s="4"/>
      <c r="AB15" s="4"/>
      <c r="AC15" s="4"/>
      <c r="AD15" s="4"/>
      <c r="AE15" s="4"/>
      <c r="AF15" s="4"/>
      <c r="AG15" s="4"/>
      <c r="AH15" s="4"/>
      <c r="AI15" s="4"/>
      <c r="AJ15" s="76" t="str">
        <f>IF(E15="○",IF(COUNTA(E$13:E15)=1,"",",")&amp;D15,"")</f>
        <v>,icd10_s_code</v>
      </c>
      <c r="AK15" s="4"/>
      <c r="AL15" s="4"/>
      <c r="AM15" s="4"/>
      <c r="AN15" s="4"/>
      <c r="AO15" s="4"/>
      <c r="AP15" s="4"/>
      <c r="AQ15" s="4"/>
      <c r="AR15" s="4"/>
      <c r="AS15" s="76" t="str">
        <f>"COMMENT ON COLUMN "&amp;エンティティ一覧!$O$2&amp;"."&amp;D$8&amp;"."&amp;D15&amp;" IS '"&amp;C15&amp;"';"</f>
        <v>COMMENT ON COLUMN milscm_2023_009.sny_202310_backup_mt_icd10_s.icd10_s_code IS 'ICD10小分類コード';</v>
      </c>
    </row>
    <row r="16" spans="1:45" s="25" customFormat="1">
      <c r="A16" s="4"/>
      <c r="B16" s="21">
        <f t="shared" si="2"/>
        <v>4</v>
      </c>
      <c r="C16" s="6" t="s">
        <v>2668</v>
      </c>
      <c r="D16" s="6" t="s">
        <v>895</v>
      </c>
      <c r="E16" s="8"/>
      <c r="F16" s="7" t="s">
        <v>317</v>
      </c>
      <c r="G16" s="7" t="str">
        <f t="shared" si="3"/>
        <v>text</v>
      </c>
      <c r="H16" s="26"/>
      <c r="I16" s="10" t="s">
        <v>127</v>
      </c>
      <c r="J16" s="11"/>
      <c r="M16" s="4"/>
      <c r="N16" s="76"/>
      <c r="O16" s="76"/>
      <c r="P16" s="76" t="str">
        <f t="shared" si="4"/>
        <v>,icd10_s_name</v>
      </c>
      <c r="Q16" s="76" t="str">
        <f t="shared" si="0"/>
        <v>TEXT</v>
      </c>
      <c r="R16" s="76" t="str">
        <f t="shared" si="1"/>
        <v/>
      </c>
      <c r="S16" s="76" t="str">
        <f t="shared" si="5"/>
        <v>NOT NULL</v>
      </c>
      <c r="T16" s="76" t="str">
        <f t="shared" si="6"/>
        <v>-- ICD10小分類名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milscm_2023_009.sny_202310_backup_mt_icd10_s.icd10_s_name IS 'ICD10小分類名';</v>
      </c>
    </row>
    <row r="17" spans="1:52" s="25" customFormat="1">
      <c r="A17" s="4"/>
      <c r="B17" s="21">
        <f t="shared" si="2"/>
        <v>5</v>
      </c>
      <c r="C17" s="6" t="s">
        <v>2657</v>
      </c>
      <c r="D17" s="6" t="s">
        <v>3369</v>
      </c>
      <c r="E17" s="8"/>
      <c r="F17" s="7" t="s">
        <v>317</v>
      </c>
      <c r="G17" s="7" t="str">
        <f t="shared" si="3"/>
        <v>text</v>
      </c>
      <c r="H17" s="26"/>
      <c r="I17" s="10" t="s">
        <v>127</v>
      </c>
      <c r="J17" s="11"/>
      <c r="M17" s="4"/>
      <c r="N17" s="76"/>
      <c r="O17" s="76"/>
      <c r="P17" s="76" t="str">
        <f t="shared" si="4"/>
        <v>,icd10_l_code</v>
      </c>
      <c r="Q17" s="76" t="str">
        <f t="shared" si="0"/>
        <v>TEXT</v>
      </c>
      <c r="R17" s="76" t="str">
        <f t="shared" si="1"/>
        <v/>
      </c>
      <c r="S17" s="76" t="str">
        <f t="shared" si="5"/>
        <v>NOT NULL</v>
      </c>
      <c r="T17" s="76" t="str">
        <f t="shared" si="6"/>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milscm_2023_009.sny_202310_backup_mt_icd10_s.icd10_l_code IS 'ICD10大分類コード';</v>
      </c>
    </row>
    <row r="18" spans="1:52" s="25" customFormat="1">
      <c r="A18" s="4"/>
      <c r="B18" s="21">
        <f t="shared" si="2"/>
        <v>6</v>
      </c>
      <c r="C18" s="6" t="s">
        <v>2659</v>
      </c>
      <c r="D18" s="6" t="s">
        <v>3370</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milscm_2023_009.sny_202310_backup_mt_icd10_s.icd10_m_code IS 'ICD10中分類コード';</v>
      </c>
    </row>
    <row r="19" spans="1:52" s="25" customFormat="1">
      <c r="A19" s="4"/>
      <c r="B19" s="21">
        <f t="shared" si="2"/>
        <v>7</v>
      </c>
      <c r="C19" s="6" t="s">
        <v>3308</v>
      </c>
      <c r="D19" s="6" t="s">
        <v>3309</v>
      </c>
      <c r="E19" s="8"/>
      <c r="F19" s="7" t="s">
        <v>317</v>
      </c>
      <c r="G19" s="7" t="str">
        <f t="shared" ref="G19" si="7">IF(F19="フラグ","boolean",IF(F19="文字列","text",IF(F19="整数","integer",IF(F19="実数","numeric",""))))</f>
        <v>text</v>
      </c>
      <c r="H19" s="26"/>
      <c r="I19" s="10"/>
      <c r="J19" s="11" t="s">
        <v>3317</v>
      </c>
      <c r="M19" s="4"/>
      <c r="N19" s="76"/>
      <c r="O19" s="76"/>
      <c r="P19" s="76" t="str">
        <f t="shared" ref="P19" si="8">IF(B19&lt;&gt;1,","&amp;D19,D19)</f>
        <v>,ikosaki</v>
      </c>
      <c r="Q19" s="76" t="str">
        <f t="shared" ref="Q19" si="9">UPPER(G19)</f>
        <v>TEXT</v>
      </c>
      <c r="R19" s="76" t="str">
        <f t="shared" ref="R19" si="10">IF(H19&lt;&gt;"","default "&amp;IF(G19="text","'"&amp;H19&amp;"'",H19),"")</f>
        <v/>
      </c>
      <c r="S19" s="76" t="str">
        <f t="shared" ref="S19" si="11">IF(I19="○","NOT NULL","")</f>
        <v/>
      </c>
      <c r="T19" s="76" t="str">
        <f t="shared" ref="T19" si="12">"-- "&amp;C19</f>
        <v>-- 移行先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milscm_2023_009.sny_202310_backup_mt_icd10_s.ikosaki IS '移行先';</v>
      </c>
    </row>
    <row r="20" spans="1:52" s="25" customFormat="1">
      <c r="A20" s="4"/>
      <c r="B20" s="21">
        <f t="shared" si="2"/>
        <v>8</v>
      </c>
      <c r="C20" s="6" t="s">
        <v>3310</v>
      </c>
      <c r="D20" s="6" t="s">
        <v>3311</v>
      </c>
      <c r="E20" s="8"/>
      <c r="F20" s="7" t="s">
        <v>317</v>
      </c>
      <c r="G20" s="7" t="str">
        <f t="shared" si="3"/>
        <v>text</v>
      </c>
      <c r="H20" s="26"/>
      <c r="I20" s="10" t="s">
        <v>127</v>
      </c>
      <c r="J20" s="11" t="s">
        <v>3318</v>
      </c>
      <c r="M20" s="4"/>
      <c r="N20" s="76"/>
      <c r="O20" s="76"/>
      <c r="P20" s="76" t="str">
        <f t="shared" si="4"/>
        <v>,nen</v>
      </c>
      <c r="Q20" s="76" t="str">
        <f t="shared" si="0"/>
        <v>TEXT</v>
      </c>
      <c r="R20" s="76" t="str">
        <f t="shared" si="1"/>
        <v/>
      </c>
      <c r="S20" s="76" t="str">
        <f t="shared" si="5"/>
        <v>NOT NULL</v>
      </c>
      <c r="T20" s="76" t="str">
        <f t="shared" si="6"/>
        <v>-- 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milscm_2023_009.sny_202310_backup_mt_icd10_s.nen IS '年';</v>
      </c>
    </row>
    <row r="21" spans="1:52" s="25" customFormat="1">
      <c r="A21" s="4"/>
      <c r="B21" s="21">
        <f t="shared" si="2"/>
        <v>9</v>
      </c>
      <c r="C21" s="6" t="s">
        <v>3312</v>
      </c>
      <c r="D21" s="6" t="s">
        <v>3313</v>
      </c>
      <c r="E21" s="8"/>
      <c r="F21" s="7" t="s">
        <v>317</v>
      </c>
      <c r="G21" s="7" t="str">
        <f t="shared" si="3"/>
        <v>text</v>
      </c>
      <c r="H21" s="26"/>
      <c r="I21" s="10" t="s">
        <v>127</v>
      </c>
      <c r="J21" s="11" t="s">
        <v>3319</v>
      </c>
      <c r="M21" s="4"/>
      <c r="N21" s="76"/>
      <c r="O21" s="76"/>
      <c r="P21" s="76" t="str">
        <f t="shared" si="4"/>
        <v>,nengetsu</v>
      </c>
      <c r="Q21" s="76" t="str">
        <f t="shared" si="0"/>
        <v>TEXT</v>
      </c>
      <c r="R21" s="76" t="str">
        <f t="shared" si="1"/>
        <v/>
      </c>
      <c r="S21" s="76" t="str">
        <f t="shared" si="5"/>
        <v>NOT NULL</v>
      </c>
      <c r="T21" s="76" t="str">
        <f t="shared" si="6"/>
        <v>-- 年月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milscm_2023_009.sny_202310_backup_mt_icd10_s.nengetsu IS '年月';</v>
      </c>
    </row>
    <row r="22" spans="1:52" s="25" customFormat="1" ht="18" thickBot="1">
      <c r="A22" s="4"/>
      <c r="B22" s="27">
        <f>ROW()-12</f>
        <v>10</v>
      </c>
      <c r="C22" s="57" t="s">
        <v>3314</v>
      </c>
      <c r="D22" s="57" t="s">
        <v>1885</v>
      </c>
      <c r="E22" s="56"/>
      <c r="F22" s="56" t="s">
        <v>317</v>
      </c>
      <c r="G22" s="56" t="str">
        <f t="shared" si="3"/>
        <v>text</v>
      </c>
      <c r="H22" s="59"/>
      <c r="I22" s="60" t="s">
        <v>127</v>
      </c>
      <c r="J22" s="64" t="s">
        <v>2403</v>
      </c>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milscm_2023_009.sny_202310_backup_mt_icd10_s.update_ymd IS 'データ登録日';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ENT_01_A3-33</v>
      </c>
      <c r="E6" s="234"/>
      <c r="F6" s="234"/>
      <c r="G6" s="234"/>
      <c r="H6" s="234"/>
      <c r="I6" s="234"/>
      <c r="J6" s="235"/>
    </row>
    <row r="7" spans="1:45">
      <c r="B7" s="223" t="s">
        <v>115</v>
      </c>
      <c r="C7" s="224"/>
      <c r="D7" s="225" t="s">
        <v>3257</v>
      </c>
      <c r="E7" s="226"/>
      <c r="F7" s="226"/>
      <c r="G7" s="226"/>
      <c r="H7" s="226"/>
      <c r="I7" s="226"/>
      <c r="J7" s="227"/>
    </row>
    <row r="8" spans="1:45">
      <c r="B8" s="223" t="s">
        <v>116</v>
      </c>
      <c r="C8" s="224"/>
      <c r="D8" s="225" t="str">
        <f>エンティティ一覧!AE2&amp;"_"&amp;D5&amp;"_mt_icd10_ss"</f>
        <v>sny_202310_backup_mt_icd10_ss</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ICD10細分類マスタテーブルから組入れ条件の第一条件で絞り込んだ結果を格納するテーブル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milscm_2023_009.sny_202310_backup_mt_icd10_ss;</v>
      </c>
      <c r="O10" s="76"/>
      <c r="P10" s="76"/>
      <c r="Q10" s="76"/>
      <c r="R10" s="76"/>
      <c r="S10" s="76"/>
      <c r="T10" s="76"/>
      <c r="AJ10" s="76" t="str">
        <f>"ALTER TABLE ONLY "&amp;エンティティ一覧!$O$2&amp;"."&amp;D$8</f>
        <v>ALTER TABLE ONLY milscm_2023_009.sny_202310_backup_mt_icd10_ss</v>
      </c>
      <c r="AS10" s="76" t="str">
        <f>"ALTER TABLE "&amp;エンティティ一覧!$O$2&amp;"."&amp;D$8&amp;" OWNER TO pgmisgrp1;"</f>
        <v>ALTER TABLE milscm_2023_009.sny_202310_backup_mt_icd10_ss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milscm_2023_009.sny_202310_backup_mt_icd10_ss</v>
      </c>
      <c r="O11" s="76"/>
      <c r="P11" s="76"/>
      <c r="Q11" s="76"/>
      <c r="R11" s="76"/>
      <c r="S11" s="76"/>
      <c r="T11" s="76"/>
      <c r="AJ11" s="76" t="str">
        <f>"ADD CONSTRAINT "&amp;D$8&amp;"_pkey PRIMARY KEY"</f>
        <v>ADD CONSTRAINT sny_202310_backup_mt_icd10_ss_pkey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milscm_2023_009.sny_202310_backup_mt_icd10_ss IS 'バックアップ_ICD10細分類マスタ';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3" si="0">UPPER(G13)</f>
        <v>TEXT</v>
      </c>
      <c r="R13" s="76" t="str">
        <f t="shared" ref="R13:R23"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milscm_2023_009.sny_202310_backup_mt_icd10_ss.sekoubi IS '施行日';</v>
      </c>
    </row>
    <row r="14" spans="1:45" s="25" customFormat="1">
      <c r="A14" s="4"/>
      <c r="B14" s="21">
        <f t="shared" ref="B14:B22" si="2">ROW()-12</f>
        <v>2</v>
      </c>
      <c r="C14" s="6" t="s">
        <v>3291</v>
      </c>
      <c r="D14" s="6" t="s">
        <v>2051</v>
      </c>
      <c r="E14" s="8" t="s">
        <v>127</v>
      </c>
      <c r="F14" s="7" t="s">
        <v>317</v>
      </c>
      <c r="G14" s="7" t="str">
        <f t="shared" ref="G14:G23" si="3">IF(F14="フラグ","boolean",IF(F14="文字列","text",IF(F14="整数","integer",IF(F14="実数","numeric",""))))</f>
        <v>text</v>
      </c>
      <c r="H14" s="26"/>
      <c r="I14" s="10" t="s">
        <v>127</v>
      </c>
      <c r="J14" s="11" t="s">
        <v>3316</v>
      </c>
      <c r="M14" s="4"/>
      <c r="N14" s="76"/>
      <c r="O14" s="76"/>
      <c r="P14" s="76" t="str">
        <f t="shared" ref="P14:P23" si="4">IF(B14&lt;&gt;1,","&amp;D14,D14)</f>
        <v>,koshin_kubun</v>
      </c>
      <c r="Q14" s="76" t="str">
        <f t="shared" si="0"/>
        <v>TEXT</v>
      </c>
      <c r="R14" s="76" t="str">
        <f t="shared" si="1"/>
        <v/>
      </c>
      <c r="S14" s="76" t="str">
        <f t="shared" ref="S14:S23" si="5">IF(I14="○","NOT NULL","")</f>
        <v>NOT NULL</v>
      </c>
      <c r="T14" s="76" t="str">
        <f t="shared" ref="T14:T23"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milscm_2023_009.sny_202310_backup_mt_icd10_ss.koshin_kubun IS '更新区分';</v>
      </c>
    </row>
    <row r="15" spans="1:45" s="25" customFormat="1">
      <c r="A15" s="4"/>
      <c r="B15" s="21">
        <f t="shared" si="2"/>
        <v>3</v>
      </c>
      <c r="C15" s="6" t="s">
        <v>2662</v>
      </c>
      <c r="D15" s="6" t="s">
        <v>3372</v>
      </c>
      <c r="E15" s="8" t="s">
        <v>127</v>
      </c>
      <c r="F15" s="7" t="s">
        <v>317</v>
      </c>
      <c r="G15" s="7" t="str">
        <f t="shared" si="3"/>
        <v>text</v>
      </c>
      <c r="H15" s="26"/>
      <c r="I15" s="10" t="s">
        <v>127</v>
      </c>
      <c r="J15" s="11"/>
      <c r="M15" s="4"/>
      <c r="N15" s="76"/>
      <c r="O15" s="76"/>
      <c r="P15" s="76" t="str">
        <f t="shared" si="4"/>
        <v>,icd10_ss_code</v>
      </c>
      <c r="Q15" s="76" t="str">
        <f t="shared" si="0"/>
        <v>TEXT</v>
      </c>
      <c r="R15" s="76" t="str">
        <f t="shared" si="1"/>
        <v/>
      </c>
      <c r="S15" s="76" t="str">
        <f t="shared" si="5"/>
        <v>NOT NULL</v>
      </c>
      <c r="T15" s="76" t="str">
        <f t="shared" si="6"/>
        <v>-- ICD10細分類コード</v>
      </c>
      <c r="U15" s="4"/>
      <c r="AA15" s="4"/>
      <c r="AB15" s="4"/>
      <c r="AC15" s="4"/>
      <c r="AD15" s="4"/>
      <c r="AE15" s="4"/>
      <c r="AF15" s="4"/>
      <c r="AG15" s="4"/>
      <c r="AH15" s="4"/>
      <c r="AI15" s="4"/>
      <c r="AJ15" s="76" t="str">
        <f>IF(E15="○",IF(COUNTA(E$13:E15)=1,"",",")&amp;D15,"")</f>
        <v>,icd10_ss_code</v>
      </c>
      <c r="AK15" s="4"/>
      <c r="AL15" s="4"/>
      <c r="AM15" s="4"/>
      <c r="AN15" s="4"/>
      <c r="AO15" s="4"/>
      <c r="AP15" s="4"/>
      <c r="AQ15" s="4"/>
      <c r="AR15" s="4"/>
      <c r="AS15" s="76" t="str">
        <f>"COMMENT ON COLUMN "&amp;エンティティ一覧!$O$2&amp;"."&amp;D$8&amp;"."&amp;D15&amp;" IS '"&amp;C15&amp;"';"</f>
        <v>COMMENT ON COLUMN milscm_2023_009.sny_202310_backup_mt_icd10_ss.icd10_ss_code IS 'ICD10細分類コード';</v>
      </c>
    </row>
    <row r="16" spans="1:45" s="25" customFormat="1">
      <c r="A16" s="4"/>
      <c r="B16" s="21">
        <f t="shared" si="2"/>
        <v>4</v>
      </c>
      <c r="C16" s="6" t="s">
        <v>2669</v>
      </c>
      <c r="D16" s="6" t="s">
        <v>2670</v>
      </c>
      <c r="E16" s="8"/>
      <c r="F16" s="7" t="s">
        <v>317</v>
      </c>
      <c r="G16" s="7" t="str">
        <f t="shared" si="3"/>
        <v>text</v>
      </c>
      <c r="H16" s="26"/>
      <c r="I16" s="10" t="s">
        <v>127</v>
      </c>
      <c r="J16" s="11"/>
      <c r="M16" s="4"/>
      <c r="N16" s="76"/>
      <c r="O16" s="76"/>
      <c r="P16" s="76" t="str">
        <f t="shared" si="4"/>
        <v>,icd10_ss_name</v>
      </c>
      <c r="Q16" s="76" t="str">
        <f t="shared" si="0"/>
        <v>TEXT</v>
      </c>
      <c r="R16" s="76" t="str">
        <f t="shared" si="1"/>
        <v/>
      </c>
      <c r="S16" s="76" t="str">
        <f t="shared" si="5"/>
        <v>NOT NULL</v>
      </c>
      <c r="T16" s="76" t="str">
        <f t="shared" si="6"/>
        <v>-- ICD10細分類名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milscm_2023_009.sny_202310_backup_mt_icd10_ss.icd10_ss_name IS 'ICD10細分類名';</v>
      </c>
    </row>
    <row r="17" spans="1:52" s="25" customFormat="1">
      <c r="A17" s="4"/>
      <c r="B17" s="21">
        <f t="shared" si="2"/>
        <v>5</v>
      </c>
      <c r="C17" s="6" t="s">
        <v>2657</v>
      </c>
      <c r="D17" s="6" t="s">
        <v>3369</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,icd10_l_code</v>
      </c>
      <c r="Q17" s="76" t="str">
        <f t="shared" ref="Q17" si="9">UPPER(G17)</f>
        <v>TEXT</v>
      </c>
      <c r="R17" s="76" t="str">
        <f t="shared" ref="R17" si="10">IF(H17&lt;&gt;"","default "&amp;IF(G17="text","'"&amp;H17&amp;"'",H17),"")</f>
        <v/>
      </c>
      <c r="S17" s="76" t="str">
        <f t="shared" ref="S17" si="11">IF(I17="○","NOT NULL","")</f>
        <v>NOT NULL</v>
      </c>
      <c r="T17" s="76" t="str">
        <f t="shared" ref="T17" si="12">"-- "&amp;C17</f>
        <v>-- ICD10大分類コード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milscm_2023_009.sny_202310_backup_mt_icd10_ss.icd10_l_code IS 'ICD10大分類コード';</v>
      </c>
    </row>
    <row r="18" spans="1:52" s="25" customFormat="1">
      <c r="A18" s="4"/>
      <c r="B18" s="21">
        <f t="shared" si="2"/>
        <v>6</v>
      </c>
      <c r="C18" s="6" t="s">
        <v>2659</v>
      </c>
      <c r="D18" s="6" t="s">
        <v>3370</v>
      </c>
      <c r="E18" s="8"/>
      <c r="F18" s="7" t="s">
        <v>317</v>
      </c>
      <c r="G18" s="7" t="str">
        <f t="shared" si="3"/>
        <v>text</v>
      </c>
      <c r="H18" s="26"/>
      <c r="I18" s="10" t="s">
        <v>127</v>
      </c>
      <c r="J18" s="11"/>
      <c r="M18" s="4"/>
      <c r="N18" s="76"/>
      <c r="O18" s="76"/>
      <c r="P18" s="76" t="str">
        <f t="shared" si="4"/>
        <v>,icd10_m_code</v>
      </c>
      <c r="Q18" s="76" t="str">
        <f t="shared" si="0"/>
        <v>TEXT</v>
      </c>
      <c r="R18" s="76" t="str">
        <f t="shared" si="1"/>
        <v/>
      </c>
      <c r="S18" s="76" t="str">
        <f t="shared" si="5"/>
        <v>NOT NULL</v>
      </c>
      <c r="T18" s="76" t="str">
        <f t="shared" si="6"/>
        <v>-- ICD10中分類コード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milscm_2023_009.sny_202310_backup_mt_icd10_ss.icd10_m_code IS 'ICD10中分類コード';</v>
      </c>
    </row>
    <row r="19" spans="1:52" s="25" customFormat="1">
      <c r="A19" s="4"/>
      <c r="B19" s="21">
        <f t="shared" si="2"/>
        <v>7</v>
      </c>
      <c r="C19" s="6" t="s">
        <v>2661</v>
      </c>
      <c r="D19" s="6" t="s">
        <v>3371</v>
      </c>
      <c r="E19" s="8"/>
      <c r="F19" s="7" t="s">
        <v>317</v>
      </c>
      <c r="G19" s="7" t="str">
        <f t="shared" si="3"/>
        <v>text</v>
      </c>
      <c r="H19" s="26"/>
      <c r="I19" s="10" t="s">
        <v>127</v>
      </c>
      <c r="J19" s="11"/>
      <c r="M19" s="4"/>
      <c r="N19" s="76"/>
      <c r="O19" s="76"/>
      <c r="P19" s="76" t="str">
        <f t="shared" si="4"/>
        <v>,icd10_s_code</v>
      </c>
      <c r="Q19" s="76" t="str">
        <f t="shared" si="0"/>
        <v>TEXT</v>
      </c>
      <c r="R19" s="76" t="str">
        <f t="shared" si="1"/>
        <v/>
      </c>
      <c r="S19" s="76" t="str">
        <f t="shared" si="5"/>
        <v>NOT NULL</v>
      </c>
      <c r="T19" s="76" t="str">
        <f t="shared" si="6"/>
        <v>-- ICD10小分類コード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milscm_2023_009.sny_202310_backup_mt_icd10_ss.icd10_s_code IS 'ICD10小分類コード';</v>
      </c>
    </row>
    <row r="20" spans="1:52" s="25" customFormat="1">
      <c r="A20" s="4"/>
      <c r="B20" s="21">
        <f t="shared" si="2"/>
        <v>8</v>
      </c>
      <c r="C20" s="6" t="s">
        <v>3308</v>
      </c>
      <c r="D20" s="6" t="s">
        <v>3309</v>
      </c>
      <c r="E20" s="8"/>
      <c r="F20" s="7" t="s">
        <v>317</v>
      </c>
      <c r="G20" s="7" t="str">
        <f t="shared" si="3"/>
        <v>text</v>
      </c>
      <c r="H20" s="26"/>
      <c r="I20" s="10"/>
      <c r="J20" s="11" t="s">
        <v>3317</v>
      </c>
      <c r="M20" s="4"/>
      <c r="N20" s="76"/>
      <c r="O20" s="76"/>
      <c r="P20" s="76" t="str">
        <f t="shared" si="4"/>
        <v>,ikosaki</v>
      </c>
      <c r="Q20" s="76" t="str">
        <f t="shared" si="0"/>
        <v>TEXT</v>
      </c>
      <c r="R20" s="76" t="str">
        <f t="shared" si="1"/>
        <v/>
      </c>
      <c r="S20" s="76" t="str">
        <f t="shared" si="5"/>
        <v/>
      </c>
      <c r="T20" s="76" t="str">
        <f t="shared" si="6"/>
        <v>-- 移行先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milscm_2023_009.sny_202310_backup_mt_icd10_ss.ikosaki IS '移行先';</v>
      </c>
    </row>
    <row r="21" spans="1:52" s="25" customFormat="1">
      <c r="A21" s="4"/>
      <c r="B21" s="21">
        <f t="shared" si="2"/>
        <v>9</v>
      </c>
      <c r="C21" s="6" t="s">
        <v>3310</v>
      </c>
      <c r="D21" s="6" t="s">
        <v>3311</v>
      </c>
      <c r="E21" s="8"/>
      <c r="F21" s="7" t="s">
        <v>317</v>
      </c>
      <c r="G21" s="7" t="str">
        <f t="shared" si="3"/>
        <v>text</v>
      </c>
      <c r="H21" s="26"/>
      <c r="I21" s="10" t="s">
        <v>127</v>
      </c>
      <c r="J21" s="11" t="s">
        <v>3318</v>
      </c>
      <c r="M21" s="4"/>
      <c r="N21" s="76"/>
      <c r="O21" s="76"/>
      <c r="P21" s="76" t="str">
        <f t="shared" si="4"/>
        <v>,nen</v>
      </c>
      <c r="Q21" s="76" t="str">
        <f t="shared" si="0"/>
        <v>TEXT</v>
      </c>
      <c r="R21" s="76" t="str">
        <f t="shared" si="1"/>
        <v/>
      </c>
      <c r="S21" s="76" t="str">
        <f t="shared" si="5"/>
        <v>NOT NULL</v>
      </c>
      <c r="T21" s="76" t="str">
        <f t="shared" si="6"/>
        <v>-- 年</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milscm_2023_009.sny_202310_backup_mt_icd10_ss.nen IS '年';</v>
      </c>
    </row>
    <row r="22" spans="1:52" s="25" customFormat="1">
      <c r="A22" s="4"/>
      <c r="B22" s="21">
        <f t="shared" si="2"/>
        <v>10</v>
      </c>
      <c r="C22" s="6" t="s">
        <v>3312</v>
      </c>
      <c r="D22" s="6" t="s">
        <v>3313</v>
      </c>
      <c r="E22" s="8"/>
      <c r="F22" s="7" t="s">
        <v>317</v>
      </c>
      <c r="G22" s="7" t="str">
        <f t="shared" si="3"/>
        <v>text</v>
      </c>
      <c r="H22" s="26"/>
      <c r="I22" s="10" t="s">
        <v>127</v>
      </c>
      <c r="J22" s="11" t="s">
        <v>3319</v>
      </c>
      <c r="M22" s="4"/>
      <c r="N22" s="76"/>
      <c r="O22" s="76"/>
      <c r="P22" s="76" t="str">
        <f t="shared" si="4"/>
        <v>,nengetsu</v>
      </c>
      <c r="Q22" s="76" t="str">
        <f t="shared" si="0"/>
        <v>TEXT</v>
      </c>
      <c r="R22" s="76" t="str">
        <f t="shared" si="1"/>
        <v/>
      </c>
      <c r="S22" s="76" t="str">
        <f t="shared" si="5"/>
        <v>NOT NULL</v>
      </c>
      <c r="T22" s="76" t="str">
        <f t="shared" si="6"/>
        <v>-- 年月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milscm_2023_009.sny_202310_backup_mt_icd10_ss.nengetsu IS '年月';</v>
      </c>
    </row>
    <row r="23" spans="1:52" s="25" customFormat="1" ht="18" thickBot="1">
      <c r="A23" s="4"/>
      <c r="B23" s="27">
        <f>ROW()-12</f>
        <v>11</v>
      </c>
      <c r="C23" s="57" t="s">
        <v>3314</v>
      </c>
      <c r="D23" s="57" t="s">
        <v>1885</v>
      </c>
      <c r="E23" s="56"/>
      <c r="F23" s="56" t="s">
        <v>317</v>
      </c>
      <c r="G23" s="56" t="str">
        <f t="shared" si="3"/>
        <v>text</v>
      </c>
      <c r="H23" s="59"/>
      <c r="I23" s="60" t="s">
        <v>127</v>
      </c>
      <c r="J23" s="64" t="s">
        <v>2403</v>
      </c>
      <c r="N23" s="76"/>
      <c r="O23" s="76"/>
      <c r="P23" s="76" t="str">
        <f t="shared" si="4"/>
        <v>,update_ymd</v>
      </c>
      <c r="Q23" s="76" t="str">
        <f t="shared" si="0"/>
        <v>TEXT</v>
      </c>
      <c r="R23" s="76" t="str">
        <f t="shared" si="1"/>
        <v/>
      </c>
      <c r="S23" s="76" t="str">
        <f t="shared" si="5"/>
        <v>NOT NULL</v>
      </c>
      <c r="T23" s="76" t="str">
        <f t="shared" si="6"/>
        <v>-- データ登録日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milscm_2023_009.sny_202310_backup_mt_icd10_ss.update_ymd IS 'データ登録日';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ENT_01_A3-34</v>
      </c>
      <c r="E6" s="234"/>
      <c r="F6" s="234"/>
      <c r="G6" s="234"/>
      <c r="H6" s="234"/>
      <c r="I6" s="234"/>
      <c r="J6" s="235"/>
    </row>
    <row r="7" spans="1:45">
      <c r="B7" s="223" t="s">
        <v>115</v>
      </c>
      <c r="C7" s="224"/>
      <c r="D7" s="225" t="s">
        <v>3258</v>
      </c>
      <c r="E7" s="226"/>
      <c r="F7" s="226"/>
      <c r="G7" s="226"/>
      <c r="H7" s="226"/>
      <c r="I7" s="226"/>
      <c r="J7" s="227"/>
    </row>
    <row r="8" spans="1:45">
      <c r="B8" s="223" t="s">
        <v>116</v>
      </c>
      <c r="C8" s="224"/>
      <c r="D8" s="225" t="str">
        <f>エンティティ一覧!AE2&amp;"_"&amp;D5&amp;"_mt_dpc2"</f>
        <v>sny_202310_backup_mt_dpc2</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DPC2桁マスタテーブルから組入れ条件の第一条件で絞り込んだ結果を格納するテーブル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milscm_2023_009.sny_202310_backup_mt_dpc2;</v>
      </c>
      <c r="O10" s="76"/>
      <c r="P10" s="76"/>
      <c r="Q10" s="76"/>
      <c r="R10" s="76"/>
      <c r="S10" s="76"/>
      <c r="T10" s="76"/>
      <c r="AJ10" s="76" t="str">
        <f>"ALTER TABLE ONLY "&amp;エンティティ一覧!$O$2&amp;"."&amp;D$8</f>
        <v>ALTER TABLE ONLY milscm_2023_009.sny_202310_backup_mt_dpc2</v>
      </c>
      <c r="AS10" s="76" t="str">
        <f>"ALTER TABLE "&amp;エンティティ一覧!$O$2&amp;"."&amp;D$8&amp;" OWNER TO pgmisgrp1;"</f>
        <v>ALTER TABLE milscm_2023_009.sny_202310_backup_mt_dpc2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milscm_2023_009.sny_202310_backup_mt_dpc2</v>
      </c>
      <c r="O11" s="76"/>
      <c r="P11" s="76"/>
      <c r="Q11" s="76"/>
      <c r="R11" s="76"/>
      <c r="S11" s="76"/>
      <c r="T11" s="76"/>
      <c r="AJ11" s="76" t="str">
        <f>"ADD CONSTRAINT "&amp;D$8&amp;"_pkey PRIMARY KEY"</f>
        <v>ADD CONSTRAINT sny_202310_backup_mt_dpc2_pkey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milscm_2023_009.sny_202310_backup_mt_dpc2 IS 'バックアップ_DPC2桁マスタ';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0" si="0">UPPER(G13)</f>
        <v>TEXT</v>
      </c>
      <c r="R13" s="76" t="str">
        <f t="shared" ref="R13:R20"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milscm_2023_009.sny_202310_backup_mt_dpc2.sekoubi IS '施行日';</v>
      </c>
    </row>
    <row r="14" spans="1:45" s="25" customFormat="1">
      <c r="A14" s="4"/>
      <c r="B14" s="21">
        <f t="shared" ref="B14:B19" si="2">ROW()-12</f>
        <v>2</v>
      </c>
      <c r="C14" s="6" t="s">
        <v>3373</v>
      </c>
      <c r="D14" s="6" t="s">
        <v>1931</v>
      </c>
      <c r="E14" s="8"/>
      <c r="F14" s="7" t="s">
        <v>317</v>
      </c>
      <c r="G14" s="7" t="str">
        <f t="shared" ref="G14:G20" si="3">IF(F14="フラグ","boolean",IF(F14="文字列","text",IF(F14="整数","integer",IF(F14="実数","numeric",""))))</f>
        <v>text</v>
      </c>
      <c r="H14" s="26"/>
      <c r="I14" s="10" t="s">
        <v>127</v>
      </c>
      <c r="J14" s="11" t="s">
        <v>3316</v>
      </c>
      <c r="M14" s="4"/>
      <c r="N14" s="76"/>
      <c r="O14" s="76"/>
      <c r="P14" s="76" t="str">
        <f t="shared" ref="P14:P20" si="4">IF(B14&lt;&gt;1,","&amp;D14,D14)</f>
        <v>,henkou_kubun</v>
      </c>
      <c r="Q14" s="76" t="str">
        <f t="shared" si="0"/>
        <v>TEXT</v>
      </c>
      <c r="R14" s="76" t="str">
        <f t="shared" si="1"/>
        <v/>
      </c>
      <c r="S14" s="76" t="str">
        <f t="shared" ref="S14:S20" si="5">IF(I14="○","NOT NULL","")</f>
        <v>NOT NULL</v>
      </c>
      <c r="T14" s="76" t="str">
        <f t="shared" ref="T14:T20"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milscm_2023_009.sny_202310_backup_mt_dpc2.henkou_kubun IS '変更区分';</v>
      </c>
    </row>
    <row r="15" spans="1:45" s="25" customFormat="1">
      <c r="A15" s="4"/>
      <c r="B15" s="21">
        <f t="shared" si="2"/>
        <v>3</v>
      </c>
      <c r="C15" s="6" t="s">
        <v>1932</v>
      </c>
      <c r="D15" s="6" t="s">
        <v>3374</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milscm_2023_009.sny_202310_backup_mt_dpc2.dpc2_code IS 'DPCコード2桁';</v>
      </c>
    </row>
    <row r="16" spans="1:45" s="25" customFormat="1">
      <c r="A16" s="4"/>
      <c r="B16" s="21">
        <f t="shared" si="2"/>
        <v>4</v>
      </c>
      <c r="C16" s="6" t="s">
        <v>2646</v>
      </c>
      <c r="D16" s="6" t="s">
        <v>2647</v>
      </c>
      <c r="E16" s="8"/>
      <c r="F16" s="7" t="s">
        <v>317</v>
      </c>
      <c r="G16" s="7" t="str">
        <f t="shared" si="3"/>
        <v>text</v>
      </c>
      <c r="H16" s="26"/>
      <c r="I16" s="10" t="s">
        <v>127</v>
      </c>
      <c r="J16" s="11"/>
      <c r="M16" s="4"/>
      <c r="N16" s="76"/>
      <c r="O16" s="76"/>
      <c r="P16" s="76" t="str">
        <f t="shared" si="4"/>
        <v>,dpc2_name</v>
      </c>
      <c r="Q16" s="76" t="str">
        <f t="shared" si="0"/>
        <v>TEXT</v>
      </c>
      <c r="R16" s="76" t="str">
        <f t="shared" si="1"/>
        <v/>
      </c>
      <c r="S16" s="76" t="str">
        <f t="shared" si="5"/>
        <v>NOT NULL</v>
      </c>
      <c r="T16" s="76" t="str">
        <f t="shared" si="6"/>
        <v>-- DPC2桁名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milscm_2023_009.sny_202310_backup_mt_dpc2.dpc2_name IS 'DPC2桁名';</v>
      </c>
    </row>
    <row r="17" spans="1:52" s="25" customFormat="1">
      <c r="A17" s="4"/>
      <c r="B17" s="21">
        <f t="shared" si="2"/>
        <v>5</v>
      </c>
      <c r="C17" s="6" t="s">
        <v>3308</v>
      </c>
      <c r="D17" s="6" t="s">
        <v>3309</v>
      </c>
      <c r="E17" s="8"/>
      <c r="F17" s="7" t="s">
        <v>317</v>
      </c>
      <c r="G17" s="7" t="str">
        <f t="shared" si="3"/>
        <v>text</v>
      </c>
      <c r="H17" s="26"/>
      <c r="I17" s="10"/>
      <c r="J17" s="11" t="s">
        <v>3317</v>
      </c>
      <c r="M17" s="4"/>
      <c r="N17" s="76"/>
      <c r="O17" s="76"/>
      <c r="P17" s="76" t="str">
        <f t="shared" si="4"/>
        <v>,ikosaki</v>
      </c>
      <c r="Q17" s="76" t="str">
        <f t="shared" si="0"/>
        <v>TEXT</v>
      </c>
      <c r="R17" s="76" t="str">
        <f t="shared" si="1"/>
        <v/>
      </c>
      <c r="S17" s="76" t="str">
        <f t="shared" si="5"/>
        <v/>
      </c>
      <c r="T17" s="76" t="str">
        <f t="shared" si="6"/>
        <v>-- 移行先</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milscm_2023_009.sny_202310_backup_mt_dpc2.ikosaki IS '移行先';</v>
      </c>
    </row>
    <row r="18" spans="1:52" s="25" customFormat="1">
      <c r="A18" s="4"/>
      <c r="B18" s="21">
        <f t="shared" si="2"/>
        <v>6</v>
      </c>
      <c r="C18" s="6" t="s">
        <v>3310</v>
      </c>
      <c r="D18" s="6" t="s">
        <v>3311</v>
      </c>
      <c r="E18" s="8"/>
      <c r="F18" s="7" t="s">
        <v>317</v>
      </c>
      <c r="G18" s="7" t="str">
        <f t="shared" si="3"/>
        <v>text</v>
      </c>
      <c r="H18" s="26"/>
      <c r="I18" s="10" t="s">
        <v>127</v>
      </c>
      <c r="J18" s="11" t="s">
        <v>3318</v>
      </c>
      <c r="M18" s="4"/>
      <c r="N18" s="76"/>
      <c r="O18" s="76"/>
      <c r="P18" s="76" t="str">
        <f t="shared" si="4"/>
        <v>,nen</v>
      </c>
      <c r="Q18" s="76" t="str">
        <f t="shared" si="0"/>
        <v>TEXT</v>
      </c>
      <c r="R18" s="76" t="str">
        <f t="shared" si="1"/>
        <v/>
      </c>
      <c r="S18" s="76" t="str">
        <f t="shared" si="5"/>
        <v>NOT NULL</v>
      </c>
      <c r="T18" s="76" t="str">
        <f t="shared" si="6"/>
        <v>-- 年</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milscm_2023_009.sny_202310_backup_mt_dpc2.nen IS '年';</v>
      </c>
    </row>
    <row r="19" spans="1:52" s="25" customFormat="1">
      <c r="A19" s="4"/>
      <c r="B19" s="21">
        <f t="shared" si="2"/>
        <v>7</v>
      </c>
      <c r="C19" s="6" t="s">
        <v>3312</v>
      </c>
      <c r="D19" s="6" t="s">
        <v>3313</v>
      </c>
      <c r="E19" s="8"/>
      <c r="F19" s="7" t="s">
        <v>317</v>
      </c>
      <c r="G19" s="7" t="str">
        <f t="shared" si="3"/>
        <v>text</v>
      </c>
      <c r="H19" s="26"/>
      <c r="I19" s="10" t="s">
        <v>127</v>
      </c>
      <c r="J19" s="11" t="s">
        <v>3319</v>
      </c>
      <c r="M19" s="4"/>
      <c r="N19" s="76"/>
      <c r="O19" s="76"/>
      <c r="P19" s="76" t="str">
        <f t="shared" si="4"/>
        <v>,nengetsu</v>
      </c>
      <c r="Q19" s="76" t="str">
        <f t="shared" si="0"/>
        <v>TEXT</v>
      </c>
      <c r="R19" s="76" t="str">
        <f t="shared" si="1"/>
        <v/>
      </c>
      <c r="S19" s="76" t="str">
        <f t="shared" si="5"/>
        <v>NOT NULL</v>
      </c>
      <c r="T19" s="76" t="str">
        <f t="shared" si="6"/>
        <v>-- 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milscm_2023_009.sny_202310_backup_mt_dpc2.nengetsu IS '年月';</v>
      </c>
    </row>
    <row r="20" spans="1:52" s="25" customFormat="1" ht="18" thickBot="1">
      <c r="A20" s="4"/>
      <c r="B20" s="27">
        <f>ROW()-12</f>
        <v>8</v>
      </c>
      <c r="C20" s="57" t="s">
        <v>3314</v>
      </c>
      <c r="D20" s="57" t="s">
        <v>1885</v>
      </c>
      <c r="E20" s="56"/>
      <c r="F20" s="56" t="s">
        <v>317</v>
      </c>
      <c r="G20" s="56" t="str">
        <f t="shared" si="3"/>
        <v>text</v>
      </c>
      <c r="H20" s="59"/>
      <c r="I20" s="60" t="s">
        <v>127</v>
      </c>
      <c r="J20" s="64" t="s">
        <v>2403</v>
      </c>
      <c r="N20" s="76"/>
      <c r="O20" s="76"/>
      <c r="P20" s="76" t="str">
        <f t="shared" si="4"/>
        <v>,update_ymd</v>
      </c>
      <c r="Q20" s="76" t="str">
        <f t="shared" si="0"/>
        <v>TEXT</v>
      </c>
      <c r="R20" s="76" t="str">
        <f t="shared" si="1"/>
        <v/>
      </c>
      <c r="S20" s="76" t="str">
        <f t="shared" si="5"/>
        <v>NOT NULL</v>
      </c>
      <c r="T20" s="76" t="str">
        <f t="shared" si="6"/>
        <v>-- データ登録日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milscm_2023_009.sny_202310_backup_mt_dpc2.update_ymd IS 'データ登録日';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ENT_01_A3-35</v>
      </c>
      <c r="E6" s="234"/>
      <c r="F6" s="234"/>
      <c r="G6" s="234"/>
      <c r="H6" s="234"/>
      <c r="I6" s="234"/>
      <c r="J6" s="235"/>
    </row>
    <row r="7" spans="1:45">
      <c r="B7" s="223" t="s">
        <v>115</v>
      </c>
      <c r="C7" s="224"/>
      <c r="D7" s="225" t="s">
        <v>3375</v>
      </c>
      <c r="E7" s="226"/>
      <c r="F7" s="226"/>
      <c r="G7" s="226"/>
      <c r="H7" s="226"/>
      <c r="I7" s="226"/>
      <c r="J7" s="227"/>
    </row>
    <row r="8" spans="1:45">
      <c r="B8" s="223" t="s">
        <v>116</v>
      </c>
      <c r="C8" s="224"/>
      <c r="D8" s="225" t="str">
        <f>エンティティ一覧!AE2&amp;"_"&amp;D5&amp;"_mt_dpc6"</f>
        <v>sny_202310_backup_mt_dpc6</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DPC6桁マスタテーブルから組入れ条件の第一条件で絞り込んだ結果を格納するテーブル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milscm_2023_009.sny_202310_backup_mt_dpc6;</v>
      </c>
      <c r="O10" s="76"/>
      <c r="P10" s="76"/>
      <c r="Q10" s="76"/>
      <c r="R10" s="76"/>
      <c r="S10" s="76"/>
      <c r="T10" s="76"/>
      <c r="AJ10" s="76" t="str">
        <f>"ALTER TABLE ONLY "&amp;エンティティ一覧!$O$2&amp;"."&amp;D$8</f>
        <v>ALTER TABLE ONLY milscm_2023_009.sny_202310_backup_mt_dpc6</v>
      </c>
      <c r="AS10" s="76" t="str">
        <f>"ALTER TABLE "&amp;エンティティ一覧!$O$2&amp;"."&amp;D$8&amp;" OWNER TO pgmisgrp1;"</f>
        <v>ALTER TABLE milscm_2023_009.sny_202310_backup_mt_dpc6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milscm_2023_009.sny_202310_backup_mt_dpc6</v>
      </c>
      <c r="O11" s="76"/>
      <c r="P11" s="76"/>
      <c r="Q11" s="76"/>
      <c r="R11" s="76"/>
      <c r="S11" s="76"/>
      <c r="T11" s="76"/>
      <c r="AJ11" s="76" t="str">
        <f>"ADD CONSTRAINT "&amp;D$8&amp;"_pkey PRIMARY KEY"</f>
        <v>ADD CONSTRAINT sny_202310_backup_mt_dpc6_pkey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milscm_2023_009.sny_202310_backup_mt_dpc6 IS 'バックアップ_DPC6桁マスタ';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milscm_2023_009.sny_202310_backup_mt_dpc6.sekoubi IS '施行日';</v>
      </c>
    </row>
    <row r="14" spans="1:45" s="25" customFormat="1">
      <c r="A14" s="4"/>
      <c r="B14" s="21">
        <f t="shared" ref="B14:B20" si="2">ROW()-12</f>
        <v>2</v>
      </c>
      <c r="C14" s="6" t="s">
        <v>3373</v>
      </c>
      <c r="D14" s="6" t="s">
        <v>1931</v>
      </c>
      <c r="E14" s="8"/>
      <c r="F14" s="7" t="s">
        <v>317</v>
      </c>
      <c r="G14" s="7" t="str">
        <f t="shared" ref="G14:G21" si="3">IF(F14="フラグ","boolean",IF(F14="文字列","text",IF(F14="整数","integer",IF(F14="実数","numeric",""))))</f>
        <v>text</v>
      </c>
      <c r="H14" s="26"/>
      <c r="I14" s="10" t="s">
        <v>127</v>
      </c>
      <c r="J14" s="11" t="s">
        <v>3316</v>
      </c>
      <c r="M14" s="4"/>
      <c r="N14" s="76"/>
      <c r="O14" s="76"/>
      <c r="P14" s="76" t="str">
        <f t="shared" ref="P14:P21" si="4">IF(B14&lt;&gt;1,","&amp;D14,D14)</f>
        <v>,henkou_kubun</v>
      </c>
      <c r="Q14" s="76" t="str">
        <f t="shared" si="0"/>
        <v>TEXT</v>
      </c>
      <c r="R14" s="76" t="str">
        <f t="shared" si="1"/>
        <v/>
      </c>
      <c r="S14" s="76" t="str">
        <f t="shared" ref="S14:S21" si="5">IF(I14="○","NOT NULL","")</f>
        <v>NOT NULL</v>
      </c>
      <c r="T14" s="76" t="str">
        <f t="shared" ref="T14:T21" si="6">"-- "&amp;C14</f>
        <v>-- 変更区分</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milscm_2023_009.sny_202310_backup_mt_dpc6.henkou_kubun IS '変更区分';</v>
      </c>
    </row>
    <row r="15" spans="1:45" s="25" customFormat="1">
      <c r="A15" s="4"/>
      <c r="B15" s="21">
        <f t="shared" si="2"/>
        <v>3</v>
      </c>
      <c r="C15" s="6" t="s">
        <v>1932</v>
      </c>
      <c r="D15" s="6" t="s">
        <v>3374</v>
      </c>
      <c r="E15" s="8" t="s">
        <v>127</v>
      </c>
      <c r="F15" s="7" t="s">
        <v>317</v>
      </c>
      <c r="G15" s="7" t="str">
        <f t="shared" si="3"/>
        <v>text</v>
      </c>
      <c r="H15" s="26"/>
      <c r="I15" s="10" t="s">
        <v>127</v>
      </c>
      <c r="J15" s="11"/>
      <c r="M15" s="4"/>
      <c r="N15" s="76"/>
      <c r="O15" s="76"/>
      <c r="P15" s="76" t="str">
        <f t="shared" si="4"/>
        <v>,dpc2_code</v>
      </c>
      <c r="Q15" s="76" t="str">
        <f t="shared" si="0"/>
        <v>TEXT</v>
      </c>
      <c r="R15" s="76" t="str">
        <f t="shared" si="1"/>
        <v/>
      </c>
      <c r="S15" s="76" t="str">
        <f t="shared" si="5"/>
        <v>NOT NULL</v>
      </c>
      <c r="T15" s="76" t="str">
        <f t="shared" si="6"/>
        <v>-- DPCコード2桁</v>
      </c>
      <c r="U15" s="4"/>
      <c r="AA15" s="4"/>
      <c r="AB15" s="4"/>
      <c r="AC15" s="4"/>
      <c r="AD15" s="4"/>
      <c r="AE15" s="4"/>
      <c r="AF15" s="4"/>
      <c r="AG15" s="4"/>
      <c r="AH15" s="4"/>
      <c r="AI15" s="4"/>
      <c r="AJ15" s="76" t="str">
        <f>IF(E15="○",IF(COUNTA(E$13:E15)=1,"",",")&amp;D15,"")</f>
        <v>,dpc2_code</v>
      </c>
      <c r="AK15" s="4"/>
      <c r="AL15" s="4"/>
      <c r="AM15" s="4"/>
      <c r="AN15" s="4"/>
      <c r="AO15" s="4"/>
      <c r="AP15" s="4"/>
      <c r="AQ15" s="4"/>
      <c r="AR15" s="4"/>
      <c r="AS15" s="76" t="str">
        <f>"COMMENT ON COLUMN "&amp;エンティティ一覧!$O$2&amp;"."&amp;D$8&amp;"."&amp;D15&amp;" IS '"&amp;C15&amp;"';"</f>
        <v>COMMENT ON COLUMN milscm_2023_009.sny_202310_backup_mt_dpc6.dpc2_code IS 'DPCコード2桁';</v>
      </c>
    </row>
    <row r="16" spans="1:45" s="25" customFormat="1">
      <c r="A16" s="4"/>
      <c r="B16" s="21">
        <f t="shared" si="2"/>
        <v>4</v>
      </c>
      <c r="C16" s="6" t="s">
        <v>3376</v>
      </c>
      <c r="D16" s="6" t="s">
        <v>3377</v>
      </c>
      <c r="E16" s="8" t="s">
        <v>127</v>
      </c>
      <c r="F16" s="7" t="s">
        <v>317</v>
      </c>
      <c r="G16" s="7" t="str">
        <f t="shared" si="3"/>
        <v>text</v>
      </c>
      <c r="H16" s="26"/>
      <c r="I16" s="10" t="s">
        <v>127</v>
      </c>
      <c r="J16" s="11"/>
      <c r="M16" s="4"/>
      <c r="N16" s="76"/>
      <c r="O16" s="76"/>
      <c r="P16" s="76" t="str">
        <f t="shared" si="4"/>
        <v>,dpc4_code</v>
      </c>
      <c r="Q16" s="76" t="str">
        <f t="shared" si="0"/>
        <v>TEXT</v>
      </c>
      <c r="R16" s="76" t="str">
        <f t="shared" si="1"/>
        <v/>
      </c>
      <c r="S16" s="76" t="str">
        <f t="shared" si="5"/>
        <v>NOT NULL</v>
      </c>
      <c r="T16" s="76" t="str">
        <f t="shared" si="6"/>
        <v>-- DPCコード4桁</v>
      </c>
      <c r="U16" s="4"/>
      <c r="AA16" s="4"/>
      <c r="AB16" s="4"/>
      <c r="AC16" s="4"/>
      <c r="AD16" s="4"/>
      <c r="AE16" s="4"/>
      <c r="AF16" s="4"/>
      <c r="AG16" s="4"/>
      <c r="AH16" s="4"/>
      <c r="AI16" s="4"/>
      <c r="AJ16" s="76" t="str">
        <f>IF(E16="○",IF(COUNTA(E$13:E16)=1,"",",")&amp;D16,"")</f>
        <v>,dpc4_code</v>
      </c>
      <c r="AK16" s="4"/>
      <c r="AL16" s="4"/>
      <c r="AM16" s="4"/>
      <c r="AN16" s="4"/>
      <c r="AO16" s="4"/>
      <c r="AP16" s="4"/>
      <c r="AQ16" s="4"/>
      <c r="AR16" s="4"/>
      <c r="AS16" s="76" t="str">
        <f>"COMMENT ON COLUMN "&amp;エンティティ一覧!$O$2&amp;"."&amp;D$8&amp;"."&amp;D16&amp;" IS '"&amp;C16&amp;"';"</f>
        <v>COMMENT ON COLUMN milscm_2023_009.sny_202310_backup_mt_dpc6.dpc4_code IS 'DPCコード4桁';</v>
      </c>
    </row>
    <row r="17" spans="1:52" s="25" customFormat="1">
      <c r="A17" s="4"/>
      <c r="B17" s="21">
        <f t="shared" si="2"/>
        <v>5</v>
      </c>
      <c r="C17" s="6" t="s">
        <v>2648</v>
      </c>
      <c r="D17" s="6" t="s">
        <v>2649</v>
      </c>
      <c r="E17" s="8"/>
      <c r="F17" s="7" t="s">
        <v>317</v>
      </c>
      <c r="G17" s="7" t="str">
        <f t="shared" ref="G17" si="7">IF(F17="フラグ","boolean",IF(F17="文字列","text",IF(F17="整数","integer",IF(F17="実数","numeric",""))))</f>
        <v>text</v>
      </c>
      <c r="H17" s="26"/>
      <c r="I17" s="10" t="s">
        <v>127</v>
      </c>
      <c r="J17" s="11"/>
      <c r="M17" s="4"/>
      <c r="N17" s="76"/>
      <c r="O17" s="76"/>
      <c r="P17" s="76" t="str">
        <f t="shared" ref="P17" si="8">IF(B17&lt;&gt;1,","&amp;D17,D17)</f>
        <v>,dpc6_name</v>
      </c>
      <c r="Q17" s="76" t="str">
        <f t="shared" ref="Q17" si="9">UPPER(G17)</f>
        <v>TEXT</v>
      </c>
      <c r="R17" s="76" t="str">
        <f t="shared" ref="R17" si="10">IF(H17&lt;&gt;"","default "&amp;IF(G17="text","'"&amp;H17&amp;"'",H17),"")</f>
        <v/>
      </c>
      <c r="S17" s="76" t="str">
        <f t="shared" ref="S17" si="11">IF(I17="○","NOT NULL","")</f>
        <v>NOT NULL</v>
      </c>
      <c r="T17" s="76" t="str">
        <f t="shared" ref="T17" si="12">"-- "&amp;C17</f>
        <v>-- DPC6桁名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milscm_2023_009.sny_202310_backup_mt_dpc6.dpc6_name IS 'DPC6桁名';</v>
      </c>
    </row>
    <row r="18" spans="1:52" s="25" customFormat="1">
      <c r="A18" s="4"/>
      <c r="B18" s="21">
        <f t="shared" si="2"/>
        <v>6</v>
      </c>
      <c r="C18" s="6" t="s">
        <v>3308</v>
      </c>
      <c r="D18" s="6" t="s">
        <v>3309</v>
      </c>
      <c r="E18" s="8"/>
      <c r="F18" s="7" t="s">
        <v>317</v>
      </c>
      <c r="G18" s="7" t="str">
        <f t="shared" si="3"/>
        <v>text</v>
      </c>
      <c r="H18" s="26"/>
      <c r="I18" s="10"/>
      <c r="J18" s="11" t="s">
        <v>3317</v>
      </c>
      <c r="M18" s="4"/>
      <c r="N18" s="76"/>
      <c r="O18" s="76"/>
      <c r="P18" s="76" t="str">
        <f t="shared" si="4"/>
        <v>,ikosaki</v>
      </c>
      <c r="Q18" s="76" t="str">
        <f t="shared" si="0"/>
        <v>TEXT</v>
      </c>
      <c r="R18" s="76" t="str">
        <f t="shared" si="1"/>
        <v/>
      </c>
      <c r="S18" s="76" t="str">
        <f t="shared" si="5"/>
        <v/>
      </c>
      <c r="T18" s="76" t="str">
        <f t="shared" si="6"/>
        <v>-- 移行先</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milscm_2023_009.sny_202310_backup_mt_dpc6.ikosaki IS '移行先';</v>
      </c>
    </row>
    <row r="19" spans="1:52" s="25" customFormat="1">
      <c r="A19" s="4"/>
      <c r="B19" s="21">
        <f t="shared" si="2"/>
        <v>7</v>
      </c>
      <c r="C19" s="6" t="s">
        <v>3310</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milscm_2023_009.sny_202310_backup_mt_dpc6.nen IS '年';</v>
      </c>
    </row>
    <row r="20" spans="1:52" s="25" customFormat="1">
      <c r="A20" s="4"/>
      <c r="B20" s="21">
        <f t="shared" si="2"/>
        <v>8</v>
      </c>
      <c r="C20" s="6" t="s">
        <v>3312</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milscm_2023_009.sny_202310_backup_mt_dpc6.nengetsu IS '年月';</v>
      </c>
    </row>
    <row r="21" spans="1:52" s="25" customFormat="1" ht="18" thickBot="1">
      <c r="A21" s="4"/>
      <c r="B21" s="27">
        <f>ROW()-12</f>
        <v>9</v>
      </c>
      <c r="C21" s="57" t="s">
        <v>3314</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milscm_2023_009.sny_202310_backup_mt_dpc6.update_ymd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ENT_01_A3-36</v>
      </c>
      <c r="E6" s="234"/>
      <c r="F6" s="234"/>
      <c r="G6" s="234"/>
      <c r="H6" s="234"/>
      <c r="I6" s="234"/>
      <c r="J6" s="235"/>
    </row>
    <row r="7" spans="1:45">
      <c r="B7" s="223" t="s">
        <v>115</v>
      </c>
      <c r="C7" s="224"/>
      <c r="D7" s="225" t="s">
        <v>3378</v>
      </c>
      <c r="E7" s="226"/>
      <c r="F7" s="226"/>
      <c r="G7" s="226"/>
      <c r="H7" s="226"/>
      <c r="I7" s="226"/>
      <c r="J7" s="227"/>
    </row>
    <row r="8" spans="1:45">
      <c r="B8" s="223" t="s">
        <v>116</v>
      </c>
      <c r="C8" s="224"/>
      <c r="D8" s="225" t="str">
        <f>エンティティ一覧!AE2&amp;"_"&amp;D5&amp;"_mt_postal"</f>
        <v>sny_202310_backup_mt_postal</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郵便番号マスタテーブルから組入れ条件の第一条件で絞り込んだ結果を格納するテーブル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milscm_2023_009.sny_202310_backup_mt_postal;</v>
      </c>
      <c r="O10" s="76"/>
      <c r="P10" s="76"/>
      <c r="Q10" s="76"/>
      <c r="R10" s="76"/>
      <c r="S10" s="76"/>
      <c r="T10" s="76"/>
      <c r="AJ10" s="76" t="str">
        <f>"ALTER TABLE ONLY "&amp;エンティティ一覧!$O$2&amp;"."&amp;D$8</f>
        <v>ALTER TABLE ONLY milscm_2023_009.sny_202310_backup_mt_postal</v>
      </c>
      <c r="AS10" s="76" t="str">
        <f>"ALTER TABLE "&amp;エンティティ一覧!$O$2&amp;"."&amp;D$8&amp;" OWNER TO pgmisgrp1;"</f>
        <v>ALTER TABLE milscm_2023_009.sny_202310_backup_mt_postal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milscm_2023_009.sny_202310_backup_mt_postal</v>
      </c>
      <c r="O11" s="76"/>
      <c r="P11" s="76"/>
      <c r="Q11" s="76"/>
      <c r="R11" s="76"/>
      <c r="S11" s="76"/>
      <c r="T11" s="76"/>
      <c r="AJ11" s="76" t="str">
        <f>"ADD CONSTRAINT "&amp;D$8&amp;"_pkey PRIMARY KEY"</f>
        <v>ADD CONSTRAINT sny_202310_backup_mt_postal_pkey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milscm_2023_009.sny_202310_backup_mt_postal IS 'バックアップ_郵便番号マスタ';</v>
      </c>
    </row>
    <row r="13" spans="1:45" s="25" customFormat="1">
      <c r="A13" s="4"/>
      <c r="B13" s="21">
        <f>ROW()-12</f>
        <v>1</v>
      </c>
      <c r="C13" s="6" t="s">
        <v>3289</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32" si="0">UPPER(G13)</f>
        <v>TEXT</v>
      </c>
      <c r="R13" s="76" t="str">
        <f t="shared" ref="R13:R32"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milscm_2023_009.sny_202310_backup_mt_postal.sekoubi IS '施行日';</v>
      </c>
    </row>
    <row r="14" spans="1:45" s="25" customFormat="1">
      <c r="A14" s="4"/>
      <c r="B14" s="21">
        <f t="shared" ref="B14:B31" si="2">ROW()-12</f>
        <v>2</v>
      </c>
      <c r="C14" s="6" t="s">
        <v>3291</v>
      </c>
      <c r="D14" s="6" t="s">
        <v>2051</v>
      </c>
      <c r="E14" s="8" t="s">
        <v>127</v>
      </c>
      <c r="F14" s="7" t="s">
        <v>317</v>
      </c>
      <c r="G14" s="7" t="str">
        <f t="shared" ref="G14:G32" si="3">IF(F14="フラグ","boolean",IF(F14="文字列","text",IF(F14="整数","integer",IF(F14="実数","numeric",""))))</f>
        <v>text</v>
      </c>
      <c r="H14" s="26"/>
      <c r="I14" s="10" t="s">
        <v>127</v>
      </c>
      <c r="J14" s="11" t="s">
        <v>3316</v>
      </c>
      <c r="M14" s="4"/>
      <c r="N14" s="76"/>
      <c r="O14" s="76"/>
      <c r="P14" s="76" t="str">
        <f t="shared" ref="P14:P32" si="4">IF(B14&lt;&gt;1,","&amp;D14,D14)</f>
        <v>,koshin_kubun</v>
      </c>
      <c r="Q14" s="76" t="str">
        <f t="shared" si="0"/>
        <v>TEXT</v>
      </c>
      <c r="R14" s="76" t="str">
        <f t="shared" si="1"/>
        <v/>
      </c>
      <c r="S14" s="76" t="str">
        <f t="shared" ref="S14:S32" si="5">IF(I14="○","NOT NULL","")</f>
        <v>NOT NULL</v>
      </c>
      <c r="T14" s="76" t="str">
        <f t="shared" ref="T14:T32"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milscm_2023_009.sny_202310_backup_mt_postal.koshin_kubun IS '更新区分';</v>
      </c>
    </row>
    <row r="15" spans="1:45" s="25" customFormat="1">
      <c r="A15" s="4"/>
      <c r="B15" s="21">
        <f t="shared" si="2"/>
        <v>3</v>
      </c>
      <c r="C15" s="6" t="s">
        <v>3071</v>
      </c>
      <c r="D15" s="6" t="s">
        <v>3379</v>
      </c>
      <c r="E15" s="8" t="s">
        <v>127</v>
      </c>
      <c r="F15" s="7" t="s">
        <v>317</v>
      </c>
      <c r="G15" s="7" t="str">
        <f t="shared" si="3"/>
        <v>text</v>
      </c>
      <c r="H15" s="26"/>
      <c r="I15" s="10" t="s">
        <v>127</v>
      </c>
      <c r="J15" s="11" t="s">
        <v>3397</v>
      </c>
      <c r="M15" s="4"/>
      <c r="N15" s="76"/>
      <c r="O15" s="76"/>
      <c r="P15" s="76" t="str">
        <f t="shared" si="4"/>
        <v>,postal_code</v>
      </c>
      <c r="Q15" s="76" t="str">
        <f t="shared" si="0"/>
        <v>TEXT</v>
      </c>
      <c r="R15" s="76" t="str">
        <f t="shared" si="1"/>
        <v/>
      </c>
      <c r="S15" s="76" t="str">
        <f t="shared" si="5"/>
        <v>NOT NULL</v>
      </c>
      <c r="T15" s="76" t="str">
        <f t="shared" si="6"/>
        <v>-- 郵便番号</v>
      </c>
      <c r="U15" s="4"/>
      <c r="AA15" s="4"/>
      <c r="AB15" s="4"/>
      <c r="AC15" s="4"/>
      <c r="AD15" s="4"/>
      <c r="AE15" s="4"/>
      <c r="AF15" s="4"/>
      <c r="AG15" s="4"/>
      <c r="AH15" s="4"/>
      <c r="AI15" s="4"/>
      <c r="AJ15" s="76" t="str">
        <f>IF(E15="○",IF(COUNTA(E$13:E15)=1,"",",")&amp;D15,"")</f>
        <v>,postal_code</v>
      </c>
      <c r="AK15" s="4"/>
      <c r="AL15" s="4"/>
      <c r="AM15" s="4"/>
      <c r="AN15" s="4"/>
      <c r="AO15" s="4"/>
      <c r="AP15" s="4"/>
      <c r="AQ15" s="4"/>
      <c r="AR15" s="4"/>
      <c r="AS15" s="76" t="str">
        <f>"COMMENT ON COLUMN "&amp;エンティティ一覧!$O$2&amp;"."&amp;D$8&amp;"."&amp;D15&amp;" IS '"&amp;C15&amp;"';"</f>
        <v>COMMENT ON COLUMN milscm_2023_009.sny_202310_backup_mt_postal.postal_code IS '郵便番号';</v>
      </c>
    </row>
    <row r="16" spans="1:45" s="25" customFormat="1">
      <c r="A16" s="4"/>
      <c r="B16" s="21">
        <f t="shared" si="2"/>
        <v>4</v>
      </c>
      <c r="C16" s="6" t="s">
        <v>1900</v>
      </c>
      <c r="D16" s="6" t="s">
        <v>3380</v>
      </c>
      <c r="E16" s="8" t="s">
        <v>127</v>
      </c>
      <c r="F16" s="7" t="s">
        <v>317</v>
      </c>
      <c r="G16" s="7" t="str">
        <f t="shared" si="3"/>
        <v>text</v>
      </c>
      <c r="H16" s="26"/>
      <c r="I16" s="10" t="s">
        <v>127</v>
      </c>
      <c r="J16" s="11"/>
      <c r="M16" s="4"/>
      <c r="N16" s="76"/>
      <c r="O16" s="76"/>
      <c r="P16" s="76" t="str">
        <f t="shared" si="4"/>
        <v>,prefecture_code</v>
      </c>
      <c r="Q16" s="76" t="str">
        <f t="shared" si="0"/>
        <v>TEXT</v>
      </c>
      <c r="R16" s="76" t="str">
        <f t="shared" si="1"/>
        <v/>
      </c>
      <c r="S16" s="76" t="str">
        <f t="shared" si="5"/>
        <v>NOT NULL</v>
      </c>
      <c r="T16" s="76" t="str">
        <f t="shared" si="6"/>
        <v>-- 都道府県コード</v>
      </c>
      <c r="U16" s="4"/>
      <c r="AA16" s="4"/>
      <c r="AB16" s="4"/>
      <c r="AC16" s="4"/>
      <c r="AD16" s="4"/>
      <c r="AE16" s="4"/>
      <c r="AF16" s="4"/>
      <c r="AG16" s="4"/>
      <c r="AH16" s="4"/>
      <c r="AI16" s="4"/>
      <c r="AJ16" s="76" t="str">
        <f>IF(E16="○",IF(COUNTA(E$13:E16)=1,"",",")&amp;D16,"")</f>
        <v>,prefecture_code</v>
      </c>
      <c r="AK16" s="4"/>
      <c r="AL16" s="4"/>
      <c r="AM16" s="4"/>
      <c r="AN16" s="4"/>
      <c r="AO16" s="4"/>
      <c r="AP16" s="4"/>
      <c r="AQ16" s="4"/>
      <c r="AR16" s="4"/>
      <c r="AS16" s="76" t="str">
        <f>"COMMENT ON COLUMN "&amp;エンティティ一覧!$O$2&amp;"."&amp;D$8&amp;"."&amp;D16&amp;" IS '"&amp;C16&amp;"';"</f>
        <v>COMMENT ON COLUMN milscm_2023_009.sny_202310_backup_mt_postal.prefecture_code IS '都道府県コード';</v>
      </c>
    </row>
    <row r="17" spans="1:45" s="25" customFormat="1">
      <c r="A17" s="4"/>
      <c r="B17" s="21">
        <f t="shared" si="2"/>
        <v>5</v>
      </c>
      <c r="C17" s="6" t="s">
        <v>1903</v>
      </c>
      <c r="D17" s="6" t="s">
        <v>1904</v>
      </c>
      <c r="E17" s="8" t="s">
        <v>127</v>
      </c>
      <c r="F17" s="7" t="s">
        <v>317</v>
      </c>
      <c r="G17" s="7" t="str">
        <f t="shared" si="3"/>
        <v>text</v>
      </c>
      <c r="H17" s="26"/>
      <c r="I17" s="10" t="s">
        <v>127</v>
      </c>
      <c r="J17" s="11"/>
      <c r="M17" s="4"/>
      <c r="N17" s="76"/>
      <c r="O17" s="76"/>
      <c r="P17" s="76" t="str">
        <f t="shared" si="4"/>
        <v>,city_code</v>
      </c>
      <c r="Q17" s="76" t="str">
        <f t="shared" si="0"/>
        <v>TEXT</v>
      </c>
      <c r="R17" s="76" t="str">
        <f t="shared" si="1"/>
        <v/>
      </c>
      <c r="S17" s="76" t="str">
        <f t="shared" si="5"/>
        <v>NOT NULL</v>
      </c>
      <c r="T17" s="76" t="str">
        <f t="shared" si="6"/>
        <v>-- 市区町村コード</v>
      </c>
      <c r="U17" s="4"/>
      <c r="AA17" s="4"/>
      <c r="AB17" s="4"/>
      <c r="AC17" s="4"/>
      <c r="AD17" s="4"/>
      <c r="AE17" s="4"/>
      <c r="AF17" s="4"/>
      <c r="AG17" s="4"/>
      <c r="AH17" s="4"/>
      <c r="AI17" s="4"/>
      <c r="AJ17" s="76" t="str">
        <f>IF(E17="○",IF(COUNTA(E$13:E17)=1,"",",")&amp;D17,"")</f>
        <v>,city_code</v>
      </c>
      <c r="AK17" s="4"/>
      <c r="AL17" s="4"/>
      <c r="AM17" s="4"/>
      <c r="AN17" s="4"/>
      <c r="AO17" s="4"/>
      <c r="AP17" s="4"/>
      <c r="AQ17" s="4"/>
      <c r="AR17" s="4"/>
      <c r="AS17" s="76" t="str">
        <f>"COMMENT ON COLUMN "&amp;エンティティ一覧!$O$2&amp;"."&amp;D$8&amp;"."&amp;D17&amp;" IS '"&amp;C17&amp;"';"</f>
        <v>COMMENT ON COLUMN milscm_2023_009.sny_202310_backup_mt_postal.city_code IS '市区町村コード';</v>
      </c>
    </row>
    <row r="18" spans="1:45" s="25" customFormat="1">
      <c r="A18" s="4"/>
      <c r="B18" s="21">
        <f t="shared" si="2"/>
        <v>6</v>
      </c>
      <c r="C18" s="6" t="s">
        <v>3381</v>
      </c>
      <c r="D18" s="6" t="s">
        <v>3382</v>
      </c>
      <c r="E18" s="8"/>
      <c r="F18" s="7" t="s">
        <v>317</v>
      </c>
      <c r="G18" s="7" t="str">
        <f t="shared" ref="G18:G28" si="7">IF(F18="フラグ","boolean",IF(F18="文字列","text",IF(F18="整数","integer",IF(F18="実数","numeric",""))))</f>
        <v>text</v>
      </c>
      <c r="H18" s="26"/>
      <c r="I18" s="10" t="s">
        <v>127</v>
      </c>
      <c r="J18" s="11" t="s">
        <v>3398</v>
      </c>
      <c r="M18" s="4"/>
      <c r="N18" s="76"/>
      <c r="O18" s="76"/>
      <c r="P18" s="76" t="str">
        <f t="shared" ref="P18:P28" si="8">IF(B18&lt;&gt;1,","&amp;D18,D18)</f>
        <v>,town_code</v>
      </c>
      <c r="Q18" s="76" t="str">
        <f t="shared" ref="Q18:Q28" si="9">UPPER(G18)</f>
        <v>TEXT</v>
      </c>
      <c r="R18" s="76" t="str">
        <f t="shared" ref="R18:R28" si="10">IF(H18&lt;&gt;"","default "&amp;IF(G18="text","'"&amp;H18&amp;"'",H18),"")</f>
        <v/>
      </c>
      <c r="S18" s="76" t="str">
        <f t="shared" ref="S18:S28" si="11">IF(I18="○","NOT NULL","")</f>
        <v>NOT NULL</v>
      </c>
      <c r="T18" s="76" t="str">
        <f t="shared" ref="T18:T28" si="12">"-- "&amp;C18</f>
        <v>-- 町域コード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milscm_2023_009.sny_202310_backup_mt_postal.town_code IS '町域コード';</v>
      </c>
    </row>
    <row r="19" spans="1:45" s="25" customFormat="1">
      <c r="A19" s="4"/>
      <c r="B19" s="21">
        <f t="shared" si="2"/>
        <v>7</v>
      </c>
      <c r="C19" s="6" t="s">
        <v>920</v>
      </c>
      <c r="D19" s="6" t="s">
        <v>921</v>
      </c>
      <c r="E19" s="8"/>
      <c r="F19" s="7" t="s">
        <v>317</v>
      </c>
      <c r="G19" s="7" t="str">
        <f t="shared" si="7"/>
        <v>text</v>
      </c>
      <c r="H19" s="26"/>
      <c r="I19" s="10" t="s">
        <v>127</v>
      </c>
      <c r="J19" s="11"/>
      <c r="M19" s="4"/>
      <c r="N19" s="76"/>
      <c r="O19" s="76"/>
      <c r="P19" s="76" t="str">
        <f t="shared" si="8"/>
        <v>,prefecture</v>
      </c>
      <c r="Q19" s="76" t="str">
        <f t="shared" si="9"/>
        <v>TEXT</v>
      </c>
      <c r="R19" s="76" t="str">
        <f t="shared" si="10"/>
        <v/>
      </c>
      <c r="S19" s="76" t="str">
        <f t="shared" si="11"/>
        <v>NOT NULL</v>
      </c>
      <c r="T19" s="76" t="str">
        <f t="shared" si="12"/>
        <v>-- 都道府県</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milscm_2023_009.sny_202310_backup_mt_postal.prefecture IS '都道府県';</v>
      </c>
    </row>
    <row r="20" spans="1:45" s="25" customFormat="1">
      <c r="A20" s="4"/>
      <c r="B20" s="21">
        <f t="shared" si="2"/>
        <v>8</v>
      </c>
      <c r="C20" s="6" t="s">
        <v>3383</v>
      </c>
      <c r="D20" s="6" t="s">
        <v>3384</v>
      </c>
      <c r="E20" s="8"/>
      <c r="F20" s="7" t="s">
        <v>317</v>
      </c>
      <c r="G20" s="7" t="str">
        <f t="shared" si="7"/>
        <v>text</v>
      </c>
      <c r="H20" s="26"/>
      <c r="I20" s="10" t="s">
        <v>127</v>
      </c>
      <c r="J20" s="11"/>
      <c r="M20" s="4"/>
      <c r="N20" s="76"/>
      <c r="O20" s="76"/>
      <c r="P20" s="76" t="str">
        <f t="shared" si="8"/>
        <v>,prefecture_kana</v>
      </c>
      <c r="Q20" s="76" t="str">
        <f t="shared" si="9"/>
        <v>TEXT</v>
      </c>
      <c r="R20" s="76" t="str">
        <f t="shared" si="10"/>
        <v/>
      </c>
      <c r="S20" s="76" t="str">
        <f t="shared" si="11"/>
        <v>NOT NULL</v>
      </c>
      <c r="T20" s="76" t="str">
        <f t="shared" si="12"/>
        <v>-- 都道府県カナ</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milscm_2023_009.sny_202310_backup_mt_postal.prefecture_kana IS '都道府県カナ';</v>
      </c>
    </row>
    <row r="21" spans="1:45" s="25" customFormat="1">
      <c r="A21" s="4"/>
      <c r="B21" s="21">
        <f t="shared" si="2"/>
        <v>9</v>
      </c>
      <c r="C21" s="6" t="s">
        <v>1905</v>
      </c>
      <c r="D21" s="6" t="s">
        <v>1906</v>
      </c>
      <c r="E21" s="8"/>
      <c r="F21" s="7" t="s">
        <v>317</v>
      </c>
      <c r="G21" s="7" t="str">
        <f t="shared" si="7"/>
        <v>text</v>
      </c>
      <c r="H21" s="26"/>
      <c r="I21" s="10" t="s">
        <v>127</v>
      </c>
      <c r="J21" s="11"/>
      <c r="M21" s="4"/>
      <c r="N21" s="76"/>
      <c r="O21" s="76"/>
      <c r="P21" s="76" t="str">
        <f t="shared" si="8"/>
        <v>,city</v>
      </c>
      <c r="Q21" s="76" t="str">
        <f t="shared" si="9"/>
        <v>TEXT</v>
      </c>
      <c r="R21" s="76" t="str">
        <f t="shared" si="10"/>
        <v/>
      </c>
      <c r="S21" s="76" t="str">
        <f t="shared" si="11"/>
        <v>NOT NULL</v>
      </c>
      <c r="T21" s="76" t="str">
        <f t="shared" si="12"/>
        <v>-- 市区町村</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milscm_2023_009.sny_202310_backup_mt_postal.city IS '市区町村';</v>
      </c>
    </row>
    <row r="22" spans="1:45" s="25" customFormat="1">
      <c r="A22" s="4"/>
      <c r="B22" s="21">
        <f t="shared" si="2"/>
        <v>10</v>
      </c>
      <c r="C22" s="6" t="s">
        <v>3385</v>
      </c>
      <c r="D22" s="6" t="s">
        <v>3386</v>
      </c>
      <c r="E22" s="8"/>
      <c r="F22" s="7" t="s">
        <v>317</v>
      </c>
      <c r="G22" s="7" t="str">
        <f t="shared" si="7"/>
        <v>text</v>
      </c>
      <c r="H22" s="26"/>
      <c r="I22" s="10" t="s">
        <v>127</v>
      </c>
      <c r="J22" s="11"/>
      <c r="M22" s="4"/>
      <c r="N22" s="76"/>
      <c r="O22" s="76"/>
      <c r="P22" s="76" t="str">
        <f t="shared" si="8"/>
        <v>,city_kana</v>
      </c>
      <c r="Q22" s="76" t="str">
        <f t="shared" si="9"/>
        <v>TEXT</v>
      </c>
      <c r="R22" s="76" t="str">
        <f t="shared" si="10"/>
        <v/>
      </c>
      <c r="S22" s="76" t="str">
        <f t="shared" si="11"/>
        <v>NOT NULL</v>
      </c>
      <c r="T22" s="76" t="str">
        <f t="shared" si="12"/>
        <v>-- 市区町村カナ</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milscm_2023_009.sny_202310_backup_mt_postal.city_kana IS '市区町村カナ';</v>
      </c>
    </row>
    <row r="23" spans="1:45" s="25" customFormat="1">
      <c r="A23" s="4"/>
      <c r="B23" s="21">
        <f t="shared" si="2"/>
        <v>11</v>
      </c>
      <c r="C23" s="6" t="s">
        <v>3387</v>
      </c>
      <c r="D23" s="6" t="s">
        <v>3068</v>
      </c>
      <c r="E23" s="8"/>
      <c r="F23" s="7" t="s">
        <v>317</v>
      </c>
      <c r="G23" s="7" t="str">
        <f t="shared" si="7"/>
        <v>text</v>
      </c>
      <c r="H23" s="26"/>
      <c r="I23" s="10"/>
      <c r="J23" s="11"/>
      <c r="M23" s="4"/>
      <c r="N23" s="76"/>
      <c r="O23" s="76"/>
      <c r="P23" s="76" t="str">
        <f t="shared" si="8"/>
        <v>,town</v>
      </c>
      <c r="Q23" s="76" t="str">
        <f t="shared" si="9"/>
        <v>TEXT</v>
      </c>
      <c r="R23" s="76" t="str">
        <f t="shared" si="10"/>
        <v/>
      </c>
      <c r="S23" s="76" t="str">
        <f t="shared" si="11"/>
        <v/>
      </c>
      <c r="T23" s="76" t="str">
        <f t="shared" si="12"/>
        <v>-- 町域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milscm_2023_009.sny_202310_backup_mt_postal.town IS '町域';</v>
      </c>
    </row>
    <row r="24" spans="1:45" s="25" customFormat="1">
      <c r="A24" s="4"/>
      <c r="B24" s="21">
        <f t="shared" si="2"/>
        <v>12</v>
      </c>
      <c r="C24" s="6" t="s">
        <v>3388</v>
      </c>
      <c r="D24" s="6" t="s">
        <v>3389</v>
      </c>
      <c r="E24" s="8"/>
      <c r="F24" s="7" t="s">
        <v>317</v>
      </c>
      <c r="G24" s="7" t="str">
        <f t="shared" si="7"/>
        <v>text</v>
      </c>
      <c r="H24" s="26"/>
      <c r="I24" s="10"/>
      <c r="J24" s="11"/>
      <c r="M24" s="4"/>
      <c r="N24" s="76"/>
      <c r="O24" s="76"/>
      <c r="P24" s="76" t="str">
        <f t="shared" si="8"/>
        <v>,town_kana</v>
      </c>
      <c r="Q24" s="76" t="str">
        <f t="shared" si="9"/>
        <v>TEXT</v>
      </c>
      <c r="R24" s="76" t="str">
        <f t="shared" si="10"/>
        <v/>
      </c>
      <c r="S24" s="76" t="str">
        <f t="shared" si="11"/>
        <v/>
      </c>
      <c r="T24" s="76" t="str">
        <f t="shared" si="12"/>
        <v>-- 町域カナ</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milscm_2023_009.sny_202310_backup_mt_postal.town_kana IS '町域カナ';</v>
      </c>
    </row>
    <row r="25" spans="1:45" s="25" customFormat="1">
      <c r="A25" s="4"/>
      <c r="B25" s="21">
        <f t="shared" si="2"/>
        <v>13</v>
      </c>
      <c r="C25" s="6" t="s">
        <v>3390</v>
      </c>
      <c r="D25" s="6" t="s">
        <v>3391</v>
      </c>
      <c r="E25" s="8"/>
      <c r="F25" s="7" t="s">
        <v>317</v>
      </c>
      <c r="G25" s="7" t="str">
        <f t="shared" si="7"/>
        <v>text</v>
      </c>
      <c r="H25" s="26"/>
      <c r="I25" s="10"/>
      <c r="J25" s="11"/>
      <c r="M25" s="4"/>
      <c r="N25" s="76"/>
      <c r="O25" s="76"/>
      <c r="P25" s="76" t="str">
        <f t="shared" si="8"/>
        <v>,town_hosoku</v>
      </c>
      <c r="Q25" s="76" t="str">
        <f t="shared" si="9"/>
        <v>TEXT</v>
      </c>
      <c r="R25" s="76" t="str">
        <f t="shared" si="10"/>
        <v/>
      </c>
      <c r="S25" s="76" t="str">
        <f t="shared" si="11"/>
        <v/>
      </c>
      <c r="T25" s="76" t="str">
        <f t="shared" si="12"/>
        <v>-- 町域補足</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milscm_2023_009.sny_202310_backup_mt_postal.town_hosoku IS '町域補足';</v>
      </c>
    </row>
    <row r="26" spans="1:45" s="25" customFormat="1">
      <c r="A26" s="4"/>
      <c r="B26" s="21">
        <f t="shared" si="2"/>
        <v>14</v>
      </c>
      <c r="C26" s="6" t="s">
        <v>3392</v>
      </c>
      <c r="D26" s="6" t="s">
        <v>3393</v>
      </c>
      <c r="E26" s="8"/>
      <c r="F26" s="7" t="s">
        <v>317</v>
      </c>
      <c r="G26" s="7" t="str">
        <f t="shared" si="7"/>
        <v>text</v>
      </c>
      <c r="H26" s="26"/>
      <c r="I26" s="10"/>
      <c r="J26" s="11"/>
      <c r="M26" s="4"/>
      <c r="N26" s="76"/>
      <c r="O26" s="76"/>
      <c r="P26" s="76" t="str">
        <f t="shared" si="8"/>
        <v>,kyoto_street</v>
      </c>
      <c r="Q26" s="76" t="str">
        <f t="shared" si="9"/>
        <v>TEXT</v>
      </c>
      <c r="R26" s="76" t="str">
        <f t="shared" si="10"/>
        <v/>
      </c>
      <c r="S26" s="76" t="str">
        <f t="shared" si="11"/>
        <v/>
      </c>
      <c r="T26" s="76" t="str">
        <f t="shared" si="12"/>
        <v>-- 京都通り名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milscm_2023_009.sny_202310_backup_mt_postal.kyoto_street IS '京都通り名';</v>
      </c>
    </row>
    <row r="27" spans="1:45" s="25" customFormat="1">
      <c r="A27" s="4"/>
      <c r="B27" s="21">
        <f t="shared" si="2"/>
        <v>15</v>
      </c>
      <c r="C27" s="6" t="s">
        <v>3394</v>
      </c>
      <c r="D27" s="6" t="s">
        <v>3070</v>
      </c>
      <c r="E27" s="8"/>
      <c r="F27" s="7" t="s">
        <v>317</v>
      </c>
      <c r="G27" s="7" t="str">
        <f t="shared" si="7"/>
        <v>text</v>
      </c>
      <c r="H27" s="26"/>
      <c r="I27" s="10"/>
      <c r="J27" s="11"/>
      <c r="M27" s="4"/>
      <c r="N27" s="76"/>
      <c r="O27" s="76"/>
      <c r="P27" s="76" t="str">
        <f t="shared" si="8"/>
        <v>,home_number</v>
      </c>
      <c r="Q27" s="76" t="str">
        <f t="shared" si="9"/>
        <v>TEXT</v>
      </c>
      <c r="R27" s="76" t="str">
        <f t="shared" si="10"/>
        <v/>
      </c>
      <c r="S27" s="76" t="str">
        <f t="shared" si="11"/>
        <v/>
      </c>
      <c r="T27" s="76" t="str">
        <f t="shared" si="12"/>
        <v>-- 字丁目</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milscm_2023_009.sny_202310_backup_mt_postal.home_number IS '字丁目';</v>
      </c>
    </row>
    <row r="28" spans="1:45" s="25" customFormat="1">
      <c r="A28" s="4"/>
      <c r="B28" s="21">
        <f t="shared" si="2"/>
        <v>16</v>
      </c>
      <c r="C28" s="6" t="s">
        <v>3395</v>
      </c>
      <c r="D28" s="6" t="s">
        <v>3396</v>
      </c>
      <c r="E28" s="8"/>
      <c r="F28" s="7" t="s">
        <v>317</v>
      </c>
      <c r="G28" s="7" t="str">
        <f t="shared" si="7"/>
        <v>text</v>
      </c>
      <c r="H28" s="26"/>
      <c r="I28" s="10"/>
      <c r="J28" s="11"/>
      <c r="M28" s="4"/>
      <c r="N28" s="76"/>
      <c r="O28" s="76"/>
      <c r="P28" s="76" t="str">
        <f t="shared" si="8"/>
        <v>,home_number_kana</v>
      </c>
      <c r="Q28" s="76" t="str">
        <f t="shared" si="9"/>
        <v>TEXT</v>
      </c>
      <c r="R28" s="76" t="str">
        <f t="shared" si="10"/>
        <v/>
      </c>
      <c r="S28" s="76" t="str">
        <f t="shared" si="11"/>
        <v/>
      </c>
      <c r="T28" s="76" t="str">
        <f t="shared" si="12"/>
        <v>-- 字丁目カナ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milscm_2023_009.sny_202310_backup_mt_postal.home_number_kana IS '字丁目カナ';</v>
      </c>
    </row>
    <row r="29" spans="1:45" s="25" customFormat="1" ht="34.799999999999997">
      <c r="A29" s="4"/>
      <c r="B29" s="21">
        <f t="shared" si="2"/>
        <v>17</v>
      </c>
      <c r="C29" s="6" t="s">
        <v>3308</v>
      </c>
      <c r="D29" s="6" t="s">
        <v>3309</v>
      </c>
      <c r="E29" s="8"/>
      <c r="F29" s="7" t="s">
        <v>317</v>
      </c>
      <c r="G29" s="7" t="str">
        <f t="shared" si="3"/>
        <v>text</v>
      </c>
      <c r="H29" s="26"/>
      <c r="I29" s="10"/>
      <c r="J29" s="11" t="s">
        <v>3399</v>
      </c>
      <c r="M29" s="4"/>
      <c r="N29" s="76"/>
      <c r="O29" s="76"/>
      <c r="P29" s="76" t="str">
        <f t="shared" si="4"/>
        <v>,ikosaki</v>
      </c>
      <c r="Q29" s="76" t="str">
        <f t="shared" si="0"/>
        <v>TEXT</v>
      </c>
      <c r="R29" s="76" t="str">
        <f t="shared" si="1"/>
        <v/>
      </c>
      <c r="S29" s="76" t="str">
        <f t="shared" si="5"/>
        <v/>
      </c>
      <c r="T29" s="76" t="str">
        <f t="shared" si="6"/>
        <v>-- 移行先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milscm_2023_009.sny_202310_backup_mt_postal.ikosaki IS '移行先';</v>
      </c>
    </row>
    <row r="30" spans="1:45" s="25" customFormat="1">
      <c r="A30" s="4"/>
      <c r="B30" s="21">
        <f t="shared" si="2"/>
        <v>18</v>
      </c>
      <c r="C30" s="6" t="s">
        <v>3310</v>
      </c>
      <c r="D30" s="6" t="s">
        <v>3311</v>
      </c>
      <c r="E30" s="8"/>
      <c r="F30" s="7" t="s">
        <v>317</v>
      </c>
      <c r="G30" s="7" t="str">
        <f t="shared" si="3"/>
        <v>text</v>
      </c>
      <c r="H30" s="26"/>
      <c r="I30" s="10" t="s">
        <v>127</v>
      </c>
      <c r="J30" s="11" t="s">
        <v>3318</v>
      </c>
      <c r="M30" s="4"/>
      <c r="N30" s="76"/>
      <c r="O30" s="76"/>
      <c r="P30" s="76" t="str">
        <f t="shared" si="4"/>
        <v>,nen</v>
      </c>
      <c r="Q30" s="76" t="str">
        <f t="shared" si="0"/>
        <v>TEXT</v>
      </c>
      <c r="R30" s="76" t="str">
        <f t="shared" si="1"/>
        <v/>
      </c>
      <c r="S30" s="76" t="str">
        <f t="shared" si="5"/>
        <v>NOT NULL</v>
      </c>
      <c r="T30" s="76" t="str">
        <f t="shared" si="6"/>
        <v>-- 年</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milscm_2023_009.sny_202310_backup_mt_postal.nen IS '年';</v>
      </c>
    </row>
    <row r="31" spans="1:45" s="25" customFormat="1">
      <c r="A31" s="4"/>
      <c r="B31" s="21">
        <f t="shared" si="2"/>
        <v>19</v>
      </c>
      <c r="C31" s="6" t="s">
        <v>3312</v>
      </c>
      <c r="D31" s="6" t="s">
        <v>3313</v>
      </c>
      <c r="E31" s="8"/>
      <c r="F31" s="7" t="s">
        <v>317</v>
      </c>
      <c r="G31" s="7" t="str">
        <f t="shared" si="3"/>
        <v>text</v>
      </c>
      <c r="H31" s="26"/>
      <c r="I31" s="10" t="s">
        <v>127</v>
      </c>
      <c r="J31" s="11" t="s">
        <v>3319</v>
      </c>
      <c r="M31" s="4"/>
      <c r="N31" s="76"/>
      <c r="O31" s="76"/>
      <c r="P31" s="76" t="str">
        <f t="shared" si="4"/>
        <v>,nengetsu</v>
      </c>
      <c r="Q31" s="76" t="str">
        <f t="shared" si="0"/>
        <v>TEXT</v>
      </c>
      <c r="R31" s="76" t="str">
        <f t="shared" si="1"/>
        <v/>
      </c>
      <c r="S31" s="76" t="str">
        <f t="shared" si="5"/>
        <v>NOT NULL</v>
      </c>
      <c r="T31" s="76" t="str">
        <f t="shared" si="6"/>
        <v>-- 年月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milscm_2023_009.sny_202310_backup_mt_postal.nengetsu IS '年月';</v>
      </c>
    </row>
    <row r="32" spans="1:45" s="25" customFormat="1" ht="18" thickBot="1">
      <c r="A32" s="4"/>
      <c r="B32" s="27">
        <f>ROW()-12</f>
        <v>20</v>
      </c>
      <c r="C32" s="57" t="s">
        <v>3314</v>
      </c>
      <c r="D32" s="57" t="s">
        <v>1885</v>
      </c>
      <c r="E32" s="56"/>
      <c r="F32" s="56" t="s">
        <v>317</v>
      </c>
      <c r="G32" s="56" t="str">
        <f t="shared" si="3"/>
        <v>text</v>
      </c>
      <c r="H32" s="59"/>
      <c r="I32" s="60" t="s">
        <v>127</v>
      </c>
      <c r="J32" s="64" t="s">
        <v>2403</v>
      </c>
      <c r="N32" s="76"/>
      <c r="O32" s="76"/>
      <c r="P32" s="76" t="str">
        <f t="shared" si="4"/>
        <v>,update_ymd</v>
      </c>
      <c r="Q32" s="76" t="str">
        <f t="shared" si="0"/>
        <v>TEXT</v>
      </c>
      <c r="R32" s="76" t="str">
        <f t="shared" si="1"/>
        <v/>
      </c>
      <c r="S32" s="76" t="str">
        <f t="shared" si="5"/>
        <v>NOT NULL</v>
      </c>
      <c r="T32" s="76" t="str">
        <f t="shared" si="6"/>
        <v>-- データ登録日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milscm_2023_009.sny_202310_backup_mt_postal.update_ymd IS 'データ登録日';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ENT_01_A3-37</v>
      </c>
      <c r="E6" s="234"/>
      <c r="F6" s="234"/>
      <c r="G6" s="234"/>
      <c r="H6" s="234"/>
      <c r="I6" s="234"/>
      <c r="J6" s="235"/>
    </row>
    <row r="7" spans="1:45">
      <c r="B7" s="223" t="s">
        <v>115</v>
      </c>
      <c r="C7" s="224"/>
      <c r="D7" s="225" t="s">
        <v>3400</v>
      </c>
      <c r="E7" s="226"/>
      <c r="F7" s="226"/>
      <c r="G7" s="226"/>
      <c r="H7" s="226"/>
      <c r="I7" s="226"/>
      <c r="J7" s="227"/>
    </row>
    <row r="8" spans="1:45">
      <c r="B8" s="223" t="s">
        <v>116</v>
      </c>
      <c r="C8" s="224"/>
      <c r="D8" s="225" t="str">
        <f>エンティティ一覧!AE2&amp;"_"&amp;D5&amp;"_mt_tokutei_kizai"</f>
        <v>sny_202310_backup_mt_tokutei_kizai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特定機材マスタテーブルから組入れ条件の第一条件で絞り込んだ結果を格納するテーブル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milscm_2023_009.sny_202310_backup_mt_tokutei_kizai;</v>
      </c>
      <c r="O10" s="76"/>
      <c r="P10" s="76"/>
      <c r="Q10" s="76"/>
      <c r="R10" s="76"/>
      <c r="S10" s="76"/>
      <c r="T10" s="76"/>
      <c r="AJ10" s="76" t="str">
        <f>"ALTER TABLE ONLY "&amp;エンティティ一覧!$O$2&amp;"."&amp;D$8</f>
        <v>ALTER TABLE ONLY milscm_2023_009.sny_202310_backup_mt_tokutei_kizai</v>
      </c>
      <c r="AS10" s="76" t="str">
        <f>"ALTER TABLE "&amp;エンティティ一覧!$O$2&amp;"."&amp;D$8&amp;" OWNER TO pgmisgrp1;"</f>
        <v>ALTER TABLE milscm_2023_009.sny_202310_backup_mt_tokutei_kizai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milscm_2023_009.sny_202310_backup_mt_tokutei_kizai</v>
      </c>
      <c r="O11" s="76"/>
      <c r="P11" s="76"/>
      <c r="Q11" s="76"/>
      <c r="R11" s="76"/>
      <c r="S11" s="76"/>
      <c r="T11" s="76"/>
      <c r="AJ11" s="76" t="str">
        <f>"ADD CONSTRAINT "&amp;D$8&amp;"_pkey PRIMARY KEY"</f>
        <v>ADD CONSTRAINT sny_202310_backup_mt_tokutei_kizai_pkey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milscm_2023_009.sny_202310_backup_mt_tokutei_kizai IS 'バックアップ_特定機材マスタ';</v>
      </c>
    </row>
    <row r="13" spans="1:45" s="25" customFormat="1">
      <c r="A13" s="4"/>
      <c r="B13" s="21">
        <f>ROW()-12</f>
        <v>1</v>
      </c>
      <c r="C13" s="6" t="s">
        <v>3401</v>
      </c>
      <c r="D13" s="6" t="s">
        <v>3290</v>
      </c>
      <c r="E13" s="8" t="s">
        <v>127</v>
      </c>
      <c r="F13" s="8" t="s">
        <v>317</v>
      </c>
      <c r="G13" s="7" t="str">
        <f>IF(F13="フラグ","boolean",IF(F13="文字列","text",IF(F13="整数","integer",IF(F13="実数","numeric",""))))</f>
        <v>text</v>
      </c>
      <c r="H13" s="9"/>
      <c r="I13" s="10" t="s">
        <v>127</v>
      </c>
      <c r="J13" s="11" t="s">
        <v>3315</v>
      </c>
      <c r="M13" s="4"/>
      <c r="N13" s="76"/>
      <c r="O13" s="76"/>
      <c r="P13" s="76" t="str">
        <f>IF(B13&lt;&gt;1,","&amp;D13,D13)</f>
        <v>sekoubi</v>
      </c>
      <c r="Q13" s="76" t="str">
        <f t="shared" ref="Q13:Q21" si="0">UPPER(G13)</f>
        <v>TEXT</v>
      </c>
      <c r="R13" s="76" t="str">
        <f t="shared" ref="R13:R21" si="1">IF(H13&lt;&gt;"","default "&amp;IF(G13="text","'"&amp;H13&amp;"'",H13),"")</f>
        <v/>
      </c>
      <c r="S13" s="76" t="str">
        <f>IF(I13="○","NOT NULL","")</f>
        <v>NOT NULL</v>
      </c>
      <c r="T13" s="76" t="str">
        <f>"-- "&amp;C13</f>
        <v>-- 施行日</v>
      </c>
      <c r="U13" s="4"/>
      <c r="AA13" s="4"/>
      <c r="AB13" s="4"/>
      <c r="AC13" s="4"/>
      <c r="AD13" s="4"/>
      <c r="AE13" s="4"/>
      <c r="AF13" s="4"/>
      <c r="AG13" s="4"/>
      <c r="AH13" s="4"/>
      <c r="AI13" s="4"/>
      <c r="AJ13" s="76" t="str">
        <f>IF(E13="○",IF(COUNTA(E$13:E13)=1,"",",")&amp;D13,"")</f>
        <v>sekoubi</v>
      </c>
      <c r="AK13" s="4"/>
      <c r="AL13" s="4"/>
      <c r="AM13" s="4"/>
      <c r="AN13" s="4"/>
      <c r="AO13" s="4"/>
      <c r="AP13" s="4"/>
      <c r="AQ13" s="4"/>
      <c r="AR13" s="4"/>
      <c r="AS13" s="76" t="str">
        <f>"COMMENT ON COLUMN "&amp;エンティティ一覧!$O$2&amp;"."&amp;D$8&amp;"."&amp;D13&amp;" IS '"&amp;C13&amp;"';"</f>
        <v>COMMENT ON COLUMN milscm_2023_009.sny_202310_backup_mt_tokutei_kizai.sekoubi IS '施行日';</v>
      </c>
    </row>
    <row r="14" spans="1:45" s="25" customFormat="1">
      <c r="A14" s="4"/>
      <c r="B14" s="21">
        <f t="shared" ref="B14:B20" si="2">ROW()-12</f>
        <v>2</v>
      </c>
      <c r="C14" s="6" t="s">
        <v>3291</v>
      </c>
      <c r="D14" s="6" t="s">
        <v>2051</v>
      </c>
      <c r="E14" s="8" t="s">
        <v>127</v>
      </c>
      <c r="F14" s="7" t="s">
        <v>317</v>
      </c>
      <c r="G14" s="7" t="str">
        <f t="shared" ref="G14:G21" si="3">IF(F14="フラグ","boolean",IF(F14="文字列","text",IF(F14="整数","integer",IF(F14="実数","numeric",""))))</f>
        <v>text</v>
      </c>
      <c r="H14" s="26"/>
      <c r="I14" s="10" t="s">
        <v>127</v>
      </c>
      <c r="J14" s="11" t="s">
        <v>3404</v>
      </c>
      <c r="M14" s="4"/>
      <c r="N14" s="76"/>
      <c r="O14" s="76"/>
      <c r="P14" s="76" t="str">
        <f t="shared" ref="P14:P21" si="4">IF(B14&lt;&gt;1,","&amp;D14,D14)</f>
        <v>,koshin_kubun</v>
      </c>
      <c r="Q14" s="76" t="str">
        <f t="shared" si="0"/>
        <v>TEXT</v>
      </c>
      <c r="R14" s="76" t="str">
        <f t="shared" si="1"/>
        <v/>
      </c>
      <c r="S14" s="76" t="str">
        <f t="shared" ref="S14:S21" si="5">IF(I14="○","NOT NULL","")</f>
        <v>NOT NULL</v>
      </c>
      <c r="T14" s="76" t="str">
        <f t="shared" ref="T14:T21" si="6">"-- "&amp;C14</f>
        <v>-- 更新区分</v>
      </c>
      <c r="U14" s="4"/>
      <c r="AA14" s="4"/>
      <c r="AB14" s="4"/>
      <c r="AC14" s="4"/>
      <c r="AD14" s="4"/>
      <c r="AE14" s="4"/>
      <c r="AF14" s="4"/>
      <c r="AG14" s="4"/>
      <c r="AH14" s="4"/>
      <c r="AI14" s="4"/>
      <c r="AJ14" s="76" t="str">
        <f>IF(E14="○",IF(COUNTA(E$13:E14)=1,"",",")&amp;D14,"")</f>
        <v>,koshin_kubun</v>
      </c>
      <c r="AK14" s="4"/>
      <c r="AL14" s="4"/>
      <c r="AM14" s="4"/>
      <c r="AN14" s="4"/>
      <c r="AO14" s="4"/>
      <c r="AP14" s="4"/>
      <c r="AQ14" s="4"/>
      <c r="AR14" s="4"/>
      <c r="AS14" s="76" t="str">
        <f>"COMMENT ON COLUMN "&amp;エンティティ一覧!$O$2&amp;"."&amp;D$8&amp;"."&amp;D14&amp;" IS '"&amp;C14&amp;"';"</f>
        <v>COMMENT ON COLUMN milscm_2023_009.sny_202310_backup_mt_tokutei_kizai.koshin_kubun IS '更新区分';</v>
      </c>
    </row>
    <row r="15" spans="1:45" s="25" customFormat="1">
      <c r="A15" s="4"/>
      <c r="B15" s="21">
        <f t="shared" si="2"/>
        <v>3</v>
      </c>
      <c r="C15" s="6" t="s">
        <v>2634</v>
      </c>
      <c r="D15" s="6" t="s">
        <v>2635</v>
      </c>
      <c r="E15" s="8" t="s">
        <v>127</v>
      </c>
      <c r="F15" s="7" t="s">
        <v>317</v>
      </c>
      <c r="G15" s="7" t="str">
        <f t="shared" si="3"/>
        <v>text</v>
      </c>
      <c r="H15" s="26"/>
      <c r="I15" s="10" t="s">
        <v>127</v>
      </c>
      <c r="J15" s="11"/>
      <c r="M15" s="4"/>
      <c r="N15" s="76"/>
      <c r="O15" s="76"/>
      <c r="P15" s="76" t="str">
        <f t="shared" si="4"/>
        <v>,tokutei_kizai_cd</v>
      </c>
      <c r="Q15" s="76" t="str">
        <f t="shared" si="0"/>
        <v>TEXT</v>
      </c>
      <c r="R15" s="76" t="str">
        <f t="shared" si="1"/>
        <v/>
      </c>
      <c r="S15" s="76" t="str">
        <f t="shared" si="5"/>
        <v>NOT NULL</v>
      </c>
      <c r="T15" s="76" t="str">
        <f t="shared" si="6"/>
        <v>-- 特定器材コード</v>
      </c>
      <c r="U15" s="4"/>
      <c r="AA15" s="4"/>
      <c r="AB15" s="4"/>
      <c r="AC15" s="4"/>
      <c r="AD15" s="4"/>
      <c r="AE15" s="4"/>
      <c r="AF15" s="4"/>
      <c r="AG15" s="4"/>
      <c r="AH15" s="4"/>
      <c r="AI15" s="4"/>
      <c r="AJ15" s="76" t="str">
        <f>IF(E15="○",IF(COUNTA(E$13:E15)=1,"",",")&amp;D15,"")</f>
        <v>,tokutei_kizai_cd</v>
      </c>
      <c r="AK15" s="4"/>
      <c r="AL15" s="4"/>
      <c r="AM15" s="4"/>
      <c r="AN15" s="4"/>
      <c r="AO15" s="4"/>
      <c r="AP15" s="4"/>
      <c r="AQ15" s="4"/>
      <c r="AR15" s="4"/>
      <c r="AS15" s="76" t="str">
        <f>"COMMENT ON COLUMN "&amp;エンティティ一覧!$O$2&amp;"."&amp;D$8&amp;"."&amp;D15&amp;" IS '"&amp;C15&amp;"';"</f>
        <v>COMMENT ON COLUMN milscm_2023_009.sny_202310_backup_mt_tokutei_kizai.tokutei_kizai_cd IS '特定器材コード';</v>
      </c>
    </row>
    <row r="16" spans="1:45" s="25" customFormat="1">
      <c r="A16" s="4"/>
      <c r="B16" s="21">
        <f t="shared" si="2"/>
        <v>4</v>
      </c>
      <c r="C16" s="6" t="s">
        <v>2636</v>
      </c>
      <c r="D16" s="6" t="s">
        <v>2637</v>
      </c>
      <c r="E16" s="8"/>
      <c r="F16" s="7" t="s">
        <v>317</v>
      </c>
      <c r="G16" s="7" t="str">
        <f t="shared" si="3"/>
        <v>text</v>
      </c>
      <c r="H16" s="26"/>
      <c r="I16" s="10" t="s">
        <v>127</v>
      </c>
      <c r="J16" s="11"/>
      <c r="M16" s="4"/>
      <c r="N16" s="76"/>
      <c r="O16" s="76"/>
      <c r="P16" s="76" t="str">
        <f t="shared" si="4"/>
        <v>,tokutei_kizai_name</v>
      </c>
      <c r="Q16" s="76" t="str">
        <f t="shared" si="0"/>
        <v>TEXT</v>
      </c>
      <c r="R16" s="76" t="str">
        <f t="shared" si="1"/>
        <v/>
      </c>
      <c r="S16" s="76" t="str">
        <f t="shared" si="5"/>
        <v>NOT NULL</v>
      </c>
      <c r="T16" s="76" t="str">
        <f t="shared" si="6"/>
        <v>-- 特定器材名・規格名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milscm_2023_009.sny_202310_backup_mt_tokutei_kizai.tokutei_kizai_name IS '特定器材名・規格名';</v>
      </c>
    </row>
    <row r="17" spans="1:52" s="25" customFormat="1">
      <c r="A17" s="4"/>
      <c r="B17" s="21">
        <f t="shared" si="2"/>
        <v>5</v>
      </c>
      <c r="C17" s="6" t="s">
        <v>1655</v>
      </c>
      <c r="D17" s="6" t="s">
        <v>2638</v>
      </c>
      <c r="E17" s="8"/>
      <c r="F17" s="7" t="s">
        <v>317</v>
      </c>
      <c r="G17" s="7" t="str">
        <f t="shared" si="3"/>
        <v>text</v>
      </c>
      <c r="H17" s="26"/>
      <c r="I17" s="10"/>
      <c r="J17" s="11"/>
      <c r="M17" s="4"/>
      <c r="N17" s="76"/>
      <c r="O17" s="76"/>
      <c r="P17" s="76" t="str">
        <f t="shared" si="4"/>
        <v>,tokutei_kizai_tani</v>
      </c>
      <c r="Q17" s="76" t="str">
        <f t="shared" si="0"/>
        <v>TEXT</v>
      </c>
      <c r="R17" s="76" t="str">
        <f t="shared" si="1"/>
        <v/>
      </c>
      <c r="S17" s="76" t="str">
        <f t="shared" si="5"/>
        <v/>
      </c>
      <c r="T17" s="76" t="str">
        <f t="shared" si="6"/>
        <v>-- 単位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milscm_2023_009.sny_202310_backup_mt_tokutei_kizai.tokutei_kizai_tani IS '単位';</v>
      </c>
    </row>
    <row r="18" spans="1:52" s="25" customFormat="1" ht="34.799999999999997">
      <c r="A18" s="4"/>
      <c r="B18" s="21">
        <f t="shared" si="2"/>
        <v>6</v>
      </c>
      <c r="C18" s="6" t="s">
        <v>2639</v>
      </c>
      <c r="D18" s="6" t="s">
        <v>3402</v>
      </c>
      <c r="E18" s="8"/>
      <c r="F18" s="7" t="s">
        <v>332</v>
      </c>
      <c r="G18" s="7" t="str">
        <f t="shared" si="3"/>
        <v>numeric</v>
      </c>
      <c r="H18" s="26"/>
      <c r="I18" s="10" t="s">
        <v>127</v>
      </c>
      <c r="J18" s="11" t="s">
        <v>2399</v>
      </c>
      <c r="M18" s="4"/>
      <c r="N18" s="76"/>
      <c r="O18" s="76"/>
      <c r="P18" s="76" t="str">
        <f t="shared" si="4"/>
        <v>,tokutei_kizai_kingaku</v>
      </c>
      <c r="Q18" s="76" t="str">
        <f t="shared" si="0"/>
        <v>NUMERIC</v>
      </c>
      <c r="R18" s="76" t="str">
        <f t="shared" si="1"/>
        <v/>
      </c>
      <c r="S18" s="76" t="str">
        <f t="shared" si="5"/>
        <v>NOT NULL</v>
      </c>
      <c r="T18" s="76" t="str">
        <f t="shared" si="6"/>
        <v>-- 金額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milscm_2023_009.sny_202310_backup_mt_tokutei_kizai.tokutei_kizai_kingaku IS '金額';</v>
      </c>
    </row>
    <row r="19" spans="1:52" s="25" customFormat="1">
      <c r="A19" s="4"/>
      <c r="B19" s="21">
        <f t="shared" si="2"/>
        <v>7</v>
      </c>
      <c r="C19" s="6" t="s">
        <v>3403</v>
      </c>
      <c r="D19" s="6" t="s">
        <v>3311</v>
      </c>
      <c r="E19" s="8"/>
      <c r="F19" s="7" t="s">
        <v>317</v>
      </c>
      <c r="G19" s="7" t="str">
        <f t="shared" si="3"/>
        <v>text</v>
      </c>
      <c r="H19" s="26"/>
      <c r="I19" s="10" t="s">
        <v>127</v>
      </c>
      <c r="J19" s="11" t="s">
        <v>3318</v>
      </c>
      <c r="M19" s="4"/>
      <c r="N19" s="76"/>
      <c r="O19" s="76"/>
      <c r="P19" s="76" t="str">
        <f t="shared" si="4"/>
        <v>,nen</v>
      </c>
      <c r="Q19" s="76" t="str">
        <f t="shared" si="0"/>
        <v>TEXT</v>
      </c>
      <c r="R19" s="76" t="str">
        <f t="shared" si="1"/>
        <v/>
      </c>
      <c r="S19" s="76" t="str">
        <f t="shared" si="5"/>
        <v>NOT NULL</v>
      </c>
      <c r="T19" s="76" t="str">
        <f t="shared" si="6"/>
        <v>-- 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milscm_2023_009.sny_202310_backup_mt_tokutei_kizai.nen IS '年';</v>
      </c>
    </row>
    <row r="20" spans="1:52" s="25" customFormat="1">
      <c r="A20" s="4"/>
      <c r="B20" s="21">
        <f t="shared" si="2"/>
        <v>8</v>
      </c>
      <c r="C20" s="6" t="s">
        <v>2437</v>
      </c>
      <c r="D20" s="6" t="s">
        <v>3313</v>
      </c>
      <c r="E20" s="8"/>
      <c r="F20" s="7" t="s">
        <v>317</v>
      </c>
      <c r="G20" s="7" t="str">
        <f t="shared" si="3"/>
        <v>text</v>
      </c>
      <c r="H20" s="26"/>
      <c r="I20" s="10" t="s">
        <v>127</v>
      </c>
      <c r="J20" s="11" t="s">
        <v>3319</v>
      </c>
      <c r="M20" s="4"/>
      <c r="N20" s="76"/>
      <c r="O20" s="76"/>
      <c r="P20" s="76" t="str">
        <f t="shared" si="4"/>
        <v>,nengetsu</v>
      </c>
      <c r="Q20" s="76" t="str">
        <f t="shared" si="0"/>
        <v>TEXT</v>
      </c>
      <c r="R20" s="76" t="str">
        <f t="shared" si="1"/>
        <v/>
      </c>
      <c r="S20" s="76" t="str">
        <f t="shared" si="5"/>
        <v>NOT NULL</v>
      </c>
      <c r="T20" s="76" t="str">
        <f t="shared" si="6"/>
        <v>-- 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milscm_2023_009.sny_202310_backup_mt_tokutei_kizai.nengetsu IS '年月';</v>
      </c>
    </row>
    <row r="21" spans="1:52" s="25" customFormat="1" ht="18" thickBot="1">
      <c r="A21" s="4"/>
      <c r="B21" s="27">
        <f>ROW()-12</f>
        <v>9</v>
      </c>
      <c r="C21" s="57" t="s">
        <v>2403</v>
      </c>
      <c r="D21" s="57" t="s">
        <v>1885</v>
      </c>
      <c r="E21" s="56"/>
      <c r="F21" s="56" t="s">
        <v>317</v>
      </c>
      <c r="G21" s="56" t="str">
        <f t="shared" si="3"/>
        <v>text</v>
      </c>
      <c r="H21" s="59"/>
      <c r="I21" s="60" t="s">
        <v>127</v>
      </c>
      <c r="J21" s="64" t="s">
        <v>2403</v>
      </c>
      <c r="N21" s="76"/>
      <c r="O21" s="76"/>
      <c r="P21" s="76" t="str">
        <f t="shared" si="4"/>
        <v>,update_ymd</v>
      </c>
      <c r="Q21" s="76" t="str">
        <f t="shared" si="0"/>
        <v>TEXT</v>
      </c>
      <c r="R21" s="76" t="str">
        <f t="shared" si="1"/>
        <v/>
      </c>
      <c r="S21" s="76" t="str">
        <f t="shared" si="5"/>
        <v>NOT NULL</v>
      </c>
      <c r="T21" s="76" t="str">
        <f t="shared" si="6"/>
        <v>-- データ登録日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milscm_2023_009.sny_202310_backup_mt_tokutei_kizai.update_ymd IS 'データ登録日';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ENT_01_A4-01</v>
      </c>
      <c r="E6" s="234"/>
      <c r="F6" s="234"/>
      <c r="G6" s="234"/>
      <c r="H6" s="234"/>
      <c r="I6" s="234"/>
      <c r="J6" s="235"/>
    </row>
    <row r="7" spans="1:45">
      <c r="B7" s="223" t="s">
        <v>115</v>
      </c>
      <c r="C7" s="224"/>
      <c r="D7" s="225" t="s">
        <v>2434</v>
      </c>
      <c r="E7" s="226"/>
      <c r="F7" s="226"/>
      <c r="G7" s="226"/>
      <c r="H7" s="226"/>
      <c r="I7" s="226"/>
      <c r="J7" s="227"/>
    </row>
    <row r="8" spans="1:45">
      <c r="B8" s="223" t="s">
        <v>116</v>
      </c>
      <c r="C8" s="224"/>
      <c r="D8" s="225" t="str">
        <f>エンティティ一覧!AE2&amp;"_"&amp;D5&amp;"_mt2_nendo"</f>
        <v>sny_202310_backup_mt2_nendo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年度マスタテーブルから組入れ条件の第一条件で絞り込んだ結果を格納するテーブル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milscm_2023_009.sny_202310_backup_mt2_nendo;</v>
      </c>
      <c r="O10" s="76"/>
      <c r="P10" s="76"/>
      <c r="Q10" s="76"/>
      <c r="R10" s="76"/>
      <c r="S10" s="76"/>
      <c r="T10" s="76"/>
      <c r="AJ10" s="76" t="str">
        <f>"ALTER TABLE ONLY "&amp;エンティティ一覧!$O$2&amp;"."&amp;D$8</f>
        <v>ALTER TABLE ONLY milscm_2023_009.sny_202310_backup_mt2_nendo</v>
      </c>
      <c r="AS10" s="76" t="str">
        <f>"ALTER TABLE "&amp;エンティティ一覧!$O$2&amp;"."&amp;D$8&amp;" OWNER TO pgmisgrp1;"</f>
        <v>ALTER TABLE milscm_2023_009.sny_202310_backup_mt2_nendo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milscm_2023_009.sny_202310_backup_mt2_nendo</v>
      </c>
      <c r="O11" s="76"/>
      <c r="P11" s="76"/>
      <c r="Q11" s="76"/>
      <c r="R11" s="76"/>
      <c r="S11" s="76"/>
      <c r="T11" s="76"/>
      <c r="AJ11" s="76" t="str">
        <f>"ADD CONSTRAINT "&amp;D$8&amp;"_pkey PRIMARY KEY"</f>
        <v>ADD CONSTRAINT sny_202310_backup_mt2_nendo_pkey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milscm_2023_009.sny_202310_backup_mt2_nendo IS 'バックアップ_年度マスタ';</v>
      </c>
    </row>
    <row r="13" spans="1:45" s="25" customFormat="1">
      <c r="A13" s="4"/>
      <c r="B13" s="21">
        <f>ROW()-12</f>
        <v>1</v>
      </c>
      <c r="C13" s="6" t="s">
        <v>2435</v>
      </c>
      <c r="D13" s="6" t="s">
        <v>2436</v>
      </c>
      <c r="E13" s="8"/>
      <c r="F13" s="8" t="s">
        <v>204</v>
      </c>
      <c r="G13" s="7" t="str">
        <f>IF(F13="フラグ","boolean",IF(F13="文字列","text",IF(F13="整数","integer",IF(F13="実数","numeric",""))))</f>
        <v>integer</v>
      </c>
      <c r="H13" s="9"/>
      <c r="I13" s="10" t="s">
        <v>127</v>
      </c>
      <c r="J13" s="11" t="s">
        <v>2449</v>
      </c>
      <c r="M13" s="4"/>
      <c r="N13" s="76"/>
      <c r="O13" s="76"/>
      <c r="P13" s="76" t="str">
        <f>IF(B13&lt;&gt;1,","&amp;D13,D13)</f>
        <v>num</v>
      </c>
      <c r="Q13" s="76" t="str">
        <f t="shared" ref="Q13:Q19" si="0">UPPER(G13)</f>
        <v>INTEGER</v>
      </c>
      <c r="R13" s="76" t="str">
        <f t="shared" ref="R13:R19" si="1">IF(H13&lt;&gt;"","default "&amp;IF(G13="text","'"&amp;H13&amp;"'",H13),"")</f>
        <v/>
      </c>
      <c r="S13" s="76" t="str">
        <f>IF(I13="○","NOT NULL","")</f>
        <v>NOT NULL</v>
      </c>
      <c r="T13" s="76" t="str">
        <f>"-- "&amp;C13</f>
        <v>-- 項番</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milscm_2023_009.sny_202310_backup_mt2_nendo.num IS '項番';</v>
      </c>
    </row>
    <row r="14" spans="1:45" s="25" customFormat="1">
      <c r="A14" s="4"/>
      <c r="B14" s="21">
        <f t="shared" ref="B14:B18" si="2">ROW()-12</f>
        <v>2</v>
      </c>
      <c r="C14" s="6" t="s">
        <v>2437</v>
      </c>
      <c r="D14" s="6" t="s">
        <v>2438</v>
      </c>
      <c r="E14" s="8" t="s">
        <v>127</v>
      </c>
      <c r="F14" s="7" t="s">
        <v>737</v>
      </c>
      <c r="G14" s="7" t="str">
        <f t="shared" ref="G14:G19" si="3">IF(F14="フラグ","boolean",IF(F14="文字列","text",IF(F14="整数","integer",IF(F14="実数","numeric",""))))</f>
        <v>text</v>
      </c>
      <c r="H14" s="26" t="s">
        <v>2450</v>
      </c>
      <c r="I14" s="10" t="s">
        <v>127</v>
      </c>
      <c r="J14" s="11" t="s">
        <v>2437</v>
      </c>
      <c r="M14" s="4"/>
      <c r="N14" s="76"/>
      <c r="O14" s="76"/>
      <c r="P14" s="76" t="str">
        <f t="shared" ref="P14:P19" si="4">IF(B14&lt;&gt;1,","&amp;D14,D14)</f>
        <v>,ym</v>
      </c>
      <c r="Q14" s="76" t="str">
        <f t="shared" si="0"/>
        <v>TEXT</v>
      </c>
      <c r="R14" s="76" t="str">
        <f t="shared" si="1"/>
        <v>default '999999'</v>
      </c>
      <c r="S14" s="76" t="str">
        <f t="shared" ref="S14:S19" si="5">IF(I14="○","NOT NULL","")</f>
        <v>NOT NULL</v>
      </c>
      <c r="T14" s="76" t="str">
        <f t="shared" ref="T14:T19" si="6">"-- "&amp;C14</f>
        <v>-- 年月</v>
      </c>
      <c r="U14" s="4"/>
      <c r="AA14" s="4"/>
      <c r="AB14" s="4"/>
      <c r="AC14" s="4"/>
      <c r="AD14" s="4"/>
      <c r="AE14" s="4"/>
      <c r="AF14" s="4"/>
      <c r="AG14" s="4"/>
      <c r="AH14" s="4"/>
      <c r="AI14" s="4"/>
      <c r="AJ14" s="76" t="str">
        <f>IF(E14="○",IF(COUNTA(E$13:E14)=1,"",",")&amp;D14,"")</f>
        <v>ym</v>
      </c>
      <c r="AK14" s="4"/>
      <c r="AL14" s="4"/>
      <c r="AM14" s="4"/>
      <c r="AN14" s="4"/>
      <c r="AO14" s="4"/>
      <c r="AP14" s="4"/>
      <c r="AQ14" s="4"/>
      <c r="AR14" s="4"/>
      <c r="AS14" s="76" t="str">
        <f>"COMMENT ON COLUMN "&amp;エンティティ一覧!$O$2&amp;"."&amp;D$8&amp;"."&amp;D14&amp;" IS '"&amp;C14&amp;"';"</f>
        <v>COMMENT ON COLUMN milscm_2023_009.sny_202310_backup_mt2_nendo.ym IS '年月';</v>
      </c>
    </row>
    <row r="15" spans="1:45" s="25" customFormat="1">
      <c r="A15" s="4"/>
      <c r="B15" s="21">
        <f t="shared" si="2"/>
        <v>3</v>
      </c>
      <c r="C15" s="6" t="s">
        <v>2439</v>
      </c>
      <c r="D15" s="6" t="s">
        <v>2440</v>
      </c>
      <c r="E15" s="8"/>
      <c r="F15" s="7" t="s">
        <v>737</v>
      </c>
      <c r="G15" s="7" t="str">
        <f t="shared" ref="G15" si="7">IF(F15="フラグ","boolean",IF(F15="文字列","text",IF(F15="整数","integer",IF(F15="実数","numeric",""))))</f>
        <v>text</v>
      </c>
      <c r="H15" s="26" t="s">
        <v>2451</v>
      </c>
      <c r="I15" s="10" t="s">
        <v>127</v>
      </c>
      <c r="J15" s="11" t="s">
        <v>2452</v>
      </c>
      <c r="M15" s="4"/>
      <c r="N15" s="76"/>
      <c r="O15" s="76"/>
      <c r="P15" s="76" t="str">
        <f t="shared" ref="P15" si="8">IF(B15&lt;&gt;1,","&amp;D15,D15)</f>
        <v>,nendo_1</v>
      </c>
      <c r="Q15" s="76" t="str">
        <f t="shared" ref="Q15" si="9">UPPER(G15)</f>
        <v>TEXT</v>
      </c>
      <c r="R15" s="76" t="str">
        <f t="shared" ref="R15" si="10">IF(H15&lt;&gt;"","default "&amp;IF(G15="text","'"&amp;H15&amp;"'",H15),"")</f>
        <v>default '9999'</v>
      </c>
      <c r="S15" s="76" t="str">
        <f t="shared" ref="S15" si="11">IF(I15="○","NOT NULL","")</f>
        <v>NOT NULL</v>
      </c>
      <c r="T15" s="76" t="str">
        <f t="shared" ref="T15" si="12">"-- "&amp;C15</f>
        <v>-- 年度（1月始まり）</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milscm_2023_009.sny_202310_backup_mt2_nendo.nendo_1 IS '年度（1月始まり）';</v>
      </c>
    </row>
    <row r="16" spans="1:45" s="25" customFormat="1">
      <c r="A16" s="4"/>
      <c r="B16" s="21">
        <f t="shared" si="2"/>
        <v>4</v>
      </c>
      <c r="C16" s="6" t="s">
        <v>2441</v>
      </c>
      <c r="D16" s="6" t="s">
        <v>2442</v>
      </c>
      <c r="E16" s="8"/>
      <c r="F16" s="7" t="s">
        <v>737</v>
      </c>
      <c r="G16" s="7" t="str">
        <f t="shared" si="3"/>
        <v>text</v>
      </c>
      <c r="H16" s="26" t="s">
        <v>2451</v>
      </c>
      <c r="I16" s="10" t="s">
        <v>127</v>
      </c>
      <c r="J16" s="11" t="s">
        <v>2453</v>
      </c>
      <c r="M16" s="4"/>
      <c r="N16" s="76"/>
      <c r="O16" s="76"/>
      <c r="P16" s="76" t="str">
        <f t="shared" si="4"/>
        <v>,nendo_4</v>
      </c>
      <c r="Q16" s="76" t="str">
        <f t="shared" si="0"/>
        <v>TEXT</v>
      </c>
      <c r="R16" s="76" t="str">
        <f t="shared" si="1"/>
        <v>default '9999'</v>
      </c>
      <c r="S16" s="76" t="str">
        <f t="shared" si="5"/>
        <v>NOT NULL</v>
      </c>
      <c r="T16" s="76" t="str">
        <f t="shared" si="6"/>
        <v>-- 年度（4月始まり）</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milscm_2023_009.sny_202310_backup_mt2_nendo.nendo_4 IS '年度（4月始まり）';</v>
      </c>
    </row>
    <row r="17" spans="1:52" s="25" customFormat="1" ht="52.2">
      <c r="A17" s="4"/>
      <c r="B17" s="21">
        <f t="shared" si="2"/>
        <v>5</v>
      </c>
      <c r="C17" s="6" t="s">
        <v>2443</v>
      </c>
      <c r="D17" s="6" t="s">
        <v>2444</v>
      </c>
      <c r="E17" s="8"/>
      <c r="F17" s="7" t="s">
        <v>737</v>
      </c>
      <c r="G17" s="7" t="str">
        <f t="shared" si="3"/>
        <v>text</v>
      </c>
      <c r="H17" s="26" t="s">
        <v>2454</v>
      </c>
      <c r="I17" s="10" t="s">
        <v>127</v>
      </c>
      <c r="J17" s="11" t="s">
        <v>2455</v>
      </c>
      <c r="M17" s="4"/>
      <c r="N17" s="76"/>
      <c r="O17" s="76"/>
      <c r="P17" s="76" t="str">
        <f t="shared" si="4"/>
        <v>,q1</v>
      </c>
      <c r="Q17" s="76" t="str">
        <f t="shared" si="0"/>
        <v>TEXT</v>
      </c>
      <c r="R17" s="76" t="str">
        <f t="shared" si="1"/>
        <v>default '9999-9Q'</v>
      </c>
      <c r="S17" s="76" t="str">
        <f t="shared" si="5"/>
        <v>NOT NULL</v>
      </c>
      <c r="T17" s="76" t="str">
        <f t="shared" si="6"/>
        <v>-- 四半期（1月始まり）</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milscm_2023_009.sny_202310_backup_mt2_nendo.q1 IS '四半期（1月始まり）';</v>
      </c>
    </row>
    <row r="18" spans="1:52" s="25" customFormat="1" ht="52.2">
      <c r="A18" s="4"/>
      <c r="B18" s="21">
        <f t="shared" si="2"/>
        <v>6</v>
      </c>
      <c r="C18" s="6" t="s">
        <v>2445</v>
      </c>
      <c r="D18" s="6" t="s">
        <v>2446</v>
      </c>
      <c r="E18" s="8"/>
      <c r="F18" s="7" t="s">
        <v>737</v>
      </c>
      <c r="G18" s="7" t="str">
        <f t="shared" si="3"/>
        <v>text</v>
      </c>
      <c r="H18" s="26" t="s">
        <v>2454</v>
      </c>
      <c r="I18" s="10" t="s">
        <v>127</v>
      </c>
      <c r="J18" s="11" t="s">
        <v>2456</v>
      </c>
      <c r="M18" s="4"/>
      <c r="N18" s="76"/>
      <c r="O18" s="76"/>
      <c r="P18" s="76" t="str">
        <f t="shared" si="4"/>
        <v>,q4</v>
      </c>
      <c r="Q18" s="76" t="str">
        <f t="shared" si="0"/>
        <v>TEXT</v>
      </c>
      <c r="R18" s="76" t="str">
        <f t="shared" si="1"/>
        <v>default '9999-9Q'</v>
      </c>
      <c r="S18" s="76" t="str">
        <f t="shared" si="5"/>
        <v>NOT NULL</v>
      </c>
      <c r="T18" s="76" t="str">
        <f t="shared" si="6"/>
        <v>-- 四半期（4月始まり）</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milscm_2023_009.sny_202310_backup_mt2_nendo.q4 IS '四半期（4月始まり）';</v>
      </c>
    </row>
    <row r="19" spans="1:52" s="25" customFormat="1" ht="18" thickBot="1">
      <c r="A19" s="4"/>
      <c r="B19" s="27">
        <f>ROW()-12</f>
        <v>7</v>
      </c>
      <c r="C19" s="57" t="s">
        <v>2447</v>
      </c>
      <c r="D19" s="57" t="s">
        <v>2448</v>
      </c>
      <c r="E19" s="56"/>
      <c r="F19" s="56" t="s">
        <v>204</v>
      </c>
      <c r="G19" s="56" t="str">
        <f t="shared" si="3"/>
        <v>integer</v>
      </c>
      <c r="H19" s="59">
        <v>0</v>
      </c>
      <c r="I19" s="60" t="s">
        <v>127</v>
      </c>
      <c r="J19" s="64" t="s">
        <v>2457</v>
      </c>
      <c r="N19" s="76"/>
      <c r="O19" s="76"/>
      <c r="P19" s="76" t="str">
        <f t="shared" si="4"/>
        <v>,nissu</v>
      </c>
      <c r="Q19" s="76" t="str">
        <f t="shared" si="0"/>
        <v>INTEGER</v>
      </c>
      <c r="R19" s="76" t="str">
        <f t="shared" si="1"/>
        <v>default 0</v>
      </c>
      <c r="S19" s="76" t="str">
        <f t="shared" si="5"/>
        <v>NOT NULL</v>
      </c>
      <c r="T19" s="76" t="str">
        <f t="shared" si="6"/>
        <v>-- 日数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milscm_2023_009.sny_202310_backup_mt2_nendo.nissu IS '日数';</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ENT_01_A4-02</v>
      </c>
      <c r="E6" s="234"/>
      <c r="F6" s="234"/>
      <c r="G6" s="234"/>
      <c r="H6" s="234"/>
      <c r="I6" s="234"/>
      <c r="J6" s="235"/>
    </row>
    <row r="7" spans="1:45">
      <c r="B7" s="223" t="s">
        <v>115</v>
      </c>
      <c r="C7" s="224"/>
      <c r="D7" s="225" t="s">
        <v>2458</v>
      </c>
      <c r="E7" s="226"/>
      <c r="F7" s="226"/>
      <c r="G7" s="226"/>
      <c r="H7" s="226"/>
      <c r="I7" s="226"/>
      <c r="J7" s="227"/>
    </row>
    <row r="8" spans="1:45">
      <c r="B8" s="223" t="s">
        <v>116</v>
      </c>
      <c r="C8" s="224"/>
      <c r="D8" s="225" t="str">
        <f>エンティティ一覧!AE2&amp;"_"&amp;D5&amp;"_mt2_prefecture_region"</f>
        <v>sny_202310_backup_mt2_prefecture_region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milscm_2023_009.sny_202310_backup_mt2_prefecture_region;</v>
      </c>
      <c r="O10" s="76"/>
      <c r="P10" s="76"/>
      <c r="Q10" s="76"/>
      <c r="R10" s="76"/>
      <c r="S10" s="76"/>
      <c r="T10" s="76"/>
      <c r="AJ10" s="76" t="str">
        <f>"ALTER TABLE ONLY "&amp;エンティティ一覧!$O$2&amp;"."&amp;D$8</f>
        <v>ALTER TABLE ONLY milscm_2023_009.sny_202310_backup_mt2_prefecture_region</v>
      </c>
      <c r="AS10" s="76" t="str">
        <f>"ALTER TABLE "&amp;エンティティ一覧!$O$2&amp;"."&amp;D$8&amp;" OWNER TO pgmisgrp1;"</f>
        <v>ALTER TABLE milscm_2023_009.sny_202310_backup_mt2_prefecture_region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milscm_2023_009.sny_202310_backup_mt2_prefecture_region</v>
      </c>
      <c r="O11" s="76"/>
      <c r="P11" s="76"/>
      <c r="Q11" s="76"/>
      <c r="R11" s="76"/>
      <c r="S11" s="76"/>
      <c r="T11" s="76"/>
      <c r="AJ11" s="76" t="str">
        <f>"ADD CONSTRAINT "&amp;D$8&amp;"_pkey PRIMARY KEY"</f>
        <v>ADD CONSTRAINT sny_202310_backup_mt2_prefecture_region_pkey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milscm_2023_009.sny_202310_backup_mt2_prefecture_region IS 'バックアップ_都道府県地方コードマスタ';</v>
      </c>
    </row>
    <row r="13" spans="1:45" s="25" customFormat="1">
      <c r="A13" s="4"/>
      <c r="B13" s="21">
        <f>ROW()-12</f>
        <v>1</v>
      </c>
      <c r="C13" s="6" t="s">
        <v>2459</v>
      </c>
      <c r="D13" s="6" t="s">
        <v>1901</v>
      </c>
      <c r="E13" s="8" t="s">
        <v>127</v>
      </c>
      <c r="F13" s="8" t="s">
        <v>737</v>
      </c>
      <c r="G13" s="7" t="str">
        <f>IF(F13="フラグ","boolean",IF(F13="文字列","text",IF(F13="整数","integer",IF(F13="実数","numeric",""))))</f>
        <v>text</v>
      </c>
      <c r="H13" s="9"/>
      <c r="I13" s="10" t="s">
        <v>127</v>
      </c>
      <c r="J13" s="11"/>
      <c r="M13" s="4"/>
      <c r="N13" s="76"/>
      <c r="O13" s="76"/>
      <c r="P13" s="76" t="str">
        <f>IF(B13&lt;&gt;1,","&amp;D13,D13)</f>
        <v>prefecture_cd</v>
      </c>
      <c r="Q13" s="76" t="str">
        <f t="shared" ref="Q13:Q16" si="0">UPPER(G13)</f>
        <v>TEXT</v>
      </c>
      <c r="R13" s="76" t="str">
        <f t="shared" ref="R13:R16" si="1">IF(H13&lt;&gt;"","default "&amp;IF(G13="text","'"&amp;H13&amp;"'",H13),"")</f>
        <v/>
      </c>
      <c r="S13" s="76" t="str">
        <f>IF(I13="○","NOT NULL","")</f>
        <v>NOT NULL</v>
      </c>
      <c r="T13" s="76" t="str">
        <f>"-- "&amp;C13</f>
        <v>-- 都道府県コード</v>
      </c>
      <c r="U13" s="4"/>
      <c r="AA13" s="4"/>
      <c r="AB13" s="4"/>
      <c r="AC13" s="4"/>
      <c r="AD13" s="4"/>
      <c r="AE13" s="4"/>
      <c r="AF13" s="4"/>
      <c r="AG13" s="4"/>
      <c r="AH13" s="4"/>
      <c r="AI13" s="4"/>
      <c r="AJ13" s="76" t="str">
        <f>IF(E13="○",IF(COUNTA(E$13:E13)=1,"",",")&amp;D13,"")</f>
        <v>prefecture_cd</v>
      </c>
      <c r="AK13" s="4"/>
      <c r="AL13" s="4"/>
      <c r="AM13" s="4"/>
      <c r="AN13" s="4"/>
      <c r="AO13" s="4"/>
      <c r="AP13" s="4"/>
      <c r="AQ13" s="4"/>
      <c r="AR13" s="4"/>
      <c r="AS13" s="76" t="str">
        <f>"COMMENT ON COLUMN "&amp;エンティティ一覧!$O$2&amp;"."&amp;D$8&amp;"."&amp;D13&amp;" IS '"&amp;C13&amp;"';"</f>
        <v>COMMENT ON COLUMN milscm_2023_009.sny_202310_backup_mt2_prefecture_region.prefecture_cd IS '都道府県コード';</v>
      </c>
    </row>
    <row r="14" spans="1:45" s="25" customFormat="1">
      <c r="A14" s="4"/>
      <c r="B14" s="21">
        <f t="shared" ref="B14:B15" si="2">ROW()-12</f>
        <v>2</v>
      </c>
      <c r="C14" s="6" t="s">
        <v>2460</v>
      </c>
      <c r="D14" s="6" t="s">
        <v>921</v>
      </c>
      <c r="E14" s="8"/>
      <c r="F14" s="7" t="s">
        <v>737</v>
      </c>
      <c r="G14" s="7" t="str">
        <f t="shared" ref="G14:G16" si="3">IF(F14="フラグ","boolean",IF(F14="文字列","text",IF(F14="整数","integer",IF(F14="実数","numeric",""))))</f>
        <v>text</v>
      </c>
      <c r="H14" s="26"/>
      <c r="I14" s="10" t="s">
        <v>127</v>
      </c>
      <c r="J14" s="11"/>
      <c r="M14" s="4"/>
      <c r="N14" s="76"/>
      <c r="O14" s="76"/>
      <c r="P14" s="76" t="str">
        <f t="shared" ref="P14:P16" si="4">IF(B14&lt;&gt;1,","&amp;D14,D14)</f>
        <v>,prefecture</v>
      </c>
      <c r="Q14" s="76" t="str">
        <f t="shared" si="0"/>
        <v>TEXT</v>
      </c>
      <c r="R14" s="76" t="str">
        <f t="shared" si="1"/>
        <v/>
      </c>
      <c r="S14" s="76" t="str">
        <f t="shared" ref="S14:S16" si="5">IF(I14="○","NOT NULL","")</f>
        <v>NOT NULL</v>
      </c>
      <c r="T14" s="76" t="str">
        <f t="shared" ref="T14:T16" si="6">"-- "&amp;C14</f>
        <v>-- 都道府県名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milscm_2023_009.sny_202310_backup_mt2_prefecture_region.prefecture IS '都道府県名';</v>
      </c>
    </row>
    <row r="15" spans="1:45" s="25" customFormat="1">
      <c r="A15" s="4"/>
      <c r="B15" s="21">
        <f t="shared" si="2"/>
        <v>3</v>
      </c>
      <c r="C15" s="6" t="s">
        <v>2461</v>
      </c>
      <c r="D15" s="6" t="s">
        <v>2462</v>
      </c>
      <c r="E15" s="8"/>
      <c r="F15" s="7" t="s">
        <v>737</v>
      </c>
      <c r="G15" s="7" t="str">
        <f t="shared" si="3"/>
        <v>text</v>
      </c>
      <c r="H15" s="26"/>
      <c r="I15" s="10" t="s">
        <v>127</v>
      </c>
      <c r="J15" s="11"/>
      <c r="M15" s="4"/>
      <c r="N15" s="76"/>
      <c r="O15" s="76"/>
      <c r="P15" s="76" t="str">
        <f t="shared" si="4"/>
        <v>,region_cd</v>
      </c>
      <c r="Q15" s="76" t="str">
        <f t="shared" si="0"/>
        <v>TEXT</v>
      </c>
      <c r="R15" s="76" t="str">
        <f t="shared" si="1"/>
        <v/>
      </c>
      <c r="S15" s="76" t="str">
        <f t="shared" si="5"/>
        <v>NOT NULL</v>
      </c>
      <c r="T15" s="76" t="str">
        <f t="shared" si="6"/>
        <v>-- 地方コード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milscm_2023_009.sny_202310_backup_mt2_prefecture_region.region_cd IS '地方コード';</v>
      </c>
    </row>
    <row r="16" spans="1:45" s="25" customFormat="1" ht="18" thickBot="1">
      <c r="A16" s="4"/>
      <c r="B16" s="27">
        <f>ROW()-12</f>
        <v>4</v>
      </c>
      <c r="C16" s="57" t="s">
        <v>2463</v>
      </c>
      <c r="D16" s="57" t="s">
        <v>2464</v>
      </c>
      <c r="E16" s="56"/>
      <c r="F16" s="56" t="s">
        <v>737</v>
      </c>
      <c r="G16" s="56" t="str">
        <f t="shared" si="3"/>
        <v>text</v>
      </c>
      <c r="H16" s="59"/>
      <c r="I16" s="60" t="s">
        <v>127</v>
      </c>
      <c r="J16" s="64"/>
      <c r="N16" s="76"/>
      <c r="O16" s="76"/>
      <c r="P16" s="76" t="str">
        <f t="shared" si="4"/>
        <v>,region</v>
      </c>
      <c r="Q16" s="76" t="str">
        <f t="shared" si="0"/>
        <v>TEXT</v>
      </c>
      <c r="R16" s="76" t="str">
        <f t="shared" si="1"/>
        <v/>
      </c>
      <c r="S16" s="76" t="str">
        <f t="shared" si="5"/>
        <v>NOT NULL</v>
      </c>
      <c r="T16" s="76" t="str">
        <f t="shared" si="6"/>
        <v>-- 地方名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milscm_2023_009.sny_202310_backup_mt2_prefecture_region.region IS '地方名';</v>
      </c>
    </row>
    <row r="17" spans="2:52">
      <c r="L17" s="25"/>
      <c r="M17" s="25"/>
      <c r="N17" s="76" t="s">
        <v>142</v>
      </c>
      <c r="O17" s="76"/>
      <c r="P17" s="76"/>
      <c r="Q17" s="76"/>
      <c r="R17" s="76"/>
      <c r="S17" s="76"/>
      <c r="T17" s="76"/>
      <c r="V17" s="25"/>
      <c r="W17" s="25"/>
      <c r="X17" s="25"/>
      <c r="Y17" s="25"/>
      <c r="Z17" s="25"/>
      <c r="AJ17" s="76" t="s">
        <v>142</v>
      </c>
      <c r="AT17" s="25"/>
      <c r="AU17" s="25"/>
      <c r="AV17" s="25"/>
      <c r="AW17" s="25"/>
      <c r="AX17" s="25"/>
      <c r="AY17" s="25"/>
      <c r="AZ17" s="25"/>
    </row>
    <row r="18" spans="2:52">
      <c r="B18" s="81" t="s">
        <v>2465</v>
      </c>
      <c r="L18" s="25"/>
      <c r="M18" s="25"/>
      <c r="V18" s="25"/>
      <c r="W18" s="25"/>
      <c r="X18" s="25"/>
      <c r="Y18" s="25"/>
      <c r="Z18" s="25"/>
      <c r="AT18" s="25"/>
      <c r="AU18" s="25"/>
      <c r="AV18" s="25"/>
      <c r="AW18" s="25"/>
      <c r="AX18" s="25"/>
      <c r="AY18" s="25"/>
      <c r="AZ18" s="25"/>
    </row>
    <row r="19" spans="2:52">
      <c r="B19" s="82"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2"/>
      <c r="C21" s="83" t="s">
        <v>2467</v>
      </c>
      <c r="D21" s="83" t="s">
        <v>2468</v>
      </c>
      <c r="E21" s="255" t="s">
        <v>2469</v>
      </c>
      <c r="F21" s="256"/>
      <c r="G21" s="256"/>
      <c r="H21" s="256"/>
      <c r="I21" s="256"/>
      <c r="J21" s="257"/>
    </row>
    <row r="22" spans="2:52">
      <c r="B22" s="82"/>
      <c r="C22" s="84" t="s">
        <v>2470</v>
      </c>
      <c r="D22" s="84" t="s">
        <v>2471</v>
      </c>
      <c r="E22" s="252" t="s">
        <v>2472</v>
      </c>
      <c r="F22" s="253"/>
      <c r="G22" s="253"/>
      <c r="H22" s="253"/>
      <c r="I22" s="253"/>
      <c r="J22" s="254"/>
    </row>
    <row r="23" spans="2:52">
      <c r="B23" s="82"/>
      <c r="C23" s="84" t="s">
        <v>2473</v>
      </c>
      <c r="D23" s="84" t="s">
        <v>2474</v>
      </c>
      <c r="E23" s="252" t="s">
        <v>2475</v>
      </c>
      <c r="F23" s="253"/>
      <c r="G23" s="253"/>
      <c r="H23" s="253"/>
      <c r="I23" s="253"/>
      <c r="J23" s="254"/>
    </row>
    <row r="24" spans="2:52">
      <c r="B24" s="82"/>
      <c r="C24" s="84" t="s">
        <v>2476</v>
      </c>
      <c r="D24" s="84" t="s">
        <v>2477</v>
      </c>
      <c r="E24" s="252" t="s">
        <v>2478</v>
      </c>
      <c r="F24" s="253"/>
      <c r="G24" s="253"/>
      <c r="H24" s="253"/>
      <c r="I24" s="253"/>
      <c r="J24" s="254"/>
    </row>
    <row r="25" spans="2:52">
      <c r="B25" s="82"/>
      <c r="C25" s="84" t="s">
        <v>2479</v>
      </c>
      <c r="D25" s="84" t="s">
        <v>2480</v>
      </c>
      <c r="E25" s="252" t="s">
        <v>2481</v>
      </c>
      <c r="F25" s="253"/>
      <c r="G25" s="253"/>
      <c r="H25" s="253"/>
      <c r="I25" s="253"/>
      <c r="J25" s="254"/>
    </row>
    <row r="26" spans="2:52">
      <c r="B26" s="82"/>
      <c r="C26" s="84" t="s">
        <v>2482</v>
      </c>
      <c r="D26" s="84" t="s">
        <v>2483</v>
      </c>
      <c r="E26" s="252" t="s">
        <v>2484</v>
      </c>
      <c r="F26" s="253"/>
      <c r="G26" s="253"/>
      <c r="H26" s="253"/>
      <c r="I26" s="253"/>
      <c r="J26" s="254"/>
    </row>
    <row r="27" spans="2:52">
      <c r="B27" s="82"/>
      <c r="C27" s="84" t="s">
        <v>2485</v>
      </c>
      <c r="D27" s="84" t="s">
        <v>2486</v>
      </c>
      <c r="E27" s="252" t="s">
        <v>2487</v>
      </c>
      <c r="F27" s="253"/>
      <c r="G27" s="253"/>
      <c r="H27" s="253"/>
      <c r="I27" s="253"/>
      <c r="J27" s="254"/>
    </row>
    <row r="28" spans="2:52">
      <c r="B28" s="82"/>
      <c r="C28" s="84" t="s">
        <v>2488</v>
      </c>
      <c r="D28" s="84" t="s">
        <v>2489</v>
      </c>
      <c r="E28" s="252" t="s">
        <v>2490</v>
      </c>
      <c r="F28" s="253"/>
      <c r="G28" s="253"/>
      <c r="H28" s="253"/>
      <c r="I28" s="253"/>
      <c r="J28" s="254"/>
    </row>
    <row r="29" spans="2:52">
      <c r="B29" s="82"/>
      <c r="C29" s="84" t="s">
        <v>2491</v>
      </c>
      <c r="D29" s="84" t="s">
        <v>2492</v>
      </c>
      <c r="E29" s="252" t="s">
        <v>2493</v>
      </c>
      <c r="F29" s="253"/>
      <c r="G29" s="253"/>
      <c r="H29" s="253"/>
      <c r="I29" s="253"/>
      <c r="J29" s="254"/>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ENT_01_A4-03</v>
      </c>
      <c r="E6" s="234"/>
      <c r="F6" s="234"/>
      <c r="G6" s="234"/>
      <c r="H6" s="234"/>
      <c r="I6" s="234"/>
      <c r="J6" s="235"/>
    </row>
    <row r="7" spans="1:45">
      <c r="B7" s="223" t="s">
        <v>115</v>
      </c>
      <c r="C7" s="224"/>
      <c r="D7" s="225" t="s">
        <v>2494</v>
      </c>
      <c r="E7" s="226"/>
      <c r="F7" s="226"/>
      <c r="G7" s="226"/>
      <c r="H7" s="226"/>
      <c r="I7" s="226"/>
      <c r="J7" s="227"/>
    </row>
    <row r="8" spans="1:45">
      <c r="B8" s="223" t="s">
        <v>116</v>
      </c>
      <c r="C8" s="224"/>
      <c r="D8" s="225" t="str">
        <f>エンティティ一覧!AE2&amp;"_"&amp;D5&amp;"_mt2_shisetsu_zokusei"</f>
        <v>sny_202310_backup_mt2_shisetsu_zokusei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施設属性マスタテーブルから組入れ条件の第一条件で絞り込んだ結果を格納するテーブル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milscm_2023_009.sny_202310_backup_mt2_shisetsu_zokusei;</v>
      </c>
      <c r="O10" s="76"/>
      <c r="P10" s="76"/>
      <c r="Q10" s="76"/>
      <c r="R10" s="76"/>
      <c r="S10" s="76"/>
      <c r="T10" s="76"/>
      <c r="AJ10" s="76" t="str">
        <f>"ALTER TABLE ONLY "&amp;エンティティ一覧!$O$2&amp;"."&amp;D$8</f>
        <v>ALTER TABLE ONLY milscm_2023_009.sny_202310_backup_mt2_shisetsu_zokusei</v>
      </c>
      <c r="AS10" s="76" t="str">
        <f>"ALTER TABLE "&amp;エンティティ一覧!$O$2&amp;"."&amp;D$8&amp;" OWNER TO pgmisgrp1;"</f>
        <v>ALTER TABLE milscm_2023_009.sny_202310_backup_mt2_shisetsu_zokusei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milscm_2023_009.sny_202310_backup_mt2_shisetsu_zokusei</v>
      </c>
      <c r="O11" s="76"/>
      <c r="P11" s="76"/>
      <c r="Q11" s="76"/>
      <c r="R11" s="76"/>
      <c r="S11" s="76"/>
      <c r="T11" s="76"/>
      <c r="AJ11" s="76" t="str">
        <f>"ADD CONSTRAINT "&amp;D$8&amp;"_pkey PRIMARY KEY"</f>
        <v>ADD CONSTRAINT sny_202310_backup_mt2_shisetsu_zokusei_pkey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milscm_2023_009.sny_202310_backup_mt2_shisetsu_zokusei IS 'バックアップ_施設属性マスタ';</v>
      </c>
    </row>
    <row r="13" spans="1:45" s="25" customFormat="1">
      <c r="A13" s="4"/>
      <c r="B13" s="21">
        <f>ROW()-12</f>
        <v>1</v>
      </c>
      <c r="C13" s="6" t="s">
        <v>137</v>
      </c>
      <c r="D13" s="6" t="s">
        <v>128</v>
      </c>
      <c r="E13" s="8" t="s">
        <v>127</v>
      </c>
      <c r="F13" s="8" t="s">
        <v>737</v>
      </c>
      <c r="G13" s="7" t="str">
        <f>IF(F13="フラグ","boolean",IF(F13="文字列","text",IF(F13="整数","integer",IF(F13="実数","numeric",""))))</f>
        <v>text</v>
      </c>
      <c r="H13" s="9"/>
      <c r="I13" s="10" t="s">
        <v>127</v>
      </c>
      <c r="J13" s="11" t="s">
        <v>2522</v>
      </c>
      <c r="M13" s="4"/>
      <c r="N13" s="76"/>
      <c r="O13" s="76"/>
      <c r="P13" s="76" t="str">
        <f>IF(B13&lt;&gt;1,","&amp;D13,D13)</f>
        <v>facility_id</v>
      </c>
      <c r="Q13" s="76" t="str">
        <f t="shared" ref="Q13:Q44" si="0">UPPER(G13)</f>
        <v>TEXT</v>
      </c>
      <c r="R13" s="76" t="str">
        <f t="shared" ref="R13:R4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milscm_2023_009.sny_202310_backup_mt2_shisetsu_zokusei.facility_id IS '施設ID';</v>
      </c>
    </row>
    <row r="14" spans="1:45" s="25" customFormat="1" ht="34.799999999999997">
      <c r="A14" s="4"/>
      <c r="B14" s="21">
        <f t="shared" ref="B14:B43" si="2">ROW()-12</f>
        <v>2</v>
      </c>
      <c r="C14" s="6" t="s">
        <v>2495</v>
      </c>
      <c r="D14" s="6" t="s">
        <v>2496</v>
      </c>
      <c r="E14" s="8" t="s">
        <v>127</v>
      </c>
      <c r="F14" s="7" t="s">
        <v>737</v>
      </c>
      <c r="G14" s="7" t="str">
        <f t="shared" ref="G14:G44" si="3">IF(F14="フラグ","boolean",IF(F14="文字列","text",IF(F14="整数","integer",IF(F14="実数","numeric",""))))</f>
        <v>text</v>
      </c>
      <c r="H14" s="26">
        <v>999999</v>
      </c>
      <c r="I14" s="10" t="s">
        <v>127</v>
      </c>
      <c r="J14" s="11" t="s">
        <v>2523</v>
      </c>
      <c r="M14" s="4"/>
      <c r="N14" s="76"/>
      <c r="O14" s="76"/>
      <c r="P14" s="76" t="str">
        <f t="shared" ref="P14:P44" si="4">IF(B14&lt;&gt;1,","&amp;D14,D14)</f>
        <v>,kijun_ym</v>
      </c>
      <c r="Q14" s="76" t="str">
        <f t="shared" si="0"/>
        <v>TEXT</v>
      </c>
      <c r="R14" s="76" t="str">
        <f t="shared" si="1"/>
        <v>default '999999'</v>
      </c>
      <c r="S14" s="76" t="str">
        <f t="shared" ref="S14:S44" si="5">IF(I14="○","NOT NULL","")</f>
        <v>NOT NULL</v>
      </c>
      <c r="T14" s="76" t="str">
        <f t="shared" ref="T14:T44" si="6">"-- "&amp;C14</f>
        <v>-- 基準年月</v>
      </c>
      <c r="U14" s="4"/>
      <c r="AA14" s="4"/>
      <c r="AB14" s="4"/>
      <c r="AC14" s="4"/>
      <c r="AD14" s="4"/>
      <c r="AE14" s="4"/>
      <c r="AF14" s="4"/>
      <c r="AG14" s="4"/>
      <c r="AH14" s="4"/>
      <c r="AI14" s="4"/>
      <c r="AJ14" s="76" t="str">
        <f>IF(E14="○",IF(COUNTA(E$13:E14)=1,"",",")&amp;D14,"")</f>
        <v>,kijun_ym</v>
      </c>
      <c r="AK14" s="4"/>
      <c r="AL14" s="4"/>
      <c r="AM14" s="4"/>
      <c r="AN14" s="4"/>
      <c r="AO14" s="4"/>
      <c r="AP14" s="4"/>
      <c r="AQ14" s="4"/>
      <c r="AR14" s="4"/>
      <c r="AS14" s="76" t="str">
        <f>"COMMENT ON COLUMN "&amp;エンティティ一覧!$O$2&amp;"."&amp;D$8&amp;"."&amp;D14&amp;" IS '"&amp;C14&amp;"';"</f>
        <v>COMMENT ON COLUMN milscm_2023_009.sny_202310_backup_mt2_shisetsu_zokusei.kijun_ym IS '基準年月';</v>
      </c>
    </row>
    <row r="15" spans="1:45" s="25" customFormat="1">
      <c r="A15" s="4"/>
      <c r="B15" s="21">
        <f t="shared" si="2"/>
        <v>3</v>
      </c>
      <c r="C15" s="6" t="s">
        <v>2497</v>
      </c>
      <c r="D15" s="6" t="s">
        <v>2409</v>
      </c>
      <c r="E15" s="8"/>
      <c r="F15" s="7" t="s">
        <v>737</v>
      </c>
      <c r="G15" s="7" t="str">
        <f t="shared" si="3"/>
        <v>text</v>
      </c>
      <c r="H15" s="26"/>
      <c r="I15" s="10" t="s">
        <v>127</v>
      </c>
      <c r="J15" s="11" t="s">
        <v>2524</v>
      </c>
      <c r="M15" s="4"/>
      <c r="N15" s="76"/>
      <c r="O15" s="76"/>
      <c r="P15" s="76" t="str">
        <f t="shared" si="4"/>
        <v>,facility_name</v>
      </c>
      <c r="Q15" s="76" t="str">
        <f t="shared" si="0"/>
        <v>TEXT</v>
      </c>
      <c r="R15" s="76" t="str">
        <f t="shared" si="1"/>
        <v/>
      </c>
      <c r="S15" s="76" t="str">
        <f t="shared" si="5"/>
        <v>NOT NULL</v>
      </c>
      <c r="T15" s="76" t="str">
        <f t="shared" si="6"/>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milscm_2023_009.sny_202310_backup_mt2_shisetsu_zokusei.facility_name IS '施設名';</v>
      </c>
    </row>
    <row r="16" spans="1:45" s="25" customFormat="1">
      <c r="A16" s="4"/>
      <c r="B16" s="21">
        <f t="shared" si="2"/>
        <v>4</v>
      </c>
      <c r="C16" s="6" t="s">
        <v>2498</v>
      </c>
      <c r="D16" s="6" t="s">
        <v>2411</v>
      </c>
      <c r="E16" s="8"/>
      <c r="F16" s="7" t="s">
        <v>737</v>
      </c>
      <c r="G16" s="7" t="str">
        <f t="shared" si="3"/>
        <v>text</v>
      </c>
      <c r="H16" s="26"/>
      <c r="I16" s="10"/>
      <c r="J16" s="11" t="s">
        <v>2524</v>
      </c>
      <c r="M16" s="4"/>
      <c r="N16" s="76"/>
      <c r="O16" s="76"/>
      <c r="P16" s="76" t="str">
        <f t="shared" si="4"/>
        <v>,opt_out_ymd</v>
      </c>
      <c r="Q16" s="76" t="str">
        <f t="shared" si="0"/>
        <v>TEXT</v>
      </c>
      <c r="R16" s="76" t="str">
        <f t="shared" si="1"/>
        <v/>
      </c>
      <c r="S16" s="76" t="str">
        <f t="shared" si="5"/>
        <v/>
      </c>
      <c r="T16" s="76" t="str">
        <f t="shared" si="6"/>
        <v>-- 通知開始年月日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milscm_2023_009.sny_202310_backup_mt2_shisetsu_zokusei.opt_out_ymd IS '通知開始年月日';</v>
      </c>
    </row>
    <row r="17" spans="1:45" s="25" customFormat="1">
      <c r="A17" s="4"/>
      <c r="B17" s="21">
        <f t="shared" si="2"/>
        <v>5</v>
      </c>
      <c r="C17" s="6" t="s">
        <v>1900</v>
      </c>
      <c r="D17" s="6" t="s">
        <v>1901</v>
      </c>
      <c r="E17" s="8"/>
      <c r="F17" s="7" t="s">
        <v>737</v>
      </c>
      <c r="G17" s="7" t="str">
        <f t="shared" si="3"/>
        <v>text</v>
      </c>
      <c r="H17" s="26"/>
      <c r="I17" s="10" t="s">
        <v>127</v>
      </c>
      <c r="J17" s="11" t="s">
        <v>2524</v>
      </c>
      <c r="M17" s="4"/>
      <c r="N17" s="76"/>
      <c r="O17" s="76"/>
      <c r="P17" s="76" t="str">
        <f t="shared" si="4"/>
        <v>,prefecture_cd</v>
      </c>
      <c r="Q17" s="76" t="str">
        <f t="shared" si="0"/>
        <v>TEXT</v>
      </c>
      <c r="R17" s="76" t="str">
        <f t="shared" si="1"/>
        <v/>
      </c>
      <c r="S17" s="76" t="str">
        <f t="shared" si="5"/>
        <v>NOT NULL</v>
      </c>
      <c r="T17" s="76" t="str">
        <f t="shared" si="6"/>
        <v>-- 都道府県コード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milscm_2023_009.sny_202310_backup_mt2_shisetsu_zokusei.prefecture_cd IS '都道府県コード';</v>
      </c>
    </row>
    <row r="18" spans="1:45" s="25" customFormat="1">
      <c r="A18" s="4"/>
      <c r="B18" s="21">
        <f t="shared" si="2"/>
        <v>6</v>
      </c>
      <c r="C18" s="6" t="s">
        <v>2499</v>
      </c>
      <c r="D18" s="6" t="s">
        <v>921</v>
      </c>
      <c r="E18" s="8"/>
      <c r="F18" s="7" t="s">
        <v>737</v>
      </c>
      <c r="G18" s="7" t="str">
        <f t="shared" ref="G18:G42" si="7">IF(F18="フラグ","boolean",IF(F18="文字列","text",IF(F18="整数","integer",IF(F18="実数","numeric",""))))</f>
        <v>text</v>
      </c>
      <c r="H18" s="26"/>
      <c r="I18" s="10" t="s">
        <v>127</v>
      </c>
      <c r="J18" s="11" t="s">
        <v>2536</v>
      </c>
      <c r="M18" s="4"/>
      <c r="N18" s="76"/>
      <c r="O18" s="76"/>
      <c r="P18" s="76" t="str">
        <f t="shared" ref="P18:P42" si="8">IF(B18&lt;&gt;1,","&amp;D18,D18)</f>
        <v>,prefecture</v>
      </c>
      <c r="Q18" s="76" t="str">
        <f t="shared" ref="Q18:Q42" si="9">UPPER(G18)</f>
        <v>TEXT</v>
      </c>
      <c r="R18" s="76" t="str">
        <f t="shared" ref="R18:R42" si="10">IF(H18&lt;&gt;"","default "&amp;IF(G18="text","'"&amp;H18&amp;"'",H18),"")</f>
        <v/>
      </c>
      <c r="S18" s="76" t="str">
        <f t="shared" ref="S18:S42" si="11">IF(I18="○","NOT NULL","")</f>
        <v>NOT NULL</v>
      </c>
      <c r="T18" s="76" t="str">
        <f t="shared" ref="T18:T42" si="12">"-- "&amp;C18</f>
        <v>-- 都道府県名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milscm_2023_009.sny_202310_backup_mt2_shisetsu_zokusei.prefecture IS '都道府県名';</v>
      </c>
    </row>
    <row r="19" spans="1:45" s="25" customFormat="1">
      <c r="A19" s="4"/>
      <c r="B19" s="21">
        <f t="shared" si="2"/>
        <v>7</v>
      </c>
      <c r="C19" s="6" t="s">
        <v>2500</v>
      </c>
      <c r="D19" s="6" t="s">
        <v>2462</v>
      </c>
      <c r="E19" s="8"/>
      <c r="F19" s="7" t="s">
        <v>737</v>
      </c>
      <c r="G19" s="7" t="str">
        <f t="shared" si="7"/>
        <v>text</v>
      </c>
      <c r="H19" s="26"/>
      <c r="I19" s="10" t="s">
        <v>127</v>
      </c>
      <c r="J19" s="11" t="s">
        <v>2536</v>
      </c>
      <c r="M19" s="4"/>
      <c r="N19" s="76"/>
      <c r="O19" s="76"/>
      <c r="P19" s="76" t="str">
        <f t="shared" si="8"/>
        <v>,region_cd</v>
      </c>
      <c r="Q19" s="76" t="str">
        <f t="shared" si="9"/>
        <v>TEXT</v>
      </c>
      <c r="R19" s="76" t="str">
        <f t="shared" si="10"/>
        <v/>
      </c>
      <c r="S19" s="76" t="str">
        <f t="shared" si="11"/>
        <v>NOT NULL</v>
      </c>
      <c r="T19" s="76" t="str">
        <f t="shared" si="12"/>
        <v>-- 地方コード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milscm_2023_009.sny_202310_backup_mt2_shisetsu_zokusei.region_cd IS '地方コード';</v>
      </c>
    </row>
    <row r="20" spans="1:45" s="25" customFormat="1">
      <c r="A20" s="4"/>
      <c r="B20" s="21">
        <f t="shared" si="2"/>
        <v>8</v>
      </c>
      <c r="C20" s="6" t="s">
        <v>2501</v>
      </c>
      <c r="D20" s="6" t="s">
        <v>2464</v>
      </c>
      <c r="E20" s="8"/>
      <c r="F20" s="7" t="s">
        <v>737</v>
      </c>
      <c r="G20" s="7" t="str">
        <f t="shared" si="7"/>
        <v>text</v>
      </c>
      <c r="H20" s="26"/>
      <c r="I20" s="10" t="s">
        <v>127</v>
      </c>
      <c r="J20" s="11" t="s">
        <v>2536</v>
      </c>
      <c r="M20" s="4"/>
      <c r="N20" s="76"/>
      <c r="O20" s="76"/>
      <c r="P20" s="76" t="str">
        <f t="shared" si="8"/>
        <v>,region</v>
      </c>
      <c r="Q20" s="76" t="str">
        <f t="shared" si="9"/>
        <v>TEXT</v>
      </c>
      <c r="R20" s="76" t="str">
        <f t="shared" si="10"/>
        <v/>
      </c>
      <c r="S20" s="76" t="str">
        <f t="shared" si="11"/>
        <v>NOT NULL</v>
      </c>
      <c r="T20" s="76" t="str">
        <f t="shared" si="12"/>
        <v>-- 地方名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milscm_2023_009.sny_202310_backup_mt2_shisetsu_zokusei.region IS '地方名';</v>
      </c>
    </row>
    <row r="21" spans="1:45" s="25" customFormat="1">
      <c r="A21" s="4"/>
      <c r="B21" s="21">
        <f t="shared" si="2"/>
        <v>9</v>
      </c>
      <c r="C21" s="6" t="s">
        <v>1903</v>
      </c>
      <c r="D21" s="6" t="s">
        <v>2502</v>
      </c>
      <c r="E21" s="8"/>
      <c r="F21" s="7" t="s">
        <v>737</v>
      </c>
      <c r="G21" s="7" t="str">
        <f t="shared" si="7"/>
        <v>text</v>
      </c>
      <c r="H21" s="26"/>
      <c r="I21" s="10" t="s">
        <v>127</v>
      </c>
      <c r="J21" s="11" t="s">
        <v>2525</v>
      </c>
      <c r="M21" s="4"/>
      <c r="N21" s="76"/>
      <c r="O21" s="76"/>
      <c r="P21" s="76" t="str">
        <f t="shared" si="8"/>
        <v>,city_cd</v>
      </c>
      <c r="Q21" s="76" t="str">
        <f t="shared" si="9"/>
        <v>TEXT</v>
      </c>
      <c r="R21" s="76" t="str">
        <f t="shared" si="10"/>
        <v/>
      </c>
      <c r="S21" s="76" t="str">
        <f t="shared" si="11"/>
        <v>NOT NULL</v>
      </c>
      <c r="T21" s="76" t="str">
        <f t="shared" si="12"/>
        <v>-- 市区町村コード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milscm_2023_009.sny_202310_backup_mt2_shisetsu_zokusei.city_cd IS '市区町村コード';</v>
      </c>
    </row>
    <row r="22" spans="1:45" s="25" customFormat="1">
      <c r="A22" s="4"/>
      <c r="B22" s="21">
        <f t="shared" si="2"/>
        <v>10</v>
      </c>
      <c r="C22" s="6" t="s">
        <v>1905</v>
      </c>
      <c r="D22" s="6" t="s">
        <v>1906</v>
      </c>
      <c r="E22" s="8"/>
      <c r="F22" s="7" t="s">
        <v>737</v>
      </c>
      <c r="G22" s="7" t="str">
        <f t="shared" si="7"/>
        <v>text</v>
      </c>
      <c r="H22" s="26"/>
      <c r="I22" s="10" t="s">
        <v>127</v>
      </c>
      <c r="J22" s="11" t="s">
        <v>2524</v>
      </c>
      <c r="M22" s="4"/>
      <c r="N22" s="76"/>
      <c r="O22" s="76"/>
      <c r="P22" s="76" t="str">
        <f t="shared" si="8"/>
        <v>,city</v>
      </c>
      <c r="Q22" s="76" t="str">
        <f t="shared" si="9"/>
        <v>TEXT</v>
      </c>
      <c r="R22" s="76" t="str">
        <f t="shared" si="10"/>
        <v/>
      </c>
      <c r="S22" s="76" t="str">
        <f t="shared" si="11"/>
        <v>NOT NULL</v>
      </c>
      <c r="T22" s="76" t="str">
        <f t="shared" si="12"/>
        <v>-- 市区町村</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milscm_2023_009.sny_202310_backup_mt2_shisetsu_zokusei.city IS '市区町村';</v>
      </c>
    </row>
    <row r="23" spans="1:45" s="25" customFormat="1">
      <c r="A23" s="4"/>
      <c r="B23" s="21">
        <f t="shared" si="2"/>
        <v>11</v>
      </c>
      <c r="C23" s="6" t="s">
        <v>2503</v>
      </c>
      <c r="D23" s="6" t="s">
        <v>2504</v>
      </c>
      <c r="E23" s="8"/>
      <c r="F23" s="7" t="s">
        <v>737</v>
      </c>
      <c r="G23" s="7" t="str">
        <f t="shared" si="7"/>
        <v>text</v>
      </c>
      <c r="H23" s="26"/>
      <c r="I23" s="10" t="s">
        <v>127</v>
      </c>
      <c r="J23" s="11" t="s">
        <v>2524</v>
      </c>
      <c r="M23" s="4"/>
      <c r="N23" s="76"/>
      <c r="O23" s="76"/>
      <c r="P23" s="76" t="str">
        <f t="shared" si="8"/>
        <v>,address</v>
      </c>
      <c r="Q23" s="76" t="str">
        <f t="shared" si="9"/>
        <v>TEXT</v>
      </c>
      <c r="R23" s="76" t="str">
        <f t="shared" si="10"/>
        <v/>
      </c>
      <c r="S23" s="76" t="str">
        <f t="shared" si="11"/>
        <v>NOT NULL</v>
      </c>
      <c r="T23" s="76" t="str">
        <f t="shared" si="12"/>
        <v>-- 住所</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milscm_2023_009.sny_202310_backup_mt2_shisetsu_zokusei.address IS '住所';</v>
      </c>
    </row>
    <row r="24" spans="1:45" s="25" customFormat="1">
      <c r="A24" s="4"/>
      <c r="B24" s="21">
        <f t="shared" si="2"/>
        <v>12</v>
      </c>
      <c r="C24" s="6" t="s">
        <v>2505</v>
      </c>
      <c r="D24" s="6" t="s">
        <v>1897</v>
      </c>
      <c r="E24" s="8"/>
      <c r="F24" s="7" t="s">
        <v>737</v>
      </c>
      <c r="G24" s="7" t="str">
        <f t="shared" si="7"/>
        <v>text</v>
      </c>
      <c r="H24" s="26"/>
      <c r="I24" s="10" t="s">
        <v>127</v>
      </c>
      <c r="J24" s="11" t="s">
        <v>2526</v>
      </c>
      <c r="M24" s="4"/>
      <c r="N24" s="76"/>
      <c r="O24" s="76"/>
      <c r="P24" s="76" t="str">
        <f t="shared" si="8"/>
        <v>,iryouken2_cd</v>
      </c>
      <c r="Q24" s="76" t="str">
        <f t="shared" si="9"/>
        <v>TEXT</v>
      </c>
      <c r="R24" s="76" t="str">
        <f t="shared" si="10"/>
        <v/>
      </c>
      <c r="S24" s="76" t="str">
        <f t="shared" si="11"/>
        <v>NOT NULL</v>
      </c>
      <c r="T24" s="76" t="str">
        <f t="shared" si="12"/>
        <v>-- 二次医療圏コード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milscm_2023_009.sny_202310_backup_mt2_shisetsu_zokusei.iryouken2_cd IS '二次医療圏コード';</v>
      </c>
    </row>
    <row r="25" spans="1:45" s="25" customFormat="1">
      <c r="A25" s="4"/>
      <c r="B25" s="21">
        <f t="shared" si="2"/>
        <v>13</v>
      </c>
      <c r="C25" s="6" t="s">
        <v>2506</v>
      </c>
      <c r="D25" s="6" t="s">
        <v>1899</v>
      </c>
      <c r="E25" s="8"/>
      <c r="F25" s="7" t="s">
        <v>737</v>
      </c>
      <c r="G25" s="7" t="str">
        <f t="shared" si="7"/>
        <v>text</v>
      </c>
      <c r="H25" s="26"/>
      <c r="I25" s="10" t="s">
        <v>127</v>
      </c>
      <c r="J25" s="11" t="s">
        <v>2526</v>
      </c>
      <c r="M25" s="4"/>
      <c r="N25" s="76"/>
      <c r="O25" s="76"/>
      <c r="P25" s="76" t="str">
        <f t="shared" si="8"/>
        <v>,iryouken2</v>
      </c>
      <c r="Q25" s="76" t="str">
        <f t="shared" si="9"/>
        <v>TEXT</v>
      </c>
      <c r="R25" s="76" t="str">
        <f t="shared" si="10"/>
        <v/>
      </c>
      <c r="S25" s="76" t="str">
        <f t="shared" si="11"/>
        <v>NOT NULL</v>
      </c>
      <c r="T25" s="76" t="str">
        <f t="shared" si="12"/>
        <v>-- 二次医療圏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milscm_2023_009.sny_202310_backup_mt2_shisetsu_zokusei.iryouken2 IS '二次医療圏';</v>
      </c>
    </row>
    <row r="26" spans="1:45" s="25" customFormat="1">
      <c r="A26" s="4"/>
      <c r="B26" s="21">
        <f t="shared" si="2"/>
        <v>14</v>
      </c>
      <c r="C26" s="6" t="s">
        <v>1860</v>
      </c>
      <c r="D26" s="6" t="s">
        <v>1861</v>
      </c>
      <c r="E26" s="8"/>
      <c r="F26" s="7" t="s">
        <v>204</v>
      </c>
      <c r="G26" s="7" t="str">
        <f t="shared" si="7"/>
        <v>integer</v>
      </c>
      <c r="H26" s="26"/>
      <c r="I26" s="10"/>
      <c r="J26" s="11" t="s">
        <v>2522</v>
      </c>
      <c r="M26" s="4"/>
      <c r="N26" s="76"/>
      <c r="O26" s="76"/>
      <c r="P26" s="76" t="str">
        <f t="shared" si="8"/>
        <v>,ippan_bed</v>
      </c>
      <c r="Q26" s="76" t="str">
        <f t="shared" si="9"/>
        <v>INTEGER</v>
      </c>
      <c r="R26" s="76" t="str">
        <f t="shared" si="10"/>
        <v/>
      </c>
      <c r="S26" s="76" t="str">
        <f t="shared" si="11"/>
        <v/>
      </c>
      <c r="T26" s="76" t="str">
        <f t="shared" si="12"/>
        <v>-- 一般病床</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milscm_2023_009.sny_202310_backup_mt2_shisetsu_zokusei.ippan_bed IS '一般病床';</v>
      </c>
    </row>
    <row r="27" spans="1:45" s="25" customFormat="1">
      <c r="A27" s="4"/>
      <c r="B27" s="21">
        <f t="shared" si="2"/>
        <v>15</v>
      </c>
      <c r="C27" s="6" t="s">
        <v>1862</v>
      </c>
      <c r="D27" s="6" t="s">
        <v>1863</v>
      </c>
      <c r="E27" s="8"/>
      <c r="F27" s="7" t="s">
        <v>204</v>
      </c>
      <c r="G27" s="7" t="str">
        <f t="shared" si="7"/>
        <v>integer</v>
      </c>
      <c r="H27" s="26"/>
      <c r="I27" s="10"/>
      <c r="J27" s="11" t="s">
        <v>2522</v>
      </c>
      <c r="M27" s="4"/>
      <c r="N27" s="76"/>
      <c r="O27" s="76"/>
      <c r="P27" s="76" t="str">
        <f t="shared" si="8"/>
        <v>,seishin_bed</v>
      </c>
      <c r="Q27" s="76" t="str">
        <f t="shared" si="9"/>
        <v>INTEGER</v>
      </c>
      <c r="R27" s="76" t="str">
        <f t="shared" si="10"/>
        <v/>
      </c>
      <c r="S27" s="76" t="str">
        <f t="shared" si="11"/>
        <v/>
      </c>
      <c r="T27" s="76" t="str">
        <f t="shared" si="12"/>
        <v>-- 精神病床</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milscm_2023_009.sny_202310_backup_mt2_shisetsu_zokusei.seishin_bed IS '精神病床';</v>
      </c>
    </row>
    <row r="28" spans="1:45" s="25" customFormat="1">
      <c r="A28" s="4"/>
      <c r="B28" s="21">
        <f t="shared" si="2"/>
        <v>16</v>
      </c>
      <c r="C28" s="6" t="s">
        <v>1864</v>
      </c>
      <c r="D28" s="6" t="s">
        <v>1865</v>
      </c>
      <c r="E28" s="8"/>
      <c r="F28" s="7" t="s">
        <v>204</v>
      </c>
      <c r="G28" s="7" t="str">
        <f t="shared" si="7"/>
        <v>integer</v>
      </c>
      <c r="H28" s="26"/>
      <c r="I28" s="10"/>
      <c r="J28" s="11" t="s">
        <v>2522</v>
      </c>
      <c r="M28" s="4"/>
      <c r="N28" s="76"/>
      <c r="O28" s="76"/>
      <c r="P28" s="76" t="str">
        <f t="shared" si="8"/>
        <v>,kansen_bed</v>
      </c>
      <c r="Q28" s="76" t="str">
        <f t="shared" si="9"/>
        <v>INTEGER</v>
      </c>
      <c r="R28" s="76" t="str">
        <f t="shared" si="10"/>
        <v/>
      </c>
      <c r="S28" s="76" t="str">
        <f t="shared" si="11"/>
        <v/>
      </c>
      <c r="T28" s="76" t="str">
        <f t="shared" si="12"/>
        <v>-- 感染症病床</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milscm_2023_009.sny_202310_backup_mt2_shisetsu_zokusei.kansen_bed IS '感染症病床';</v>
      </c>
    </row>
    <row r="29" spans="1:45" s="25" customFormat="1">
      <c r="A29" s="4"/>
      <c r="B29" s="21">
        <f t="shared" si="2"/>
        <v>17</v>
      </c>
      <c r="C29" s="6" t="s">
        <v>1866</v>
      </c>
      <c r="D29" s="6" t="s">
        <v>1867</v>
      </c>
      <c r="E29" s="8"/>
      <c r="F29" s="7" t="s">
        <v>204</v>
      </c>
      <c r="G29" s="7" t="str">
        <f t="shared" si="7"/>
        <v>integer</v>
      </c>
      <c r="H29" s="26"/>
      <c r="I29" s="10"/>
      <c r="J29" s="11" t="s">
        <v>2522</v>
      </c>
      <c r="M29" s="4"/>
      <c r="N29" s="76"/>
      <c r="O29" s="76"/>
      <c r="P29" s="76" t="str">
        <f t="shared" si="8"/>
        <v>,kekkaku_bed</v>
      </c>
      <c r="Q29" s="76" t="str">
        <f t="shared" si="9"/>
        <v>INTEGER</v>
      </c>
      <c r="R29" s="76" t="str">
        <f t="shared" si="10"/>
        <v/>
      </c>
      <c r="S29" s="76" t="str">
        <f t="shared" si="11"/>
        <v/>
      </c>
      <c r="T29" s="76" t="str">
        <f t="shared" si="12"/>
        <v>-- 結核病床</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milscm_2023_009.sny_202310_backup_mt2_shisetsu_zokusei.kekkaku_bed IS '結核病床';</v>
      </c>
    </row>
    <row r="30" spans="1:45" s="25" customFormat="1">
      <c r="A30" s="4"/>
      <c r="B30" s="21">
        <f t="shared" si="2"/>
        <v>18</v>
      </c>
      <c r="C30" s="6" t="s">
        <v>1868</v>
      </c>
      <c r="D30" s="6" t="s">
        <v>1869</v>
      </c>
      <c r="E30" s="8"/>
      <c r="F30" s="7" t="s">
        <v>204</v>
      </c>
      <c r="G30" s="7" t="str">
        <f t="shared" si="7"/>
        <v>integer</v>
      </c>
      <c r="H30" s="26"/>
      <c r="I30" s="10"/>
      <c r="J30" s="11" t="s">
        <v>2522</v>
      </c>
      <c r="M30" s="4"/>
      <c r="N30" s="76"/>
      <c r="O30" s="76"/>
      <c r="P30" s="76" t="str">
        <f t="shared" si="8"/>
        <v>,ryouyou_bed</v>
      </c>
      <c r="Q30" s="76" t="str">
        <f t="shared" si="9"/>
        <v>INTEGER</v>
      </c>
      <c r="R30" s="76" t="str">
        <f t="shared" si="10"/>
        <v/>
      </c>
      <c r="S30" s="76" t="str">
        <f t="shared" si="11"/>
        <v/>
      </c>
      <c r="T30" s="76" t="str">
        <f t="shared" si="12"/>
        <v>-- 療養病床</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milscm_2023_009.sny_202310_backup_mt2_shisetsu_zokusei.ryouyou_bed IS '療養病床';</v>
      </c>
    </row>
    <row r="31" spans="1:45" s="25" customFormat="1">
      <c r="A31" s="4"/>
      <c r="B31" s="21">
        <f t="shared" si="2"/>
        <v>19</v>
      </c>
      <c r="C31" s="6" t="s">
        <v>2507</v>
      </c>
      <c r="D31" s="6" t="s">
        <v>2508</v>
      </c>
      <c r="E31" s="8"/>
      <c r="F31" s="7" t="s">
        <v>204</v>
      </c>
      <c r="G31" s="7" t="str">
        <f t="shared" si="7"/>
        <v>integer</v>
      </c>
      <c r="H31" s="26"/>
      <c r="I31" s="10"/>
      <c r="J31" s="11" t="s">
        <v>2527</v>
      </c>
      <c r="M31" s="4"/>
      <c r="N31" s="76"/>
      <c r="O31" s="76"/>
      <c r="P31" s="76" t="str">
        <f t="shared" si="8"/>
        <v>,all_bed</v>
      </c>
      <c r="Q31" s="76" t="str">
        <f t="shared" si="9"/>
        <v>INTEGER</v>
      </c>
      <c r="R31" s="76" t="str">
        <f t="shared" si="10"/>
        <v/>
      </c>
      <c r="S31" s="76" t="str">
        <f t="shared" si="11"/>
        <v/>
      </c>
      <c r="T31" s="76" t="str">
        <f t="shared" si="12"/>
        <v>-- 総病床数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milscm_2023_009.sny_202310_backup_mt2_shisetsu_zokusei.all_bed IS '総病床数';</v>
      </c>
    </row>
    <row r="32" spans="1:45" s="25" customFormat="1">
      <c r="A32" s="4"/>
      <c r="B32" s="21">
        <f t="shared" si="2"/>
        <v>20</v>
      </c>
      <c r="C32" s="6" t="s">
        <v>1870</v>
      </c>
      <c r="D32" s="6" t="s">
        <v>1871</v>
      </c>
      <c r="E32" s="8"/>
      <c r="F32" s="7" t="s">
        <v>737</v>
      </c>
      <c r="G32" s="7" t="str">
        <f t="shared" si="7"/>
        <v>text</v>
      </c>
      <c r="H32" s="26"/>
      <c r="I32" s="10"/>
      <c r="J32" s="11" t="s">
        <v>2522</v>
      </c>
      <c r="M32" s="4"/>
      <c r="N32" s="76"/>
      <c r="O32" s="76"/>
      <c r="P32" s="76" t="str">
        <f t="shared" si="8"/>
        <v>,univ_hp_f</v>
      </c>
      <c r="Q32" s="76" t="str">
        <f t="shared" si="9"/>
        <v>TEXT</v>
      </c>
      <c r="R32" s="76" t="str">
        <f t="shared" si="10"/>
        <v/>
      </c>
      <c r="S32" s="76" t="str">
        <f t="shared" si="11"/>
        <v/>
      </c>
      <c r="T32" s="76" t="str">
        <f t="shared" si="12"/>
        <v>-- 大学病院F</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milscm_2023_009.sny_202310_backup_mt2_shisetsu_zokusei.univ_hp_f IS '大学病院F';</v>
      </c>
    </row>
    <row r="33" spans="1:52" s="25" customFormat="1">
      <c r="A33" s="4"/>
      <c r="B33" s="21">
        <f t="shared" si="2"/>
        <v>21</v>
      </c>
      <c r="C33" s="6" t="s">
        <v>1872</v>
      </c>
      <c r="D33" s="6" t="s">
        <v>1873</v>
      </c>
      <c r="E33" s="8"/>
      <c r="F33" s="7" t="s">
        <v>737</v>
      </c>
      <c r="G33" s="7" t="str">
        <f t="shared" si="7"/>
        <v>text</v>
      </c>
      <c r="H33" s="26"/>
      <c r="I33" s="10"/>
      <c r="J33" s="11" t="s">
        <v>2522</v>
      </c>
      <c r="M33" s="4"/>
      <c r="N33" s="76"/>
      <c r="O33" s="76"/>
      <c r="P33" s="76" t="str">
        <f t="shared" si="8"/>
        <v>,tokutei_hp_f</v>
      </c>
      <c r="Q33" s="76" t="str">
        <f t="shared" si="9"/>
        <v>TEXT</v>
      </c>
      <c r="R33" s="76" t="str">
        <f t="shared" si="10"/>
        <v/>
      </c>
      <c r="S33" s="76" t="str">
        <f t="shared" si="11"/>
        <v/>
      </c>
      <c r="T33" s="76" t="str">
        <f t="shared" si="12"/>
        <v>-- 特定機能病院F</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milscm_2023_009.sny_202310_backup_mt2_shisetsu_zokusei.tokutei_hp_f IS '特定機能病院F';</v>
      </c>
    </row>
    <row r="34" spans="1:52" s="25" customFormat="1" ht="121.8">
      <c r="A34" s="4"/>
      <c r="B34" s="21">
        <f t="shared" si="2"/>
        <v>22</v>
      </c>
      <c r="C34" s="6" t="s">
        <v>1874</v>
      </c>
      <c r="D34" s="6" t="s">
        <v>1875</v>
      </c>
      <c r="E34" s="8"/>
      <c r="F34" s="7" t="s">
        <v>204</v>
      </c>
      <c r="G34" s="7" t="str">
        <f t="shared" si="7"/>
        <v>integer</v>
      </c>
      <c r="H34" s="26"/>
      <c r="I34" s="10"/>
      <c r="J34" s="11" t="s">
        <v>2528</v>
      </c>
      <c r="M34" s="4"/>
      <c r="N34" s="76"/>
      <c r="O34" s="76"/>
      <c r="P34" s="76" t="str">
        <f t="shared" si="8"/>
        <v>,cancer_hp_f</v>
      </c>
      <c r="Q34" s="76" t="str">
        <f t="shared" si="9"/>
        <v>INTEGER</v>
      </c>
      <c r="R34" s="76" t="str">
        <f t="shared" si="10"/>
        <v/>
      </c>
      <c r="S34" s="76" t="str">
        <f t="shared" si="11"/>
        <v/>
      </c>
      <c r="T34" s="76" t="str">
        <f t="shared" si="12"/>
        <v>-- がん拠点病院F</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milscm_2023_009.sny_202310_backup_mt2_shisetsu_zokusei.cancer_hp_f IS 'がん拠点病院F';</v>
      </c>
    </row>
    <row r="35" spans="1:52" s="25" customFormat="1">
      <c r="A35" s="4"/>
      <c r="B35" s="21">
        <f t="shared" si="2"/>
        <v>23</v>
      </c>
      <c r="C35" s="6" t="s">
        <v>1876</v>
      </c>
      <c r="D35" s="6" t="s">
        <v>2509</v>
      </c>
      <c r="E35" s="8"/>
      <c r="F35" s="7" t="s">
        <v>737</v>
      </c>
      <c r="G35" s="7" t="str">
        <f t="shared" si="7"/>
        <v>text</v>
      </c>
      <c r="H35" s="26"/>
      <c r="I35" s="10"/>
      <c r="J35" s="11" t="s">
        <v>2522</v>
      </c>
      <c r="M35" s="4"/>
      <c r="N35" s="76"/>
      <c r="O35" s="76"/>
      <c r="P35" s="76" t="str">
        <f t="shared" si="8"/>
        <v>,high_Acute_care_hp_f</v>
      </c>
      <c r="Q35" s="76" t="str">
        <f t="shared" si="9"/>
        <v>TEXT</v>
      </c>
      <c r="R35" s="76" t="str">
        <f t="shared" si="10"/>
        <v/>
      </c>
      <c r="S35" s="76" t="str">
        <f t="shared" si="11"/>
        <v/>
      </c>
      <c r="T35" s="76" t="str">
        <f t="shared" si="12"/>
        <v>-- 高度急性期病院F</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milscm_2023_009.sny_202310_backup_mt2_shisetsu_zokusei.high_Acute_care_hp_f IS '高度急性期病院F';</v>
      </c>
    </row>
    <row r="36" spans="1:52" s="25" customFormat="1">
      <c r="A36" s="4"/>
      <c r="B36" s="21">
        <f t="shared" si="2"/>
        <v>24</v>
      </c>
      <c r="C36" s="6" t="s">
        <v>1878</v>
      </c>
      <c r="D36" s="6" t="s">
        <v>2510</v>
      </c>
      <c r="E36" s="8"/>
      <c r="F36" s="7" t="s">
        <v>737</v>
      </c>
      <c r="G36" s="7" t="str">
        <f t="shared" si="7"/>
        <v>text</v>
      </c>
      <c r="H36" s="26"/>
      <c r="I36" s="10"/>
      <c r="J36" s="11" t="s">
        <v>2522</v>
      </c>
      <c r="M36" s="4"/>
      <c r="N36" s="76"/>
      <c r="O36" s="76"/>
      <c r="P36" s="76" t="str">
        <f t="shared" si="8"/>
        <v>,Acute_care_hp_f</v>
      </c>
      <c r="Q36" s="76" t="str">
        <f t="shared" si="9"/>
        <v>TEXT</v>
      </c>
      <c r="R36" s="76" t="str">
        <f t="shared" si="10"/>
        <v/>
      </c>
      <c r="S36" s="76" t="str">
        <f t="shared" si="11"/>
        <v/>
      </c>
      <c r="T36" s="76" t="str">
        <f t="shared" si="12"/>
        <v>-- 急性期病院F</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milscm_2023_009.sny_202310_backup_mt2_shisetsu_zokusei.Acute_care_hp_f IS '急性期病院F';</v>
      </c>
    </row>
    <row r="37" spans="1:52" s="25" customFormat="1">
      <c r="A37" s="4"/>
      <c r="B37" s="21">
        <f t="shared" si="2"/>
        <v>25</v>
      </c>
      <c r="C37" s="6" t="s">
        <v>1880</v>
      </c>
      <c r="D37" s="6" t="s">
        <v>1881</v>
      </c>
      <c r="E37" s="8"/>
      <c r="F37" s="7" t="s">
        <v>737</v>
      </c>
      <c r="G37" s="7" t="str">
        <f t="shared" si="7"/>
        <v>text</v>
      </c>
      <c r="H37" s="26"/>
      <c r="I37" s="10"/>
      <c r="J37" s="11" t="s">
        <v>1893</v>
      </c>
      <c r="M37" s="4"/>
      <c r="N37" s="76"/>
      <c r="O37" s="76"/>
      <c r="P37" s="76" t="str">
        <f t="shared" si="8"/>
        <v>,mil_exit_f</v>
      </c>
      <c r="Q37" s="76" t="str">
        <f t="shared" si="9"/>
        <v>TEXT</v>
      </c>
      <c r="R37" s="76" t="str">
        <f t="shared" si="10"/>
        <v/>
      </c>
      <c r="S37" s="76" t="str">
        <f t="shared" si="11"/>
        <v/>
      </c>
      <c r="T37" s="76" t="str">
        <f t="shared" si="12"/>
        <v>-- 千年カルテ離脱施設フラグ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milscm_2023_009.sny_202310_backup_mt2_shisetsu_zokusei.mil_exit_f IS '千年カルテ離脱施設フラグ';</v>
      </c>
    </row>
    <row r="38" spans="1:52" s="25" customFormat="1" ht="34.799999999999997">
      <c r="A38" s="4"/>
      <c r="B38" s="21">
        <f t="shared" si="2"/>
        <v>26</v>
      </c>
      <c r="C38" s="6" t="s">
        <v>2511</v>
      </c>
      <c r="D38" s="6" t="s">
        <v>2512</v>
      </c>
      <c r="E38" s="8"/>
      <c r="F38" s="7" t="s">
        <v>737</v>
      </c>
      <c r="G38" s="7" t="str">
        <f t="shared" si="7"/>
        <v>text</v>
      </c>
      <c r="H38" s="26">
        <v>0</v>
      </c>
      <c r="I38" s="10" t="s">
        <v>127</v>
      </c>
      <c r="J38" s="11" t="s">
        <v>2529</v>
      </c>
      <c r="M38" s="4"/>
      <c r="N38" s="76"/>
      <c r="O38" s="76"/>
      <c r="P38" s="76" t="str">
        <f t="shared" si="8"/>
        <v>,new_f</v>
      </c>
      <c r="Q38" s="76" t="str">
        <f t="shared" si="9"/>
        <v>TEXT</v>
      </c>
      <c r="R38" s="76" t="str">
        <f t="shared" si="10"/>
        <v>default '0'</v>
      </c>
      <c r="S38" s="76" t="str">
        <f t="shared" si="11"/>
        <v>NOT NULL</v>
      </c>
      <c r="T38" s="76" t="str">
        <f t="shared" si="12"/>
        <v>-- 最新フラグ</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milscm_2023_009.sny_202310_backup_mt2_shisetsu_zokusei.new_f IS '最新フラグ';</v>
      </c>
    </row>
    <row r="39" spans="1:52" s="25" customFormat="1" ht="34.799999999999997">
      <c r="A39" s="4"/>
      <c r="B39" s="21">
        <f t="shared" si="2"/>
        <v>27</v>
      </c>
      <c r="C39" s="6" t="s">
        <v>2513</v>
      </c>
      <c r="D39" s="6" t="s">
        <v>1908</v>
      </c>
      <c r="E39" s="8"/>
      <c r="F39" s="7" t="s">
        <v>737</v>
      </c>
      <c r="G39" s="7" t="str">
        <f t="shared" si="7"/>
        <v>text</v>
      </c>
      <c r="H39" s="26">
        <v>0</v>
      </c>
      <c r="I39" s="10" t="s">
        <v>127</v>
      </c>
      <c r="J39" s="11" t="s">
        <v>2530</v>
      </c>
      <c r="M39" s="4"/>
      <c r="N39" s="76"/>
      <c r="O39" s="76"/>
      <c r="P39" s="76" t="str">
        <f t="shared" si="8"/>
        <v>,del_f</v>
      </c>
      <c r="Q39" s="76" t="str">
        <f t="shared" si="9"/>
        <v>TEXT</v>
      </c>
      <c r="R39" s="76" t="str">
        <f t="shared" si="10"/>
        <v>default '0'</v>
      </c>
      <c r="S39" s="76" t="str">
        <f t="shared" si="11"/>
        <v>NOT NULL</v>
      </c>
      <c r="T39" s="76" t="str">
        <f t="shared" si="12"/>
        <v>-- 削除フラグ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milscm_2023_009.sny_202310_backup_mt2_shisetsu_zokusei.del_f IS '削除フラグ';</v>
      </c>
    </row>
    <row r="40" spans="1:52" s="25" customFormat="1" ht="34.799999999999997">
      <c r="A40" s="4"/>
      <c r="B40" s="21">
        <f t="shared" si="2"/>
        <v>28</v>
      </c>
      <c r="C40" s="6" t="s">
        <v>1911</v>
      </c>
      <c r="D40" s="6" t="s">
        <v>1912</v>
      </c>
      <c r="E40" s="8"/>
      <c r="F40" s="7" t="s">
        <v>737</v>
      </c>
      <c r="G40" s="7" t="str">
        <f t="shared" si="7"/>
        <v>text</v>
      </c>
      <c r="H40" s="26">
        <v>99999999</v>
      </c>
      <c r="I40" s="10" t="s">
        <v>127</v>
      </c>
      <c r="J40" s="11" t="s">
        <v>2531</v>
      </c>
      <c r="M40" s="4"/>
      <c r="N40" s="76"/>
      <c r="O40" s="76"/>
      <c r="P40" s="76" t="str">
        <f t="shared" si="8"/>
        <v>,del_ymd</v>
      </c>
      <c r="Q40" s="76" t="str">
        <f t="shared" si="9"/>
        <v>TEXT</v>
      </c>
      <c r="R40" s="76" t="str">
        <f t="shared" si="10"/>
        <v>default '99999999'</v>
      </c>
      <c r="S40" s="76" t="str">
        <f t="shared" si="11"/>
        <v>NOT NULL</v>
      </c>
      <c r="T40" s="76" t="str">
        <f t="shared" si="12"/>
        <v>-- 廃止年月日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milscm_2023_009.sny_202310_backup_mt2_shisetsu_zokusei.del_ymd IS '廃止年月日';</v>
      </c>
    </row>
    <row r="41" spans="1:52" s="25" customFormat="1" ht="52.2">
      <c r="A41" s="4"/>
      <c r="B41" s="21">
        <f t="shared" si="2"/>
        <v>29</v>
      </c>
      <c r="C41" s="6" t="s">
        <v>2514</v>
      </c>
      <c r="D41" s="6" t="s">
        <v>2515</v>
      </c>
      <c r="E41" s="8"/>
      <c r="F41" s="7" t="s">
        <v>737</v>
      </c>
      <c r="G41" s="7" t="str">
        <f t="shared" si="7"/>
        <v>text</v>
      </c>
      <c r="H41" s="26">
        <v>99999999</v>
      </c>
      <c r="I41" s="10" t="s">
        <v>127</v>
      </c>
      <c r="J41" s="11" t="s">
        <v>2532</v>
      </c>
      <c r="M41" s="4"/>
      <c r="N41" s="76"/>
      <c r="O41" s="76"/>
      <c r="P41" s="76" t="str">
        <f t="shared" si="8"/>
        <v>,shisetsu_update_ymd</v>
      </c>
      <c r="Q41" s="76" t="str">
        <f t="shared" si="9"/>
        <v>TEXT</v>
      </c>
      <c r="R41" s="76" t="str">
        <f t="shared" si="10"/>
        <v>default '99999999'</v>
      </c>
      <c r="S41" s="76" t="str">
        <f t="shared" si="11"/>
        <v>NOT NULL</v>
      </c>
      <c r="T41" s="76" t="str">
        <f t="shared" si="12"/>
        <v>-- 施設マスタデータ登録日</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milscm_2023_009.sny_202310_backup_mt2_shisetsu_zokusei.shisetsu_update_ymd IS '施設マスタデータ登録日';</v>
      </c>
    </row>
    <row r="42" spans="1:52" s="25" customFormat="1" ht="52.2">
      <c r="A42" s="4"/>
      <c r="B42" s="21">
        <f t="shared" si="2"/>
        <v>30</v>
      </c>
      <c r="C42" s="6" t="s">
        <v>2516</v>
      </c>
      <c r="D42" s="6" t="s">
        <v>2517</v>
      </c>
      <c r="E42" s="8"/>
      <c r="F42" s="7" t="s">
        <v>737</v>
      </c>
      <c r="G42" s="7" t="str">
        <f t="shared" si="7"/>
        <v>text</v>
      </c>
      <c r="H42" s="26"/>
      <c r="I42" s="10"/>
      <c r="J42" s="11" t="s">
        <v>2533</v>
      </c>
      <c r="M42" s="4"/>
      <c r="N42" s="76"/>
      <c r="O42" s="76"/>
      <c r="P42" s="76" t="str">
        <f t="shared" si="8"/>
        <v>,zokusei_update_ymd</v>
      </c>
      <c r="Q42" s="76" t="str">
        <f t="shared" si="9"/>
        <v>TEXT</v>
      </c>
      <c r="R42" s="76" t="str">
        <f t="shared" si="10"/>
        <v/>
      </c>
      <c r="S42" s="76" t="str">
        <f t="shared" si="11"/>
        <v/>
      </c>
      <c r="T42" s="76" t="str">
        <f t="shared" si="12"/>
        <v>-- 施設属性マスタ取込用データ登録日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milscm_2023_009.sny_202310_backup_mt2_shisetsu_zokusei.zokusei_update_ymd IS '施設属性マスタ取込用データ登録日';</v>
      </c>
    </row>
    <row r="43" spans="1:52" s="25" customFormat="1" ht="52.2">
      <c r="A43" s="4"/>
      <c r="B43" s="21">
        <f t="shared" si="2"/>
        <v>31</v>
      </c>
      <c r="C43" s="6" t="s">
        <v>2518</v>
      </c>
      <c r="D43" s="6" t="s">
        <v>2519</v>
      </c>
      <c r="E43" s="8"/>
      <c r="F43" s="7" t="s">
        <v>737</v>
      </c>
      <c r="G43" s="7" t="str">
        <f t="shared" si="3"/>
        <v>text</v>
      </c>
      <c r="H43" s="26"/>
      <c r="I43" s="10"/>
      <c r="J43" s="11" t="s">
        <v>2534</v>
      </c>
      <c r="M43" s="4"/>
      <c r="N43" s="76"/>
      <c r="O43" s="76"/>
      <c r="P43" s="76" t="str">
        <f t="shared" si="4"/>
        <v>,zokusei_torikomi_kijun_ym</v>
      </c>
      <c r="Q43" s="76" t="str">
        <f t="shared" si="0"/>
        <v>TEXT</v>
      </c>
      <c r="R43" s="76" t="str">
        <f t="shared" si="1"/>
        <v/>
      </c>
      <c r="S43" s="76" t="str">
        <f t="shared" si="5"/>
        <v/>
      </c>
      <c r="T43" s="76" t="str">
        <f t="shared" si="6"/>
        <v>-- 施設属性マスタ取込用取込基準年月</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737</v>
      </c>
      <c r="G44" s="56" t="str">
        <f t="shared" si="3"/>
        <v>text</v>
      </c>
      <c r="H44" s="59">
        <v>0</v>
      </c>
      <c r="I44" s="60" t="s">
        <v>127</v>
      </c>
      <c r="J44" s="64" t="s">
        <v>2535</v>
      </c>
      <c r="N44" s="76"/>
      <c r="O44" s="76"/>
      <c r="P44" s="76" t="str">
        <f t="shared" si="4"/>
        <v>,mainte_f</v>
      </c>
      <c r="Q44" s="76" t="str">
        <f t="shared" si="0"/>
        <v>TEXT</v>
      </c>
      <c r="R44" s="76" t="str">
        <f t="shared" si="1"/>
        <v>default '0'</v>
      </c>
      <c r="S44" s="76" t="str">
        <f t="shared" si="5"/>
        <v>NOT NULL</v>
      </c>
      <c r="T44" s="76" t="str">
        <f t="shared" si="6"/>
        <v>-- メンテナンスフラグ</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milscm_2023_009.sny_202310_backup_mt2_shisetsu_zokusei.mainte_f IS 'メンテナンスフラグ';</v>
      </c>
    </row>
    <row r="45" spans="1:52">
      <c r="L45" s="25"/>
      <c r="M45" s="25"/>
      <c r="N45" s="76" t="s">
        <v>142</v>
      </c>
      <c r="O45" s="76"/>
      <c r="P45" s="76"/>
      <c r="Q45" s="76"/>
      <c r="R45" s="76"/>
      <c r="S45" s="76"/>
      <c r="T45" s="76"/>
      <c r="V45" s="25"/>
      <c r="W45" s="25"/>
      <c r="X45" s="25"/>
      <c r="Y45" s="25"/>
      <c r="Z45" s="25"/>
      <c r="AJ45" s="76"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ENT_01_A4-04</v>
      </c>
      <c r="E6" s="234"/>
      <c r="F6" s="234"/>
      <c r="G6" s="234"/>
      <c r="H6" s="234"/>
      <c r="I6" s="234"/>
      <c r="J6" s="235"/>
    </row>
    <row r="7" spans="1:45">
      <c r="B7" s="223" t="s">
        <v>115</v>
      </c>
      <c r="C7" s="224"/>
      <c r="D7" s="225" t="s">
        <v>2537</v>
      </c>
      <c r="E7" s="226"/>
      <c r="F7" s="226"/>
      <c r="G7" s="226"/>
      <c r="H7" s="226"/>
      <c r="I7" s="226"/>
      <c r="J7" s="227"/>
    </row>
    <row r="8" spans="1:45">
      <c r="B8" s="223" t="s">
        <v>116</v>
      </c>
      <c r="C8" s="224"/>
      <c r="D8" s="225" t="str">
        <f>エンティティ一覧!AE2&amp;"_"&amp;D5&amp;"_mt2_iryouken2"</f>
        <v>sny_202310_backup_mt2_iryouken2</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二次医療圏マスタテーブルから組入れ条件の第一条件で絞り込んだ結果を格納するテーブル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milscm_2023_009.sny_202310_backup_mt2_iryouken2;</v>
      </c>
      <c r="O10" s="76"/>
      <c r="P10" s="76"/>
      <c r="Q10" s="76"/>
      <c r="R10" s="76"/>
      <c r="S10" s="76"/>
      <c r="T10" s="76"/>
      <c r="AJ10" s="76" t="str">
        <f>"ALTER TABLE ONLY "&amp;エンティティ一覧!$O$2&amp;"."&amp;D$8</f>
        <v>ALTER TABLE ONLY milscm_2023_009.sny_202310_backup_mt2_iryouken2</v>
      </c>
      <c r="AS10" s="76" t="str">
        <f>"ALTER TABLE "&amp;エンティティ一覧!$O$2&amp;"."&amp;D$8&amp;" OWNER TO pgmisgrp1;"</f>
        <v>ALTER TABLE milscm_2023_009.sny_202310_backup_mt2_iryouken2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milscm_2023_009.sny_202310_backup_mt2_iryouken2</v>
      </c>
      <c r="O11" s="76"/>
      <c r="P11" s="76"/>
      <c r="Q11" s="76"/>
      <c r="R11" s="76"/>
      <c r="S11" s="76"/>
      <c r="T11" s="76"/>
      <c r="AJ11" s="76" t="str">
        <f>"ADD CONSTRAINT "&amp;D$8&amp;"_pkey PRIMARY KEY"</f>
        <v>ADD CONSTRAINT sny_202310_backup_mt2_iryouken2_pkey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milscm_2023_009.sny_202310_backup_mt2_iryouken2 IS 'バックアップ_二次医療圏マスタ';</v>
      </c>
    </row>
    <row r="13" spans="1:45" s="25" customFormat="1" ht="69.599999999999994">
      <c r="A13" s="4"/>
      <c r="B13" s="21">
        <f>ROW()-12</f>
        <v>1</v>
      </c>
      <c r="C13" s="6" t="s">
        <v>2505</v>
      </c>
      <c r="D13" s="6" t="s">
        <v>1897</v>
      </c>
      <c r="E13" s="8"/>
      <c r="F13" s="8" t="s">
        <v>737</v>
      </c>
      <c r="G13" s="7" t="str">
        <f>IF(F13="フラグ","boolean",IF(F13="文字列","text",IF(F13="整数","integer",IF(F13="実数","numeric",""))))</f>
        <v>text</v>
      </c>
      <c r="H13" s="9"/>
      <c r="I13" s="10" t="s">
        <v>127</v>
      </c>
      <c r="J13" s="11" t="s">
        <v>2539</v>
      </c>
      <c r="M13" s="4"/>
      <c r="N13" s="76"/>
      <c r="O13" s="76"/>
      <c r="P13" s="76" t="str">
        <f>IF(B13&lt;&gt;1,","&amp;D13,D13)</f>
        <v>iryouken2_cd</v>
      </c>
      <c r="Q13" s="76" t="str">
        <f t="shared" ref="Q13:Q20" si="0">UPPER(G13)</f>
        <v>TEXT</v>
      </c>
      <c r="R13" s="76" t="str">
        <f t="shared" ref="R13:R20" si="1">IF(H13&lt;&gt;"","default "&amp;IF(G13="text","'"&amp;H13&amp;"'",H13),"")</f>
        <v/>
      </c>
      <c r="S13" s="76" t="str">
        <f>IF(I13="○","NOT NULL","")</f>
        <v>NOT NULL</v>
      </c>
      <c r="T13" s="76" t="str">
        <f>"-- "&amp;C13</f>
        <v>-- 二次医療圏コード</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milscm_2023_009.sny_202310_backup_mt2_iryouken2.iryouken2_cd IS '二次医療圏コード';</v>
      </c>
    </row>
    <row r="14" spans="1:45" s="25" customFormat="1" ht="69.599999999999994">
      <c r="A14" s="4"/>
      <c r="B14" s="21">
        <f t="shared" ref="B14:B19" si="2">ROW()-12</f>
        <v>2</v>
      </c>
      <c r="C14" s="6" t="s">
        <v>2506</v>
      </c>
      <c r="D14" s="6" t="s">
        <v>1899</v>
      </c>
      <c r="E14" s="8"/>
      <c r="F14" s="7" t="s">
        <v>737</v>
      </c>
      <c r="G14" s="7" t="str">
        <f t="shared" ref="G14:G20" si="3">IF(F14="フラグ","boolean",IF(F14="文字列","text",IF(F14="整数","integer",IF(F14="実数","numeric",""))))</f>
        <v>text</v>
      </c>
      <c r="H14" s="26"/>
      <c r="I14" s="10" t="s">
        <v>127</v>
      </c>
      <c r="J14" s="11" t="s">
        <v>2539</v>
      </c>
      <c r="M14" s="4"/>
      <c r="N14" s="76"/>
      <c r="O14" s="76"/>
      <c r="P14" s="76" t="str">
        <f t="shared" ref="P14:P20" si="4">IF(B14&lt;&gt;1,","&amp;D14,D14)</f>
        <v>,iryouken2</v>
      </c>
      <c r="Q14" s="76" t="str">
        <f t="shared" si="0"/>
        <v>TEXT</v>
      </c>
      <c r="R14" s="76" t="str">
        <f t="shared" si="1"/>
        <v/>
      </c>
      <c r="S14" s="76" t="str">
        <f t="shared" ref="S14:S20" si="5">IF(I14="○","NOT NULL","")</f>
        <v>NOT NULL</v>
      </c>
      <c r="T14" s="76" t="str">
        <f t="shared" ref="T14:T20" si="6">"-- "&amp;C14</f>
        <v>-- 二次医療圏</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milscm_2023_009.sny_202310_backup_mt2_iryouken2.iryouken2 IS '二次医療圏';</v>
      </c>
    </row>
    <row r="15" spans="1:45" s="25" customFormat="1" ht="69.599999999999994">
      <c r="A15" s="4"/>
      <c r="B15" s="21">
        <f t="shared" si="2"/>
        <v>3</v>
      </c>
      <c r="C15" s="6" t="s">
        <v>1900</v>
      </c>
      <c r="D15" s="6" t="s">
        <v>1901</v>
      </c>
      <c r="E15" s="8"/>
      <c r="F15" s="7" t="s">
        <v>737</v>
      </c>
      <c r="G15" s="7" t="str">
        <f t="shared" si="3"/>
        <v>text</v>
      </c>
      <c r="H15" s="26"/>
      <c r="I15" s="10" t="s">
        <v>127</v>
      </c>
      <c r="J15" s="11" t="s">
        <v>2539</v>
      </c>
      <c r="M15" s="4"/>
      <c r="N15" s="76"/>
      <c r="O15" s="76"/>
      <c r="P15" s="76" t="str">
        <f t="shared" si="4"/>
        <v>,prefecture_cd</v>
      </c>
      <c r="Q15" s="76" t="str">
        <f t="shared" si="0"/>
        <v>TEXT</v>
      </c>
      <c r="R15" s="76" t="str">
        <f t="shared" si="1"/>
        <v/>
      </c>
      <c r="S15" s="76" t="str">
        <f t="shared" si="5"/>
        <v>NOT NULL</v>
      </c>
      <c r="T15" s="76" t="str">
        <f t="shared" si="6"/>
        <v>-- 都道府県コード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milscm_2023_009.sny_202310_backup_mt2_iryouken2.prefecture_cd IS '都道府県コード';</v>
      </c>
    </row>
    <row r="16" spans="1:45" s="25" customFormat="1" ht="69.599999999999994">
      <c r="A16" s="4"/>
      <c r="B16" s="21">
        <f t="shared" si="2"/>
        <v>4</v>
      </c>
      <c r="C16" s="6" t="s">
        <v>1903</v>
      </c>
      <c r="D16" s="6" t="s">
        <v>1904</v>
      </c>
      <c r="E16" s="8" t="s">
        <v>127</v>
      </c>
      <c r="F16" s="7" t="s">
        <v>737</v>
      </c>
      <c r="G16" s="7" t="str">
        <f t="shared" si="3"/>
        <v>text</v>
      </c>
      <c r="H16" s="26"/>
      <c r="I16" s="10" t="s">
        <v>127</v>
      </c>
      <c r="J16" s="11" t="s">
        <v>2539</v>
      </c>
      <c r="M16" s="4"/>
      <c r="N16" s="76"/>
      <c r="O16" s="76"/>
      <c r="P16" s="76" t="str">
        <f t="shared" si="4"/>
        <v>,city_code</v>
      </c>
      <c r="Q16" s="76" t="str">
        <f t="shared" si="0"/>
        <v>TEXT</v>
      </c>
      <c r="R16" s="76" t="str">
        <f t="shared" si="1"/>
        <v/>
      </c>
      <c r="S16" s="76" t="str">
        <f t="shared" si="5"/>
        <v>NOT NULL</v>
      </c>
      <c r="T16" s="76" t="str">
        <f t="shared" si="6"/>
        <v>-- 市区町村コード</v>
      </c>
      <c r="U16" s="4"/>
      <c r="AA16" s="4"/>
      <c r="AB16" s="4"/>
      <c r="AC16" s="4"/>
      <c r="AD16" s="4"/>
      <c r="AE16" s="4"/>
      <c r="AF16" s="4"/>
      <c r="AG16" s="4"/>
      <c r="AH16" s="4"/>
      <c r="AI16" s="4"/>
      <c r="AJ16" s="76" t="str">
        <f>IF(E16="○",IF(COUNTA(E$13:E16)=1,"",",")&amp;D16,"")</f>
        <v>city_code</v>
      </c>
      <c r="AK16" s="4"/>
      <c r="AL16" s="4"/>
      <c r="AM16" s="4"/>
      <c r="AN16" s="4"/>
      <c r="AO16" s="4"/>
      <c r="AP16" s="4"/>
      <c r="AQ16" s="4"/>
      <c r="AR16" s="4"/>
      <c r="AS16" s="76" t="str">
        <f>"COMMENT ON COLUMN "&amp;エンティティ一覧!$O$2&amp;"."&amp;D$8&amp;"."&amp;D16&amp;" IS '"&amp;C16&amp;"';"</f>
        <v>COMMENT ON COLUMN milscm_2023_009.sny_202310_backup_mt2_iryouken2.city_code IS '市区町村コード';</v>
      </c>
    </row>
    <row r="17" spans="1:52" s="25" customFormat="1">
      <c r="A17" s="4"/>
      <c r="B17" s="21">
        <f t="shared" si="2"/>
        <v>5</v>
      </c>
      <c r="C17" s="6" t="s">
        <v>2511</v>
      </c>
      <c r="D17" s="6" t="s">
        <v>2512</v>
      </c>
      <c r="E17" s="8"/>
      <c r="F17" s="7" t="s">
        <v>737</v>
      </c>
      <c r="G17" s="7" t="str">
        <f t="shared" si="3"/>
        <v>text</v>
      </c>
      <c r="H17" s="26">
        <v>0</v>
      </c>
      <c r="I17" s="10" t="s">
        <v>127</v>
      </c>
      <c r="J17" s="11"/>
      <c r="M17" s="4"/>
      <c r="N17" s="76"/>
      <c r="O17" s="76"/>
      <c r="P17" s="76" t="str">
        <f t="shared" si="4"/>
        <v>,new_f</v>
      </c>
      <c r="Q17" s="76" t="str">
        <f t="shared" si="0"/>
        <v>TEXT</v>
      </c>
      <c r="R17" s="76" t="str">
        <f t="shared" si="1"/>
        <v>default '0'</v>
      </c>
      <c r="S17" s="76" t="str">
        <f t="shared" si="5"/>
        <v>NOT NULL</v>
      </c>
      <c r="T17" s="76" t="str">
        <f t="shared" si="6"/>
        <v>-- 最新フラグ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milscm_2023_009.sny_202310_backup_mt2_iryouken2.new_f IS '最新フラグ';</v>
      </c>
    </row>
    <row r="18" spans="1:52" s="25" customFormat="1">
      <c r="A18" s="4"/>
      <c r="B18" s="21">
        <f t="shared" si="2"/>
        <v>6</v>
      </c>
      <c r="C18" s="6" t="s">
        <v>2538</v>
      </c>
      <c r="D18" s="6" t="s">
        <v>1908</v>
      </c>
      <c r="E18" s="8"/>
      <c r="F18" s="7" t="s">
        <v>737</v>
      </c>
      <c r="G18" s="7" t="str">
        <f t="shared" ref="G18" si="7">IF(F18="フラグ","boolean",IF(F18="文字列","text",IF(F18="整数","integer",IF(F18="実数","numeric",""))))</f>
        <v>text</v>
      </c>
      <c r="H18" s="26">
        <v>0</v>
      </c>
      <c r="I18" s="10" t="s">
        <v>127</v>
      </c>
      <c r="J18" s="11"/>
      <c r="M18" s="4"/>
      <c r="N18" s="76"/>
      <c r="O18" s="76"/>
      <c r="P18" s="76" t="str">
        <f t="shared" ref="P18" si="8">IF(B18&lt;&gt;1,","&amp;D18,D18)</f>
        <v>,del_f</v>
      </c>
      <c r="Q18" s="76" t="str">
        <f t="shared" ref="Q18" si="9">UPPER(G18)</f>
        <v>TEXT</v>
      </c>
      <c r="R18" s="76" t="str">
        <f t="shared" ref="R18" si="10">IF(H18&lt;&gt;"","default "&amp;IF(G18="text","'"&amp;H18&amp;"'",H18),"")</f>
        <v>default '0'</v>
      </c>
      <c r="S18" s="76" t="str">
        <f t="shared" ref="S18" si="11">IF(I18="○","NOT NULL","")</f>
        <v>NOT NULL</v>
      </c>
      <c r="T18" s="76" t="str">
        <f t="shared" ref="T18" si="12">"-- "&amp;C18</f>
        <v>-- 削除フラグ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milscm_2023_009.sny_202310_backup_mt2_iryouken2.del_f IS '削除フラグ';</v>
      </c>
    </row>
    <row r="19" spans="1:52" s="25" customFormat="1" ht="34.799999999999997">
      <c r="A19" s="4"/>
      <c r="B19" s="21">
        <f t="shared" si="2"/>
        <v>7</v>
      </c>
      <c r="C19" s="6" t="s">
        <v>1971</v>
      </c>
      <c r="D19" s="6" t="s">
        <v>1910</v>
      </c>
      <c r="E19" s="8" t="s">
        <v>127</v>
      </c>
      <c r="F19" s="7" t="s">
        <v>737</v>
      </c>
      <c r="G19" s="7" t="str">
        <f t="shared" si="3"/>
        <v>text</v>
      </c>
      <c r="H19" s="26">
        <v>99999999</v>
      </c>
      <c r="I19" s="10" t="s">
        <v>127</v>
      </c>
      <c r="J19" s="11" t="s">
        <v>2540</v>
      </c>
      <c r="M19" s="4"/>
      <c r="N19" s="76"/>
      <c r="O19" s="76"/>
      <c r="P19" s="76" t="str">
        <f t="shared" si="4"/>
        <v>,henkou_ymd</v>
      </c>
      <c r="Q19" s="76" t="str">
        <f t="shared" si="0"/>
        <v>TEXT</v>
      </c>
      <c r="R19" s="76" t="str">
        <f t="shared" si="1"/>
        <v>default '99999999'</v>
      </c>
      <c r="S19" s="76" t="str">
        <f t="shared" si="5"/>
        <v>NOT NULL</v>
      </c>
      <c r="T19" s="76" t="str">
        <f t="shared" si="6"/>
        <v>-- 変更年月日</v>
      </c>
      <c r="U19" s="4"/>
      <c r="AA19" s="4"/>
      <c r="AB19" s="4"/>
      <c r="AC19" s="4"/>
      <c r="AD19" s="4"/>
      <c r="AE19" s="4"/>
      <c r="AF19" s="4"/>
      <c r="AG19" s="4"/>
      <c r="AH19" s="4"/>
      <c r="AI19" s="4"/>
      <c r="AJ19" s="76" t="str">
        <f>IF(E19="○",IF(COUNTA(E$13:E19)=1,"",",")&amp;D19,"")</f>
        <v>,henkou_ymd</v>
      </c>
      <c r="AK19" s="4"/>
      <c r="AL19" s="4"/>
      <c r="AM19" s="4"/>
      <c r="AN19" s="4"/>
      <c r="AO19" s="4"/>
      <c r="AP19" s="4"/>
      <c r="AQ19" s="4"/>
      <c r="AR19" s="4"/>
      <c r="AS19" s="76" t="str">
        <f>"COMMENT ON COLUMN "&amp;エンティティ一覧!$O$2&amp;"."&amp;D$8&amp;"."&amp;D19&amp;" IS '"&amp;C19&amp;"';"</f>
        <v>COMMENT ON COLUMN milscm_2023_009.sny_202310_backup_mt2_iryouken2.henkou_ymd IS '変更年月日';</v>
      </c>
    </row>
    <row r="20" spans="1:52" s="25" customFormat="1" ht="35.4" thickBot="1">
      <c r="A20" s="4"/>
      <c r="B20" s="27">
        <f>ROW()-12</f>
        <v>8</v>
      </c>
      <c r="C20" s="57" t="s">
        <v>1911</v>
      </c>
      <c r="D20" s="57" t="s">
        <v>1912</v>
      </c>
      <c r="E20" s="56" t="s">
        <v>127</v>
      </c>
      <c r="F20" s="56" t="s">
        <v>737</v>
      </c>
      <c r="G20" s="56" t="str">
        <f t="shared" si="3"/>
        <v>text</v>
      </c>
      <c r="H20" s="59">
        <v>99999999</v>
      </c>
      <c r="I20" s="60" t="s">
        <v>127</v>
      </c>
      <c r="J20" s="64" t="s">
        <v>2541</v>
      </c>
      <c r="N20" s="76"/>
      <c r="O20" s="76"/>
      <c r="P20" s="76" t="str">
        <f t="shared" si="4"/>
        <v>,del_ymd</v>
      </c>
      <c r="Q20" s="76" t="str">
        <f t="shared" si="0"/>
        <v>TEXT</v>
      </c>
      <c r="R20" s="76" t="str">
        <f t="shared" si="1"/>
        <v>default '99999999'</v>
      </c>
      <c r="S20" s="76" t="str">
        <f t="shared" si="5"/>
        <v>NOT NULL</v>
      </c>
      <c r="T20" s="76" t="str">
        <f t="shared" si="6"/>
        <v>-- 廃止年月日</v>
      </c>
      <c r="U20" s="4"/>
      <c r="AA20" s="4"/>
      <c r="AB20" s="4"/>
      <c r="AC20" s="4"/>
      <c r="AD20" s="4"/>
      <c r="AE20" s="4"/>
      <c r="AF20" s="4"/>
      <c r="AG20" s="4"/>
      <c r="AH20" s="4"/>
      <c r="AI20" s="4"/>
      <c r="AJ20" s="76" t="str">
        <f>IF(E20="○",IF(COUNTA(E$13:E20)=1,"",",")&amp;D20,"")</f>
        <v>,del_ymd</v>
      </c>
      <c r="AK20" s="4"/>
      <c r="AL20" s="4"/>
      <c r="AM20" s="4"/>
      <c r="AN20" s="4"/>
      <c r="AO20" s="4"/>
      <c r="AP20" s="4"/>
      <c r="AQ20" s="4"/>
      <c r="AR20" s="4"/>
      <c r="AS20" s="76" t="str">
        <f>"COMMENT ON COLUMN "&amp;エンティティ一覧!$O$2&amp;"."&amp;D$8&amp;"."&amp;D20&amp;" IS '"&amp;C20&amp;"';"</f>
        <v>COMMENT ON COLUMN milscm_2023_009.sny_202310_backup_mt2_iryouken2.del_ymd IS '廃止年月日';</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41" t="s">
        <v>110</v>
      </c>
      <c r="C1" s="242"/>
      <c r="D1" s="245" t="s">
        <v>111</v>
      </c>
      <c r="E1" s="246"/>
      <c r="F1" s="246"/>
      <c r="G1" s="237"/>
      <c r="H1" s="245" t="s">
        <v>112</v>
      </c>
      <c r="I1" s="237"/>
      <c r="J1" s="15" t="s">
        <v>113</v>
      </c>
    </row>
    <row r="2" spans="1:52" ht="18" thickBot="1">
      <c r="B2" s="243"/>
      <c r="C2" s="244"/>
      <c r="D2" s="247" t="s">
        <v>114</v>
      </c>
      <c r="E2" s="248"/>
      <c r="F2" s="248"/>
      <c r="G2" s="249"/>
      <c r="H2" s="250"/>
      <c r="I2" s="251"/>
      <c r="J2" s="17"/>
    </row>
    <row r="3" spans="1:52" ht="18" thickBot="1">
      <c r="B3" s="5"/>
      <c r="C3" s="5"/>
      <c r="D3" s="5"/>
      <c r="E3" s="5"/>
      <c r="F3" s="5"/>
      <c r="G3" s="5"/>
      <c r="H3" s="5"/>
      <c r="I3" s="5"/>
      <c r="J3" s="18"/>
    </row>
    <row r="4" spans="1:52">
      <c r="B4" s="236" t="s">
        <v>3705</v>
      </c>
      <c r="C4" s="237"/>
      <c r="D4" s="238" t="str">
        <f>VLOOKUP(D7,エンティティ一覧!A1:'エンティティ一覧'!AM10161,2,FALSE)</f>
        <v>01</v>
      </c>
      <c r="E4" s="239"/>
      <c r="F4" s="239"/>
      <c r="G4" s="239"/>
      <c r="H4" s="239"/>
      <c r="I4" s="239"/>
      <c r="J4" s="240"/>
    </row>
    <row r="5" spans="1:52">
      <c r="B5" s="223" t="s">
        <v>3706</v>
      </c>
      <c r="C5" s="224"/>
      <c r="D5" s="233" t="str">
        <f>VLOOKUP(D7,エンティティ一覧!A1:'エンティティ一覧'!AM10161,7,FALSE)</f>
        <v>backup</v>
      </c>
      <c r="E5" s="234"/>
      <c r="F5" s="234"/>
      <c r="G5" s="234"/>
      <c r="H5" s="234"/>
      <c r="I5" s="234"/>
      <c r="J5" s="235"/>
    </row>
    <row r="6" spans="1:52">
      <c r="B6" s="223" t="s">
        <v>3707</v>
      </c>
      <c r="C6" s="224"/>
      <c r="D6" s="233" t="str">
        <f>VLOOKUP(D7,エンティティ一覧!A1:'エンティティ一覧'!AM10161,15,FALSE)</f>
        <v>ENT_01_A4-05</v>
      </c>
      <c r="E6" s="234"/>
      <c r="F6" s="234"/>
      <c r="G6" s="234"/>
      <c r="H6" s="234"/>
      <c r="I6" s="234"/>
      <c r="J6" s="235"/>
    </row>
    <row r="7" spans="1:52">
      <c r="B7" s="223" t="s">
        <v>115</v>
      </c>
      <c r="C7" s="224"/>
      <c r="D7" s="225" t="s">
        <v>2542</v>
      </c>
      <c r="E7" s="226"/>
      <c r="F7" s="226"/>
      <c r="G7" s="226"/>
      <c r="H7" s="226"/>
      <c r="I7" s="226"/>
      <c r="J7" s="227"/>
    </row>
    <row r="8" spans="1:52">
      <c r="B8" s="223" t="s">
        <v>116</v>
      </c>
      <c r="C8" s="224"/>
      <c r="D8" s="225" t="str">
        <f>エンティティ一覧!AE2&amp;"_"&amp;D5&amp;"_mt2_old_new_shisetsu"</f>
        <v>sny_202310_backup_mt2_old_new_shisetsu</v>
      </c>
      <c r="E8" s="226"/>
      <c r="F8" s="226"/>
      <c r="G8" s="226"/>
      <c r="H8" s="226"/>
      <c r="I8" s="226"/>
      <c r="J8" s="227"/>
    </row>
    <row r="9" spans="1:52" ht="19.5" customHeight="1" thickBot="1">
      <c r="B9" s="228" t="s">
        <v>117</v>
      </c>
      <c r="C9" s="229"/>
      <c r="D9" s="230" t="str">
        <f>SUBSTITUTE(D7,"バックアップ_","")&amp;"テーブルから組入れ条件の第一条件で絞り込んだ結果を格納するテーブル"</f>
        <v>施設ID対応マスタテーブルから組入れ条件の第一条件で絞り込んだ結果を格納するテーブル</v>
      </c>
      <c r="E9" s="231"/>
      <c r="F9" s="231"/>
      <c r="G9" s="231"/>
      <c r="H9" s="231"/>
      <c r="I9" s="231"/>
      <c r="J9" s="232"/>
    </row>
    <row r="10" spans="1:52">
      <c r="B10" s="19"/>
      <c r="C10" s="19"/>
      <c r="D10" s="5"/>
      <c r="E10" s="5"/>
      <c r="F10" s="5"/>
      <c r="G10" s="5"/>
      <c r="H10" s="5"/>
      <c r="I10" s="5"/>
      <c r="J10" s="18"/>
      <c r="N10" s="76" t="str">
        <f>"--DROP TABLE  "&amp;エンティティ一覧!$O$2&amp;"."&amp;D$8&amp;";"</f>
        <v>--DROP TABLE  milscm_2023_009.sny_202310_backup_mt2_old_new_shisetsu;</v>
      </c>
      <c r="O10" s="76"/>
      <c r="P10" s="76"/>
      <c r="Q10" s="76"/>
      <c r="R10" s="76"/>
      <c r="S10" s="76"/>
      <c r="T10" s="76"/>
      <c r="AJ10" s="76" t="str">
        <f>"ALTER TABLE ONLY "&amp;エンティティ一覧!$O$2&amp;"."&amp;D$8</f>
        <v>ALTER TABLE ONLY milscm_2023_009.sny_202310_backup_mt2_old_new_shisetsu</v>
      </c>
      <c r="AS10" s="76" t="str">
        <f>"ALTER TABLE "&amp;エンティティ一覧!$O$2&amp;"."&amp;D$8&amp;" OWNER TO pgmisgrp1;"</f>
        <v>ALTER TABLE milscm_2023_009.sny_202310_backup_mt2_old_new_shisetsu OWNER TO pgmisgrp1;</v>
      </c>
    </row>
    <row r="11" spans="1:52" ht="18" thickBot="1">
      <c r="B11" s="20" t="s">
        <v>118</v>
      </c>
      <c r="C11" s="19"/>
      <c r="D11" s="5"/>
      <c r="E11" s="5"/>
      <c r="F11" s="5"/>
      <c r="G11" s="5"/>
      <c r="H11" s="5"/>
      <c r="I11" s="5"/>
      <c r="J11" s="18"/>
      <c r="N11" s="76" t="str">
        <f>"CREATE TABLE  "&amp;エンティティ一覧!$O$2&amp;"."&amp;D$8</f>
        <v>CREATE TABLE  milscm_2023_009.sny_202310_backup_mt2_old_new_shisetsu</v>
      </c>
      <c r="O11" s="76"/>
      <c r="P11" s="76"/>
      <c r="Q11" s="76"/>
      <c r="R11" s="76"/>
      <c r="S11" s="76"/>
      <c r="T11" s="76"/>
      <c r="AJ11" s="76" t="str">
        <f>"ADD CONSTRAINT "&amp;D$8&amp;"_pkey PRIMARY KEY"</f>
        <v>ADD CONSTRAINT sny_202310_backup_mt2_old_new_shisetsu_pkey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milscm_2023_009.sny_202310_backup_mt2_old_new_shisetsu IS 'バックアップ_施設ID対応マスタ';</v>
      </c>
    </row>
    <row r="13" spans="1:52" s="25" customFormat="1">
      <c r="A13" s="4"/>
      <c r="B13" s="21">
        <f>ROW()-12</f>
        <v>1</v>
      </c>
      <c r="C13" s="6" t="s">
        <v>2543</v>
      </c>
      <c r="D13" s="6" t="s">
        <v>2544</v>
      </c>
      <c r="E13" s="8" t="s">
        <v>127</v>
      </c>
      <c r="F13" s="8" t="s">
        <v>737</v>
      </c>
      <c r="G13" s="7" t="str">
        <f>IF(F13="フラグ","boolean",IF(F13="文字列","text",IF(F13="整数","integer",IF(F13="実数","numeric",""))))</f>
        <v>text</v>
      </c>
      <c r="H13" s="9"/>
      <c r="I13" s="10" t="s">
        <v>127</v>
      </c>
      <c r="J13" s="11"/>
      <c r="M13" s="4"/>
      <c r="N13" s="76"/>
      <c r="O13" s="76"/>
      <c r="P13" s="76" t="str">
        <f>IF(B13&lt;&gt;1,","&amp;D13,D13)</f>
        <v>old_facility_id</v>
      </c>
      <c r="Q13" s="76" t="str">
        <f t="shared" ref="Q13:Q15" si="0">UPPER(G13)</f>
        <v>TEXT</v>
      </c>
      <c r="R13" s="76" t="str">
        <f t="shared" ref="R13:R15" si="1">IF(H13&lt;&gt;"","default "&amp;IF(G13="text","'"&amp;H13&amp;"'",H13),"")</f>
        <v/>
      </c>
      <c r="S13" s="76" t="str">
        <f>IF(I13="○","NOT NULL","")</f>
        <v>NOT NULL</v>
      </c>
      <c r="T13" s="76" t="str">
        <f>"-- "&amp;C13</f>
        <v>-- 旧施設ID</v>
      </c>
      <c r="U13" s="4"/>
      <c r="AA13" s="4"/>
      <c r="AB13" s="4"/>
      <c r="AC13" s="4"/>
      <c r="AD13" s="4"/>
      <c r="AE13" s="4"/>
      <c r="AF13" s="4"/>
      <c r="AG13" s="4"/>
      <c r="AH13" s="4"/>
      <c r="AI13" s="4"/>
      <c r="AJ13" s="76" t="str">
        <f>IF(E13="○",IF(COUNTA(E$13:E13)=1,"",",")&amp;D13,"")</f>
        <v>old_facility_id</v>
      </c>
      <c r="AK13" s="4"/>
      <c r="AL13" s="4"/>
      <c r="AM13" s="4"/>
      <c r="AN13" s="4"/>
      <c r="AO13" s="4"/>
      <c r="AP13" s="4"/>
      <c r="AQ13" s="4"/>
      <c r="AR13" s="4"/>
      <c r="AS13" s="76" t="str">
        <f>"COMMENT ON COLUMN "&amp;エンティティ一覧!$O$2&amp;"."&amp;D$8&amp;"."&amp;D13&amp;" IS '"&amp;C13&amp;"';"</f>
        <v>COMMENT ON COLUMN milscm_2023_009.sny_202310_backup_mt2_old_new_shisetsu.old_facility_id IS '旧施設ID';</v>
      </c>
    </row>
    <row r="14" spans="1:52" s="25" customFormat="1">
      <c r="A14" s="4"/>
      <c r="B14" s="21">
        <f t="shared" ref="B14" si="2">ROW()-12</f>
        <v>2</v>
      </c>
      <c r="C14" s="6" t="s">
        <v>2545</v>
      </c>
      <c r="D14" s="6" t="s">
        <v>2546</v>
      </c>
      <c r="E14" s="8"/>
      <c r="F14" s="7" t="s">
        <v>737</v>
      </c>
      <c r="G14" s="7" t="str">
        <f t="shared" ref="G14:G15" si="3">IF(F14="フラグ","boolean",IF(F14="文字列","text",IF(F14="整数","integer",IF(F14="実数","numeric",""))))</f>
        <v>text</v>
      </c>
      <c r="H14" s="26"/>
      <c r="I14" s="10" t="s">
        <v>127</v>
      </c>
      <c r="J14" s="11"/>
      <c r="M14" s="4"/>
      <c r="N14" s="76"/>
      <c r="O14" s="76"/>
      <c r="P14" s="76" t="str">
        <f t="shared" ref="P14:P15" si="4">IF(B14&lt;&gt;1,","&amp;D14,D14)</f>
        <v>,new_facility_id</v>
      </c>
      <c r="Q14" s="76" t="str">
        <f t="shared" si="0"/>
        <v>TEXT</v>
      </c>
      <c r="R14" s="76" t="str">
        <f t="shared" si="1"/>
        <v/>
      </c>
      <c r="S14" s="76" t="str">
        <f t="shared" ref="S14:S15" si="5">IF(I14="○","NOT NULL","")</f>
        <v>NOT NULL</v>
      </c>
      <c r="T14" s="76" t="str">
        <f t="shared" ref="T14:T15" si="6">"-- "&amp;C14</f>
        <v>-- 新施設ID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milscm_2023_009.sny_202310_backup_mt2_old_new_shisetsu.new_facility_id IS '新施設ID';</v>
      </c>
    </row>
    <row r="15" spans="1:52" s="25" customFormat="1" ht="18" thickBot="1">
      <c r="A15" s="4"/>
      <c r="B15" s="27">
        <f>ROW()-12</f>
        <v>3</v>
      </c>
      <c r="C15" s="57" t="s">
        <v>2547</v>
      </c>
      <c r="D15" s="57" t="s">
        <v>1940</v>
      </c>
      <c r="E15" s="56"/>
      <c r="F15" s="56" t="s">
        <v>737</v>
      </c>
      <c r="G15" s="56" t="str">
        <f t="shared" si="3"/>
        <v>text</v>
      </c>
      <c r="H15" s="59">
        <v>99999999</v>
      </c>
      <c r="I15" s="60" t="s">
        <v>127</v>
      </c>
      <c r="J15" s="64" t="s">
        <v>1798</v>
      </c>
      <c r="N15" s="76"/>
      <c r="O15" s="76"/>
      <c r="P15" s="76" t="str">
        <f t="shared" si="4"/>
        <v>,start_ymd</v>
      </c>
      <c r="Q15" s="76" t="str">
        <f t="shared" si="0"/>
        <v>TEXT</v>
      </c>
      <c r="R15" s="76" t="str">
        <f t="shared" si="1"/>
        <v>default '99999999'</v>
      </c>
      <c r="S15" s="76" t="str">
        <f t="shared" si="5"/>
        <v>NOT NULL</v>
      </c>
      <c r="T15" s="76" t="str">
        <f t="shared" si="6"/>
        <v>-- 適用開始日</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milscm_2023_009.sny_202310_backup_mt2_old_new_shisetsu.start_ymd IS '適用開始日';</v>
      </c>
    </row>
    <row r="16" spans="1:52">
      <c r="L16" s="25"/>
      <c r="M16" s="25"/>
      <c r="N16" s="76" t="s">
        <v>142</v>
      </c>
      <c r="O16" s="76"/>
      <c r="P16" s="76"/>
      <c r="Q16" s="76"/>
      <c r="R16" s="76"/>
      <c r="S16" s="76"/>
      <c r="T16" s="76"/>
      <c r="V16" s="25"/>
      <c r="W16" s="25"/>
      <c r="X16" s="25"/>
      <c r="Y16" s="25"/>
      <c r="Z16" s="25"/>
      <c r="AJ16" s="76"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ENT_01_A4-07</v>
      </c>
      <c r="E6" s="234"/>
      <c r="F6" s="234"/>
      <c r="G6" s="234"/>
      <c r="H6" s="234"/>
      <c r="I6" s="234"/>
      <c r="J6" s="235"/>
    </row>
    <row r="7" spans="1:45">
      <c r="B7" s="223" t="s">
        <v>115</v>
      </c>
      <c r="C7" s="224"/>
      <c r="D7" s="225" t="s">
        <v>2550</v>
      </c>
      <c r="E7" s="226"/>
      <c r="F7" s="226"/>
      <c r="G7" s="226"/>
      <c r="H7" s="226"/>
      <c r="I7" s="226"/>
      <c r="J7" s="227"/>
    </row>
    <row r="8" spans="1:45">
      <c r="B8" s="223" t="s">
        <v>116</v>
      </c>
      <c r="C8" s="224"/>
      <c r="D8" s="225" t="str">
        <f>エンティティ一覧!AE2&amp;"_"&amp;D5&amp;"_mt2_iyakuhin_kanren"</f>
        <v>sny_202310_backup_mt2_iyakuhin_kanren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milscm_2023_009.sny_202310_backup_mt2_iyakuhin_kanren;</v>
      </c>
      <c r="O10" s="76"/>
      <c r="P10" s="76"/>
      <c r="Q10" s="76"/>
      <c r="R10" s="76"/>
      <c r="S10" s="76"/>
      <c r="T10" s="76"/>
      <c r="AJ10" s="76" t="str">
        <f>"ALTER TABLE ONLY "&amp;エンティティ一覧!$O$2&amp;"."&amp;D$8</f>
        <v>ALTER TABLE ONLY milscm_2023_009.sny_202310_backup_mt2_iyakuhin_kanren</v>
      </c>
      <c r="AS10" s="76" t="str">
        <f>"ALTER TABLE "&amp;エンティティ一覧!$O$2&amp;"."&amp;D$8&amp;" OWNER TO pgmisgrp1;"</f>
        <v>ALTER TABLE milscm_2023_009.sny_202310_backup_mt2_iyakuhin_kanren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milscm_2023_009.sny_202310_backup_mt2_iyakuhin_kanren</v>
      </c>
      <c r="O11" s="76"/>
      <c r="P11" s="76"/>
      <c r="Q11" s="76"/>
      <c r="R11" s="76"/>
      <c r="S11" s="76"/>
      <c r="T11" s="76"/>
      <c r="AJ11" s="76" t="str">
        <f>"ADD CONSTRAINT "&amp;D$8&amp;"_pkey PRIMARY KEY"</f>
        <v>ADD CONSTRAINT sny_202310_backup_mt2_iyakuhin_kanren_pkey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milscm_2023_009.sny_202310_backup_mt2_iyakuhin_kanren IS 'バックアップ_医薬品関連マスタ';</v>
      </c>
    </row>
    <row r="13" spans="1:45" s="25" customFormat="1">
      <c r="A13" s="4"/>
      <c r="B13" s="21">
        <f>ROW()-12</f>
        <v>1</v>
      </c>
      <c r="C13" s="6" t="s">
        <v>1161</v>
      </c>
      <c r="D13" s="6" t="s">
        <v>2551</v>
      </c>
      <c r="E13" s="8" t="s">
        <v>127</v>
      </c>
      <c r="F13" s="8" t="s">
        <v>737</v>
      </c>
      <c r="G13" s="7" t="str">
        <f>IF(F13="フラグ","boolean",IF(F13="文字列","text",IF(F13="整数","integer",IF(F13="実数","numeric",""))))</f>
        <v>text</v>
      </c>
      <c r="H13" s="9"/>
      <c r="I13" s="10" t="s">
        <v>127</v>
      </c>
      <c r="J13" s="11" t="s">
        <v>2591</v>
      </c>
      <c r="M13" s="4"/>
      <c r="N13" s="76"/>
      <c r="O13" s="76"/>
      <c r="P13" s="76" t="str">
        <f>IF(B13&lt;&gt;1,","&amp;D13,D13)</f>
        <v>iyakuhin_cd</v>
      </c>
      <c r="Q13" s="76" t="str">
        <f t="shared" ref="Q13:Q38" si="0">UPPER(G13)</f>
        <v>TEXT</v>
      </c>
      <c r="R13" s="76" t="str">
        <f t="shared" ref="R13:R38"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"&amp;エンティティ一覧!$O$2&amp;"."&amp;D$8&amp;"."&amp;D13&amp;" IS '"&amp;C13&amp;"';"</f>
        <v>COMMENT ON COLUMN milscm_2023_009.sny_202310_backup_mt2_iyakuhin_kanren.iyakuhin_cd IS '医薬品コード';</v>
      </c>
    </row>
    <row r="14" spans="1:45" s="25" customFormat="1">
      <c r="A14" s="4"/>
      <c r="B14" s="21">
        <f t="shared" ref="B14:B37" si="2">ROW()-12</f>
        <v>2</v>
      </c>
      <c r="C14" s="6" t="s">
        <v>2552</v>
      </c>
      <c r="D14" s="6" t="s">
        <v>2553</v>
      </c>
      <c r="E14" s="8"/>
      <c r="F14" s="7" t="s">
        <v>737</v>
      </c>
      <c r="G14" s="7" t="str">
        <f t="shared" ref="G14:G38" si="3">IF(F14="フラグ","boolean",IF(F14="文字列","text",IF(F14="整数","integer",IF(F14="実数","numeric",""))))</f>
        <v>text</v>
      </c>
      <c r="H14" s="26"/>
      <c r="I14" s="10" t="s">
        <v>127</v>
      </c>
      <c r="J14" s="11" t="s">
        <v>2592</v>
      </c>
      <c r="M14" s="4"/>
      <c r="N14" s="76"/>
      <c r="O14" s="76"/>
      <c r="P14" s="76" t="str">
        <f t="shared" ref="P14:P38" si="4">IF(B14&lt;&gt;1,","&amp;D14,D14)</f>
        <v>,iyakuhin_brand_cd</v>
      </c>
      <c r="Q14" s="76" t="str">
        <f t="shared" si="0"/>
        <v>TEXT</v>
      </c>
      <c r="R14" s="76" t="str">
        <f t="shared" si="1"/>
        <v/>
      </c>
      <c r="S14" s="76" t="str">
        <f t="shared" ref="S14:S38" si="5">IF(I14="○","NOT NULL","")</f>
        <v>NOT NULL</v>
      </c>
      <c r="T14" s="76" t="str">
        <f t="shared" ref="T14:T38" si="6">"-- "&amp;C14</f>
        <v>-- 医薬品ブランドコード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milscm_2023_009.sny_202310_backup_mt2_iyakuhin_kanren.iyakuhin_brand_cd IS '医薬品ブランドコード';</v>
      </c>
    </row>
    <row r="15" spans="1:45" s="25" customFormat="1" ht="30">
      <c r="A15" s="4"/>
      <c r="B15" s="21">
        <f t="shared" si="2"/>
        <v>3</v>
      </c>
      <c r="C15" s="6" t="s">
        <v>2554</v>
      </c>
      <c r="D15" s="6" t="s">
        <v>2555</v>
      </c>
      <c r="E15" s="8"/>
      <c r="F15" s="7" t="s">
        <v>737</v>
      </c>
      <c r="G15" s="7" t="str">
        <f t="shared" si="3"/>
        <v>text</v>
      </c>
      <c r="H15" s="26"/>
      <c r="I15" s="10" t="s">
        <v>127</v>
      </c>
      <c r="J15" s="11" t="s">
        <v>2592</v>
      </c>
      <c r="M15" s="4"/>
      <c r="N15" s="76"/>
      <c r="O15" s="76"/>
      <c r="P15" s="76" t="str">
        <f t="shared" si="4"/>
        <v>,iyakuhin_ippan_name_cd</v>
      </c>
      <c r="Q15" s="76" t="str">
        <f t="shared" si="0"/>
        <v>TEXT</v>
      </c>
      <c r="R15" s="76" t="str">
        <f t="shared" si="1"/>
        <v/>
      </c>
      <c r="S15" s="76" t="str">
        <f t="shared" si="5"/>
        <v>NOT NULL</v>
      </c>
      <c r="T15" s="76" t="str">
        <f t="shared" si="6"/>
        <v>-- 医薬品一般名コード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milscm_2023_009.sny_202310_backup_mt2_iyakuhin_kanren.iyakuhin_ippan_name_cd IS '医薬品一般名コード';</v>
      </c>
    </row>
    <row r="16" spans="1:45" s="25" customFormat="1">
      <c r="A16" s="4"/>
      <c r="B16" s="21">
        <f t="shared" si="2"/>
        <v>4</v>
      </c>
      <c r="C16" s="6" t="s">
        <v>2556</v>
      </c>
      <c r="D16" s="6" t="s">
        <v>2557</v>
      </c>
      <c r="E16" s="8"/>
      <c r="F16" s="7" t="s">
        <v>737</v>
      </c>
      <c r="G16" s="7" t="str">
        <f t="shared" si="3"/>
        <v>text</v>
      </c>
      <c r="H16" s="26"/>
      <c r="I16" s="10" t="s">
        <v>127</v>
      </c>
      <c r="J16" s="11" t="s">
        <v>2592</v>
      </c>
      <c r="M16" s="4"/>
      <c r="N16" s="76"/>
      <c r="O16" s="76"/>
      <c r="P16" s="76" t="str">
        <f t="shared" si="4"/>
        <v>,yakko_bunrui1_cd</v>
      </c>
      <c r="Q16" s="76" t="str">
        <f t="shared" si="0"/>
        <v>TEXT</v>
      </c>
      <c r="R16" s="76" t="str">
        <f t="shared" si="1"/>
        <v/>
      </c>
      <c r="S16" s="76" t="str">
        <f t="shared" si="5"/>
        <v>NOT NULL</v>
      </c>
      <c r="T16" s="76" t="str">
        <f t="shared" si="6"/>
        <v>-- 薬効分類1コード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milscm_2023_009.sny_202310_backup_mt2_iyakuhin_kanren.yakko_bunrui1_cd IS '薬効分類1コード';</v>
      </c>
    </row>
    <row r="17" spans="1:45" s="25" customFormat="1">
      <c r="A17" s="4"/>
      <c r="B17" s="21">
        <f t="shared" si="2"/>
        <v>5</v>
      </c>
      <c r="C17" s="6" t="s">
        <v>2558</v>
      </c>
      <c r="D17" s="6" t="s">
        <v>2559</v>
      </c>
      <c r="E17" s="8"/>
      <c r="F17" s="7" t="s">
        <v>737</v>
      </c>
      <c r="G17" s="7" t="str">
        <f t="shared" si="3"/>
        <v>text</v>
      </c>
      <c r="H17" s="26"/>
      <c r="I17" s="10" t="s">
        <v>127</v>
      </c>
      <c r="J17" s="11" t="s">
        <v>2592</v>
      </c>
      <c r="M17" s="4"/>
      <c r="N17" s="76"/>
      <c r="O17" s="76"/>
      <c r="P17" s="76" t="str">
        <f t="shared" si="4"/>
        <v>,yakko_bunrui2_cd</v>
      </c>
      <c r="Q17" s="76" t="str">
        <f t="shared" si="0"/>
        <v>TEXT</v>
      </c>
      <c r="R17" s="76" t="str">
        <f t="shared" si="1"/>
        <v/>
      </c>
      <c r="S17" s="76" t="str">
        <f t="shared" si="5"/>
        <v>NOT NULL</v>
      </c>
      <c r="T17" s="76" t="str">
        <f t="shared" si="6"/>
        <v>-- 薬効分類2コード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milscm_2023_009.sny_202310_backup_mt2_iyakuhin_kanren.yakko_bunrui2_cd IS '薬効分類2コード';</v>
      </c>
    </row>
    <row r="18" spans="1:45" s="25" customFormat="1">
      <c r="A18" s="4"/>
      <c r="B18" s="21">
        <f t="shared" si="2"/>
        <v>6</v>
      </c>
      <c r="C18" s="6" t="s">
        <v>2560</v>
      </c>
      <c r="D18" s="6" t="s">
        <v>2561</v>
      </c>
      <c r="E18" s="8"/>
      <c r="F18" s="7" t="s">
        <v>737</v>
      </c>
      <c r="G18" s="7" t="str">
        <f t="shared" si="3"/>
        <v>text</v>
      </c>
      <c r="H18" s="26"/>
      <c r="I18" s="10" t="s">
        <v>127</v>
      </c>
      <c r="J18" s="11" t="s">
        <v>2592</v>
      </c>
      <c r="M18" s="4"/>
      <c r="N18" s="76"/>
      <c r="O18" s="76"/>
      <c r="P18" s="76" t="str">
        <f t="shared" si="4"/>
        <v>,yakko_bunrui3_cd</v>
      </c>
      <c r="Q18" s="76" t="str">
        <f t="shared" si="0"/>
        <v>TEXT</v>
      </c>
      <c r="R18" s="76" t="str">
        <f t="shared" si="1"/>
        <v/>
      </c>
      <c r="S18" s="76" t="str">
        <f t="shared" si="5"/>
        <v>NOT NULL</v>
      </c>
      <c r="T18" s="76" t="str">
        <f t="shared" si="6"/>
        <v>-- 薬効分類3コード</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milscm_2023_009.sny_202310_backup_mt2_iyakuhin_kanren.yakko_bunrui3_cd IS '薬効分類3コード';</v>
      </c>
    </row>
    <row r="19" spans="1:45" s="25" customFormat="1">
      <c r="A19" s="4"/>
      <c r="B19" s="21">
        <f t="shared" si="2"/>
        <v>7</v>
      </c>
      <c r="C19" s="6" t="s">
        <v>2562</v>
      </c>
      <c r="D19" s="6" t="s">
        <v>2563</v>
      </c>
      <c r="E19" s="8"/>
      <c r="F19" s="7" t="s">
        <v>737</v>
      </c>
      <c r="G19" s="7" t="str">
        <f t="shared" si="3"/>
        <v>text</v>
      </c>
      <c r="H19" s="26"/>
      <c r="I19" s="10" t="s">
        <v>127</v>
      </c>
      <c r="J19" s="11" t="s">
        <v>2592</v>
      </c>
      <c r="M19" s="4"/>
      <c r="N19" s="76"/>
      <c r="O19" s="76"/>
      <c r="P19" s="76" t="str">
        <f t="shared" si="4"/>
        <v>,yakko_bunrui4_cd</v>
      </c>
      <c r="Q19" s="76" t="str">
        <f t="shared" si="0"/>
        <v>TEXT</v>
      </c>
      <c r="R19" s="76" t="str">
        <f t="shared" si="1"/>
        <v/>
      </c>
      <c r="S19" s="76" t="str">
        <f t="shared" si="5"/>
        <v>NOT NULL</v>
      </c>
      <c r="T19" s="76" t="str">
        <f t="shared" si="6"/>
        <v>-- 薬効分類4コード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milscm_2023_009.sny_202310_backup_mt2_iyakuhin_kanren.yakko_bunrui4_cd IS '薬効分類4コード';</v>
      </c>
    </row>
    <row r="20" spans="1:45" s="25" customFormat="1">
      <c r="A20" s="4"/>
      <c r="B20" s="21">
        <f t="shared" si="2"/>
        <v>8</v>
      </c>
      <c r="C20" s="6" t="s">
        <v>2564</v>
      </c>
      <c r="D20" s="6" t="s">
        <v>2565</v>
      </c>
      <c r="E20" s="8"/>
      <c r="F20" s="7" t="s">
        <v>737</v>
      </c>
      <c r="G20" s="7" t="str">
        <f t="shared" si="3"/>
        <v>text</v>
      </c>
      <c r="H20" s="26"/>
      <c r="I20" s="10" t="s">
        <v>127</v>
      </c>
      <c r="J20" s="11" t="s">
        <v>2592</v>
      </c>
      <c r="M20" s="4"/>
      <c r="N20" s="76"/>
      <c r="O20" s="76"/>
      <c r="P20" s="76" t="str">
        <f t="shared" si="4"/>
        <v>,yakko_bunrui5_cd</v>
      </c>
      <c r="Q20" s="76" t="str">
        <f t="shared" si="0"/>
        <v>TEXT</v>
      </c>
      <c r="R20" s="76" t="str">
        <f t="shared" si="1"/>
        <v/>
      </c>
      <c r="S20" s="76" t="str">
        <f t="shared" si="5"/>
        <v>NOT NULL</v>
      </c>
      <c r="T20" s="76" t="str">
        <f t="shared" si="6"/>
        <v>-- 薬効分類5コード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milscm_2023_009.sny_202310_backup_mt2_iyakuhin_kanren.yakko_bunrui5_cd IS '薬効分類5コード';</v>
      </c>
    </row>
    <row r="21" spans="1:45" s="25" customFormat="1">
      <c r="A21" s="4"/>
      <c r="B21" s="21">
        <f t="shared" si="2"/>
        <v>9</v>
      </c>
      <c r="C21" s="6" t="s">
        <v>2566</v>
      </c>
      <c r="D21" s="6" t="s">
        <v>2567</v>
      </c>
      <c r="E21" s="8"/>
      <c r="F21" s="7" t="s">
        <v>737</v>
      </c>
      <c r="G21" s="7" t="str">
        <f t="shared" si="3"/>
        <v>text</v>
      </c>
      <c r="H21" s="26"/>
      <c r="I21" s="10"/>
      <c r="J21" s="11" t="s">
        <v>2592</v>
      </c>
      <c r="M21" s="4"/>
      <c r="N21" s="76"/>
      <c r="O21" s="76"/>
      <c r="P21" s="76" t="str">
        <f t="shared" si="4"/>
        <v>,seizo_maker_cd</v>
      </c>
      <c r="Q21" s="76" t="str">
        <f t="shared" si="0"/>
        <v>TEXT</v>
      </c>
      <c r="R21" s="76" t="str">
        <f t="shared" si="1"/>
        <v/>
      </c>
      <c r="S21" s="76" t="str">
        <f t="shared" si="5"/>
        <v/>
      </c>
      <c r="T21" s="76" t="str">
        <f t="shared" si="6"/>
        <v>-- 製造メーカコード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milscm_2023_009.sny_202310_backup_mt2_iyakuhin_kanren.seizo_maker_cd IS '製造メーカコード';</v>
      </c>
    </row>
    <row r="22" spans="1:45" s="25" customFormat="1">
      <c r="A22" s="4"/>
      <c r="B22" s="21">
        <f t="shared" si="2"/>
        <v>10</v>
      </c>
      <c r="C22" s="6" t="s">
        <v>2568</v>
      </c>
      <c r="D22" s="6" t="s">
        <v>2569</v>
      </c>
      <c r="E22" s="8"/>
      <c r="F22" s="7" t="s">
        <v>737</v>
      </c>
      <c r="G22" s="7" t="str">
        <f t="shared" si="3"/>
        <v>text</v>
      </c>
      <c r="H22" s="26"/>
      <c r="I22" s="10" t="s">
        <v>127</v>
      </c>
      <c r="J22" s="11" t="s">
        <v>2592</v>
      </c>
      <c r="M22" s="4"/>
      <c r="N22" s="76"/>
      <c r="O22" s="76"/>
      <c r="P22" s="76" t="str">
        <f t="shared" si="4"/>
        <v>,iyakuhin_jpn_name</v>
      </c>
      <c r="Q22" s="76" t="str">
        <f t="shared" si="0"/>
        <v>TEXT</v>
      </c>
      <c r="R22" s="76" t="str">
        <f t="shared" si="1"/>
        <v/>
      </c>
      <c r="S22" s="76" t="str">
        <f t="shared" si="5"/>
        <v>NOT NULL</v>
      </c>
      <c r="T22" s="76" t="str">
        <f t="shared" si="6"/>
        <v>-- 医薬品日本語名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milscm_2023_009.sny_202310_backup_mt2_iyakuhin_kanren.iyakuhin_jpn_name IS '医薬品日本語名';</v>
      </c>
    </row>
    <row r="23" spans="1:45" s="25" customFormat="1" ht="30">
      <c r="A23" s="4"/>
      <c r="B23" s="21">
        <f t="shared" si="2"/>
        <v>11</v>
      </c>
      <c r="C23" s="6" t="s">
        <v>2570</v>
      </c>
      <c r="D23" s="6" t="s">
        <v>2571</v>
      </c>
      <c r="E23" s="8"/>
      <c r="F23" s="7" t="s">
        <v>737</v>
      </c>
      <c r="G23" s="7" t="str">
        <f t="shared" si="3"/>
        <v>text</v>
      </c>
      <c r="H23" s="26"/>
      <c r="I23" s="10" t="s">
        <v>127</v>
      </c>
      <c r="J23" s="11" t="s">
        <v>2593</v>
      </c>
      <c r="M23" s="4"/>
      <c r="N23" s="76"/>
      <c r="O23" s="76"/>
      <c r="P23" s="76" t="str">
        <f t="shared" si="4"/>
        <v>,iyakuhin_brand_jpn_name</v>
      </c>
      <c r="Q23" s="76" t="str">
        <f t="shared" si="0"/>
        <v>TEXT</v>
      </c>
      <c r="R23" s="76" t="str">
        <f t="shared" si="1"/>
        <v/>
      </c>
      <c r="S23" s="76" t="str">
        <f t="shared" si="5"/>
        <v>NOT NULL</v>
      </c>
      <c r="T23" s="76" t="str">
        <f t="shared" si="6"/>
        <v>-- 医薬品ブランド名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milscm_2023_009.sny_202310_backup_mt2_iyakuhin_kanren.iyakuhin_brand_jpn_name IS '医薬品ブランド名';</v>
      </c>
    </row>
    <row r="24" spans="1:45" s="25" customFormat="1">
      <c r="A24" s="4"/>
      <c r="B24" s="21">
        <f t="shared" si="2"/>
        <v>12</v>
      </c>
      <c r="C24" s="6" t="s">
        <v>2572</v>
      </c>
      <c r="D24" s="6" t="s">
        <v>2116</v>
      </c>
      <c r="E24" s="8"/>
      <c r="F24" s="7" t="s">
        <v>737</v>
      </c>
      <c r="G24" s="7" t="str">
        <f t="shared" si="3"/>
        <v>text</v>
      </c>
      <c r="H24" s="26"/>
      <c r="I24" s="10" t="s">
        <v>127</v>
      </c>
      <c r="J24" s="11" t="s">
        <v>2594</v>
      </c>
      <c r="M24" s="4"/>
      <c r="N24" s="76"/>
      <c r="O24" s="76"/>
      <c r="P24" s="76" t="str">
        <f t="shared" si="4"/>
        <v>,iyakuhin_ippan_name</v>
      </c>
      <c r="Q24" s="76" t="str">
        <f t="shared" si="0"/>
        <v>TEXT</v>
      </c>
      <c r="R24" s="76" t="str">
        <f t="shared" si="1"/>
        <v/>
      </c>
      <c r="S24" s="76" t="str">
        <f t="shared" si="5"/>
        <v>NOT NULL</v>
      </c>
      <c r="T24" s="76" t="str">
        <f t="shared" si="6"/>
        <v>-- 医薬品一般名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milscm_2023_009.sny_202310_backup_mt2_iyakuhin_kanren.iyakuhin_ippan_name IS '医薬品一般名';</v>
      </c>
    </row>
    <row r="25" spans="1:45" s="25" customFormat="1">
      <c r="A25" s="4"/>
      <c r="B25" s="21">
        <f t="shared" si="2"/>
        <v>13</v>
      </c>
      <c r="C25" s="6" t="s">
        <v>2573</v>
      </c>
      <c r="D25" s="6" t="s">
        <v>2118</v>
      </c>
      <c r="E25" s="8"/>
      <c r="F25" s="7" t="s">
        <v>737</v>
      </c>
      <c r="G25" s="7" t="str">
        <f t="shared" si="3"/>
        <v>text</v>
      </c>
      <c r="H25" s="26"/>
      <c r="I25" s="10" t="s">
        <v>127</v>
      </c>
      <c r="J25" s="11" t="s">
        <v>2595</v>
      </c>
      <c r="M25" s="4"/>
      <c r="N25" s="76"/>
      <c r="O25" s="76"/>
      <c r="P25" s="76" t="str">
        <f t="shared" si="4"/>
        <v>,iyakuhin_name</v>
      </c>
      <c r="Q25" s="76" t="str">
        <f t="shared" si="0"/>
        <v>TEXT</v>
      </c>
      <c r="R25" s="76" t="str">
        <f t="shared" si="1"/>
        <v/>
      </c>
      <c r="S25" s="76" t="str">
        <f t="shared" si="5"/>
        <v>NOT NULL</v>
      </c>
      <c r="T25" s="76" t="str">
        <f t="shared" si="6"/>
        <v>-- 医薬品一般名英名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milscm_2023_009.sny_202310_backup_mt2_iyakuhin_kanren.iyakuhin_name IS '医薬品一般名英名';</v>
      </c>
    </row>
    <row r="26" spans="1:45" s="25" customFormat="1" ht="30">
      <c r="A26" s="4"/>
      <c r="B26" s="21">
        <f t="shared" si="2"/>
        <v>14</v>
      </c>
      <c r="C26" s="6" t="s">
        <v>2574</v>
      </c>
      <c r="D26" s="6" t="s">
        <v>2575</v>
      </c>
      <c r="E26" s="8"/>
      <c r="F26" s="7" t="s">
        <v>737</v>
      </c>
      <c r="G26" s="7" t="str">
        <f t="shared" si="3"/>
        <v>text</v>
      </c>
      <c r="H26" s="26"/>
      <c r="I26" s="10" t="s">
        <v>127</v>
      </c>
      <c r="J26" s="11" t="s">
        <v>2596</v>
      </c>
      <c r="M26" s="4"/>
      <c r="N26" s="76"/>
      <c r="O26" s="76"/>
      <c r="P26" s="76" t="str">
        <f t="shared" si="4"/>
        <v>,yakko_bunrui1_jpn_name</v>
      </c>
      <c r="Q26" s="76" t="str">
        <f t="shared" si="0"/>
        <v>TEXT</v>
      </c>
      <c r="R26" s="76" t="str">
        <f t="shared" si="1"/>
        <v/>
      </c>
      <c r="S26" s="76" t="str">
        <f t="shared" si="5"/>
        <v>NOT NULL</v>
      </c>
      <c r="T26" s="76" t="str">
        <f t="shared" si="6"/>
        <v>-- 薬効分類1名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milscm_2023_009.sny_202310_backup_mt2_iyakuhin_kanren.yakko_bunrui1_jpn_name IS '薬効分類1名';</v>
      </c>
    </row>
    <row r="27" spans="1:45" s="25" customFormat="1" ht="30">
      <c r="A27" s="4"/>
      <c r="B27" s="21">
        <f t="shared" si="2"/>
        <v>15</v>
      </c>
      <c r="C27" s="6" t="s">
        <v>2576</v>
      </c>
      <c r="D27" s="6" t="s">
        <v>2577</v>
      </c>
      <c r="E27" s="8"/>
      <c r="F27" s="7" t="s">
        <v>737</v>
      </c>
      <c r="G27" s="7" t="str">
        <f t="shared" si="3"/>
        <v>text</v>
      </c>
      <c r="H27" s="26"/>
      <c r="I27" s="10" t="s">
        <v>127</v>
      </c>
      <c r="J27" s="11" t="s">
        <v>2597</v>
      </c>
      <c r="M27" s="4"/>
      <c r="N27" s="76"/>
      <c r="O27" s="76"/>
      <c r="P27" s="76" t="str">
        <f t="shared" si="4"/>
        <v>,yakko_bunrui2_jpn_name</v>
      </c>
      <c r="Q27" s="76" t="str">
        <f t="shared" si="0"/>
        <v>TEXT</v>
      </c>
      <c r="R27" s="76" t="str">
        <f t="shared" si="1"/>
        <v/>
      </c>
      <c r="S27" s="76" t="str">
        <f t="shared" si="5"/>
        <v>NOT NULL</v>
      </c>
      <c r="T27" s="76" t="str">
        <f t="shared" si="6"/>
        <v>-- 薬効分類2名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milscm_2023_009.sny_202310_backup_mt2_iyakuhin_kanren.yakko_bunrui2_jpn_name IS '薬効分類2名';</v>
      </c>
    </row>
    <row r="28" spans="1:45" s="25" customFormat="1" ht="30">
      <c r="A28" s="4"/>
      <c r="B28" s="21">
        <f t="shared" si="2"/>
        <v>16</v>
      </c>
      <c r="C28" s="6" t="s">
        <v>2578</v>
      </c>
      <c r="D28" s="6" t="s">
        <v>2579</v>
      </c>
      <c r="E28" s="8"/>
      <c r="F28" s="7" t="s">
        <v>737</v>
      </c>
      <c r="G28" s="7" t="str">
        <f t="shared" ref="G28:G36" si="7">IF(F28="フラグ","boolean",IF(F28="文字列","text",IF(F28="整数","integer",IF(F28="実数","numeric",""))))</f>
        <v>text</v>
      </c>
      <c r="H28" s="26"/>
      <c r="I28" s="10" t="s">
        <v>127</v>
      </c>
      <c r="J28" s="11" t="s">
        <v>2598</v>
      </c>
      <c r="M28" s="4"/>
      <c r="N28" s="76"/>
      <c r="O28" s="76"/>
      <c r="P28" s="76" t="str">
        <f t="shared" ref="P28:P36" si="8">IF(B28&lt;&gt;1,","&amp;D28,D28)</f>
        <v>,yakko_bunrui3_jpn_name</v>
      </c>
      <c r="Q28" s="76" t="str">
        <f t="shared" ref="Q28:Q36" si="9">UPPER(G28)</f>
        <v>TEXT</v>
      </c>
      <c r="R28" s="76" t="str">
        <f t="shared" ref="R28:R36" si="10">IF(H28&lt;&gt;"","default "&amp;IF(G28="text","'"&amp;H28&amp;"'",H28),"")</f>
        <v/>
      </c>
      <c r="S28" s="76" t="str">
        <f t="shared" ref="S28:S36" si="11">IF(I28="○","NOT NULL","")</f>
        <v>NOT NULL</v>
      </c>
      <c r="T28" s="76" t="str">
        <f t="shared" ref="T28:T36" si="12">"-- "&amp;C28</f>
        <v>-- 薬効分類3名</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milscm_2023_009.sny_202310_backup_mt2_iyakuhin_kanren.yakko_bunrui3_jpn_name IS '薬効分類3名';</v>
      </c>
    </row>
    <row r="29" spans="1:45" s="25" customFormat="1" ht="30">
      <c r="A29" s="4"/>
      <c r="B29" s="21">
        <f t="shared" si="2"/>
        <v>17</v>
      </c>
      <c r="C29" s="6" t="s">
        <v>2580</v>
      </c>
      <c r="D29" s="6" t="s">
        <v>2581</v>
      </c>
      <c r="E29" s="8"/>
      <c r="F29" s="7" t="s">
        <v>737</v>
      </c>
      <c r="G29" s="7" t="str">
        <f t="shared" si="7"/>
        <v>text</v>
      </c>
      <c r="H29" s="26"/>
      <c r="I29" s="10" t="s">
        <v>127</v>
      </c>
      <c r="J29" s="11" t="s">
        <v>2599</v>
      </c>
      <c r="M29" s="4"/>
      <c r="N29" s="76"/>
      <c r="O29" s="76"/>
      <c r="P29" s="76" t="str">
        <f t="shared" si="8"/>
        <v>,yakko_bunrui4_jpn_name</v>
      </c>
      <c r="Q29" s="76" t="str">
        <f t="shared" si="9"/>
        <v>TEXT</v>
      </c>
      <c r="R29" s="76" t="str">
        <f t="shared" si="10"/>
        <v/>
      </c>
      <c r="S29" s="76" t="str">
        <f t="shared" si="11"/>
        <v>NOT NULL</v>
      </c>
      <c r="T29" s="76" t="str">
        <f t="shared" si="12"/>
        <v>-- 薬効分類4名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milscm_2023_009.sny_202310_backup_mt2_iyakuhin_kanren.yakko_bunrui4_jpn_name IS '薬効分類4名';</v>
      </c>
    </row>
    <row r="30" spans="1:45" s="25" customFormat="1" ht="30">
      <c r="A30" s="4"/>
      <c r="B30" s="21">
        <f t="shared" si="2"/>
        <v>18</v>
      </c>
      <c r="C30" s="6" t="s">
        <v>2582</v>
      </c>
      <c r="D30" s="6" t="s">
        <v>2583</v>
      </c>
      <c r="E30" s="8"/>
      <c r="F30" s="7" t="s">
        <v>737</v>
      </c>
      <c r="G30" s="7" t="str">
        <f t="shared" si="7"/>
        <v>text</v>
      </c>
      <c r="H30" s="26"/>
      <c r="I30" s="10" t="s">
        <v>127</v>
      </c>
      <c r="J30" s="11" t="s">
        <v>2600</v>
      </c>
      <c r="M30" s="4"/>
      <c r="N30" s="76"/>
      <c r="O30" s="76"/>
      <c r="P30" s="76" t="str">
        <f t="shared" si="8"/>
        <v>,yakko_bunrui5_jpn_name</v>
      </c>
      <c r="Q30" s="76" t="str">
        <f t="shared" si="9"/>
        <v>TEXT</v>
      </c>
      <c r="R30" s="76" t="str">
        <f t="shared" si="10"/>
        <v/>
      </c>
      <c r="S30" s="76" t="str">
        <f t="shared" si="11"/>
        <v>NOT NULL</v>
      </c>
      <c r="T30" s="76" t="str">
        <f t="shared" si="12"/>
        <v>-- 薬効分類5名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milscm_2023_009.sny_202310_backup_mt2_iyakuhin_kanren.yakko_bunrui5_jpn_name IS '薬効分類5名';</v>
      </c>
    </row>
    <row r="31" spans="1:45" s="25" customFormat="1">
      <c r="A31" s="4"/>
      <c r="B31" s="21">
        <f t="shared" si="2"/>
        <v>19</v>
      </c>
      <c r="C31" s="6" t="s">
        <v>2584</v>
      </c>
      <c r="D31" s="6" t="s">
        <v>2585</v>
      </c>
      <c r="E31" s="8"/>
      <c r="F31" s="7" t="s">
        <v>737</v>
      </c>
      <c r="G31" s="7" t="str">
        <f t="shared" si="7"/>
        <v>text</v>
      </c>
      <c r="H31" s="26"/>
      <c r="I31" s="10"/>
      <c r="J31" s="11" t="s">
        <v>2601</v>
      </c>
      <c r="M31" s="4"/>
      <c r="N31" s="76"/>
      <c r="O31" s="76"/>
      <c r="P31" s="76" t="str">
        <f t="shared" si="8"/>
        <v>,seizo_maker_name</v>
      </c>
      <c r="Q31" s="76" t="str">
        <f t="shared" si="9"/>
        <v>TEXT</v>
      </c>
      <c r="R31" s="76" t="str">
        <f t="shared" si="10"/>
        <v/>
      </c>
      <c r="S31" s="76" t="str">
        <f t="shared" si="11"/>
        <v/>
      </c>
      <c r="T31" s="76" t="str">
        <f t="shared" si="12"/>
        <v>-- 製造メーカ名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milscm_2023_009.sny_202310_backup_mt2_iyakuhin_kanren.seizo_maker_name IS '製造メーカ名';</v>
      </c>
    </row>
    <row r="32" spans="1:45" s="25" customFormat="1">
      <c r="A32" s="4"/>
      <c r="B32" s="21">
        <f t="shared" si="2"/>
        <v>20</v>
      </c>
      <c r="C32" s="6" t="s">
        <v>2586</v>
      </c>
      <c r="D32" s="6" t="s">
        <v>2587</v>
      </c>
      <c r="E32" s="8"/>
      <c r="F32" s="7" t="s">
        <v>737</v>
      </c>
      <c r="G32" s="7" t="str">
        <f t="shared" si="7"/>
        <v>text</v>
      </c>
      <c r="H32" s="26">
        <v>0</v>
      </c>
      <c r="I32" s="10" t="s">
        <v>127</v>
      </c>
      <c r="J32" s="11" t="s">
        <v>2592</v>
      </c>
      <c r="M32" s="4"/>
      <c r="N32" s="76"/>
      <c r="O32" s="76"/>
      <c r="P32" s="76" t="str">
        <f t="shared" si="8"/>
        <v>,kohatsuhin_f</v>
      </c>
      <c r="Q32" s="76" t="str">
        <f t="shared" si="9"/>
        <v>TEXT</v>
      </c>
      <c r="R32" s="76" t="str">
        <f t="shared" si="10"/>
        <v>default '0'</v>
      </c>
      <c r="S32" s="76" t="str">
        <f t="shared" si="11"/>
        <v>NOT NULL</v>
      </c>
      <c r="T32" s="76" t="str">
        <f t="shared" si="12"/>
        <v>-- 後発品フラグ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milscm_2023_009.sny_202310_backup_mt2_iyakuhin_kanren.kohatsuhin_f IS '後発品フラグ';</v>
      </c>
    </row>
    <row r="33" spans="1:52" s="25" customFormat="1">
      <c r="A33" s="4"/>
      <c r="B33" s="21">
        <f t="shared" si="2"/>
        <v>21</v>
      </c>
      <c r="C33" s="6" t="s">
        <v>2588</v>
      </c>
      <c r="D33" s="6" t="s">
        <v>2589</v>
      </c>
      <c r="E33" s="8"/>
      <c r="F33" s="7" t="s">
        <v>737</v>
      </c>
      <c r="G33" s="7" t="str">
        <f t="shared" si="7"/>
        <v>text</v>
      </c>
      <c r="H33" s="26"/>
      <c r="I33" s="10" t="s">
        <v>127</v>
      </c>
      <c r="J33" s="11" t="s">
        <v>2592</v>
      </c>
      <c r="M33" s="4"/>
      <c r="N33" s="76"/>
      <c r="O33" s="76"/>
      <c r="P33" s="76" t="str">
        <f t="shared" si="8"/>
        <v>,toyo_keiro_kubun</v>
      </c>
      <c r="Q33" s="76" t="str">
        <f t="shared" si="9"/>
        <v>TEXT</v>
      </c>
      <c r="R33" s="76" t="str">
        <f t="shared" si="10"/>
        <v/>
      </c>
      <c r="S33" s="76" t="str">
        <f t="shared" si="11"/>
        <v>NOT NULL</v>
      </c>
      <c r="T33" s="76" t="str">
        <f t="shared" si="12"/>
        <v>-- 投与経路区分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milscm_2023_009.sny_202310_backup_mt2_iyakuhin_kanren.toyo_keiro_kubun IS '投与経路区分';</v>
      </c>
    </row>
    <row r="34" spans="1:52" s="25" customFormat="1" ht="52.2">
      <c r="A34" s="4"/>
      <c r="B34" s="21">
        <f t="shared" si="2"/>
        <v>22</v>
      </c>
      <c r="C34" s="6" t="s">
        <v>1917</v>
      </c>
      <c r="D34" s="6" t="s">
        <v>2590</v>
      </c>
      <c r="E34" s="8" t="s">
        <v>127</v>
      </c>
      <c r="F34" s="7" t="s">
        <v>737</v>
      </c>
      <c r="G34" s="7" t="str">
        <f t="shared" si="7"/>
        <v>text</v>
      </c>
      <c r="H34" s="26" t="s">
        <v>1924</v>
      </c>
      <c r="I34" s="10" t="s">
        <v>127</v>
      </c>
      <c r="J34" s="11" t="s">
        <v>2602</v>
      </c>
      <c r="M34" s="4"/>
      <c r="N34" s="76"/>
      <c r="O34" s="76"/>
      <c r="P34" s="76" t="str">
        <f t="shared" si="8"/>
        <v>,yakkasyusai_ymd</v>
      </c>
      <c r="Q34" s="76" t="str">
        <f t="shared" si="9"/>
        <v>TEXT</v>
      </c>
      <c r="R34" s="76" t="str">
        <f t="shared" si="10"/>
        <v>default '99999999'</v>
      </c>
      <c r="S34" s="76" t="str">
        <f t="shared" si="11"/>
        <v>NOT NULL</v>
      </c>
      <c r="T34" s="76" t="str">
        <f t="shared" si="12"/>
        <v>-- 施行年月日</v>
      </c>
      <c r="U34" s="4"/>
      <c r="AA34" s="4"/>
      <c r="AB34" s="4"/>
      <c r="AC34" s="4"/>
      <c r="AD34" s="4"/>
      <c r="AE34" s="4"/>
      <c r="AF34" s="4"/>
      <c r="AG34" s="4"/>
      <c r="AH34" s="4"/>
      <c r="AI34" s="4"/>
      <c r="AJ34" s="76" t="str">
        <f>IF(E34="○",IF(COUNTA(E$13:E34)=1,"",",")&amp;D34,"")</f>
        <v>,yakkasyusai_ymd</v>
      </c>
      <c r="AK34" s="4"/>
      <c r="AL34" s="4"/>
      <c r="AM34" s="4"/>
      <c r="AN34" s="4"/>
      <c r="AO34" s="4"/>
      <c r="AP34" s="4"/>
      <c r="AQ34" s="4"/>
      <c r="AR34" s="4"/>
      <c r="AS34" s="76" t="str">
        <f>"COMMENT ON COLUMN "&amp;エンティティ一覧!$O$2&amp;"."&amp;D$8&amp;"."&amp;D34&amp;" IS '"&amp;C34&amp;"';"</f>
        <v>COMMENT ON COLUMN milscm_2023_009.sny_202310_backup_mt2_iyakuhin_kanren.yakkasyusai_ymd IS '施行年月日';</v>
      </c>
    </row>
    <row r="35" spans="1:52" s="25" customFormat="1">
      <c r="A35" s="4"/>
      <c r="B35" s="21">
        <f t="shared" si="2"/>
        <v>23</v>
      </c>
      <c r="C35" s="6" t="s">
        <v>2511</v>
      </c>
      <c r="D35" s="6" t="s">
        <v>2512</v>
      </c>
      <c r="E35" s="8"/>
      <c r="F35" s="7" t="s">
        <v>737</v>
      </c>
      <c r="G35" s="7" t="str">
        <f t="shared" si="7"/>
        <v>text</v>
      </c>
      <c r="H35" s="26">
        <v>0</v>
      </c>
      <c r="I35" s="10" t="s">
        <v>127</v>
      </c>
      <c r="J35" s="11"/>
      <c r="M35" s="4"/>
      <c r="N35" s="76"/>
      <c r="O35" s="76"/>
      <c r="P35" s="76" t="str">
        <f t="shared" si="8"/>
        <v>,new_f</v>
      </c>
      <c r="Q35" s="76" t="str">
        <f t="shared" si="9"/>
        <v>TEXT</v>
      </c>
      <c r="R35" s="76" t="str">
        <f t="shared" si="10"/>
        <v>default '0'</v>
      </c>
      <c r="S35" s="76" t="str">
        <f t="shared" si="11"/>
        <v>NOT NULL</v>
      </c>
      <c r="T35" s="76" t="str">
        <f t="shared" si="12"/>
        <v>-- 最新フラグ</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milscm_2023_009.sny_202310_backup_mt2_iyakuhin_kanren.new_f IS '最新フラグ';</v>
      </c>
    </row>
    <row r="36" spans="1:52" s="25" customFormat="1" ht="34.799999999999997">
      <c r="A36" s="4"/>
      <c r="B36" s="21">
        <f t="shared" si="2"/>
        <v>24</v>
      </c>
      <c r="C36" s="6" t="s">
        <v>2538</v>
      </c>
      <c r="D36" s="6" t="s">
        <v>1908</v>
      </c>
      <c r="E36" s="8"/>
      <c r="F36" s="7" t="s">
        <v>737</v>
      </c>
      <c r="G36" s="7" t="str">
        <f t="shared" si="7"/>
        <v>text</v>
      </c>
      <c r="H36" s="26">
        <v>0</v>
      </c>
      <c r="I36" s="10" t="s">
        <v>127</v>
      </c>
      <c r="J36" s="11" t="s">
        <v>2603</v>
      </c>
      <c r="M36" s="4"/>
      <c r="N36" s="76"/>
      <c r="O36" s="76"/>
      <c r="P36" s="76" t="str">
        <f t="shared" si="8"/>
        <v>,del_f</v>
      </c>
      <c r="Q36" s="76" t="str">
        <f t="shared" si="9"/>
        <v>TEXT</v>
      </c>
      <c r="R36" s="76" t="str">
        <f t="shared" si="10"/>
        <v>default '0'</v>
      </c>
      <c r="S36" s="76" t="str">
        <f t="shared" si="11"/>
        <v>NOT NULL</v>
      </c>
      <c r="T36" s="76" t="str">
        <f t="shared" si="12"/>
        <v>-- 削除フラグ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milscm_2023_009.sny_202310_backup_mt2_iyakuhin_kanren.del_f IS '削除フラグ';</v>
      </c>
    </row>
    <row r="37" spans="1:52" s="25" customFormat="1" ht="52.2">
      <c r="A37" s="4"/>
      <c r="B37" s="21">
        <f t="shared" si="2"/>
        <v>25</v>
      </c>
      <c r="C37" s="6" t="s">
        <v>1971</v>
      </c>
      <c r="D37" s="6" t="s">
        <v>1910</v>
      </c>
      <c r="E37" s="8"/>
      <c r="F37" s="7" t="s">
        <v>737</v>
      </c>
      <c r="G37" s="7" t="str">
        <f t="shared" si="3"/>
        <v>text</v>
      </c>
      <c r="H37" s="26" t="s">
        <v>1924</v>
      </c>
      <c r="I37" s="10" t="s">
        <v>127</v>
      </c>
      <c r="J37" s="11" t="s">
        <v>2604</v>
      </c>
      <c r="M37" s="4"/>
      <c r="N37" s="76"/>
      <c r="O37" s="76"/>
      <c r="P37" s="76" t="str">
        <f t="shared" si="4"/>
        <v>,henkou_ymd</v>
      </c>
      <c r="Q37" s="76" t="str">
        <f t="shared" si="0"/>
        <v>TEXT</v>
      </c>
      <c r="R37" s="76" t="str">
        <f t="shared" si="1"/>
        <v>default '99999999'</v>
      </c>
      <c r="S37" s="76" t="str">
        <f t="shared" si="5"/>
        <v>NOT NULL</v>
      </c>
      <c r="T37" s="76" t="str">
        <f t="shared" si="6"/>
        <v>-- 変更年月日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milscm_2023_009.sny_202310_backup_mt2_iyakuhin_kanren.henkou_ymd IS '変更年月日';</v>
      </c>
    </row>
    <row r="38" spans="1:52" s="25" customFormat="1" ht="52.8" thickBot="1">
      <c r="A38" s="4"/>
      <c r="B38" s="27">
        <f>ROW()-12</f>
        <v>26</v>
      </c>
      <c r="C38" s="57" t="s">
        <v>1911</v>
      </c>
      <c r="D38" s="57" t="s">
        <v>1912</v>
      </c>
      <c r="E38" s="56"/>
      <c r="F38" s="56" t="s">
        <v>737</v>
      </c>
      <c r="G38" s="56" t="str">
        <f t="shared" si="3"/>
        <v>text</v>
      </c>
      <c r="H38" s="59" t="s">
        <v>1924</v>
      </c>
      <c r="I38" s="60" t="s">
        <v>127</v>
      </c>
      <c r="J38" s="64" t="s">
        <v>2605</v>
      </c>
      <c r="N38" s="76"/>
      <c r="O38" s="76"/>
      <c r="P38" s="76" t="str">
        <f t="shared" si="4"/>
        <v>,del_ymd</v>
      </c>
      <c r="Q38" s="76" t="str">
        <f t="shared" si="0"/>
        <v>TEXT</v>
      </c>
      <c r="R38" s="76" t="str">
        <f t="shared" si="1"/>
        <v>default '99999999'</v>
      </c>
      <c r="S38" s="76" t="str">
        <f t="shared" si="5"/>
        <v>NOT NULL</v>
      </c>
      <c r="T38" s="76" t="str">
        <f t="shared" si="6"/>
        <v>-- 廃止年月日</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milscm_2023_009.sny_202310_backup_mt2_iyakuhin_kanren.del_ymd IS '廃止年月日';</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ENT_01_A4-08</v>
      </c>
      <c r="E6" s="234"/>
      <c r="F6" s="234"/>
      <c r="G6" s="234"/>
      <c r="H6" s="234"/>
      <c r="I6" s="234"/>
      <c r="J6" s="235"/>
    </row>
    <row r="7" spans="1:45">
      <c r="B7" s="223" t="s">
        <v>115</v>
      </c>
      <c r="C7" s="224"/>
      <c r="D7" s="225" t="s">
        <v>2606</v>
      </c>
      <c r="E7" s="226"/>
      <c r="F7" s="226"/>
      <c r="G7" s="226"/>
      <c r="H7" s="226"/>
      <c r="I7" s="226"/>
      <c r="J7" s="227"/>
    </row>
    <row r="8" spans="1:45">
      <c r="B8" s="223" t="s">
        <v>116</v>
      </c>
      <c r="C8" s="224"/>
      <c r="D8" s="225" t="str">
        <f>エンティティ一覧!AE2&amp;"_"&amp;D5&amp;"_mt2_price_kanren"</f>
        <v>sny_202310_backup_mt2_price_kanren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薬価関連マスタテーブルから組入れ条件の第一条件で絞り込んだ結果を格納するテーブル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milscm_2023_009.sny_202310_backup_mt2_price_kanren;</v>
      </c>
      <c r="O10" s="76"/>
      <c r="P10" s="76"/>
      <c r="Q10" s="76"/>
      <c r="R10" s="76"/>
      <c r="S10" s="76"/>
      <c r="T10" s="76"/>
      <c r="AJ10" s="76" t="str">
        <f>"ALTER TABLE ONLY "&amp;エンティティ一覧!$O$2&amp;"."&amp;D$8</f>
        <v>ALTER TABLE ONLY milscm_2023_009.sny_202310_backup_mt2_price_kanren</v>
      </c>
      <c r="AS10" s="76" t="str">
        <f>"ALTER TABLE "&amp;エンティティ一覧!$O$2&amp;"."&amp;D$8&amp;" OWNER TO pgmisgrp1;"</f>
        <v>ALTER TABLE milscm_2023_009.sny_202310_backup_mt2_price_kanren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milscm_2023_009.sny_202310_backup_mt2_price_kanren</v>
      </c>
      <c r="O11" s="76"/>
      <c r="P11" s="76"/>
      <c r="Q11" s="76"/>
      <c r="R11" s="76"/>
      <c r="S11" s="76"/>
      <c r="T11" s="76"/>
      <c r="AJ11" s="76" t="str">
        <f>"ADD CONSTRAINT "&amp;D$8&amp;"_pkey PRIMARY KEY"</f>
        <v>ADD CONSTRAINT sny_202310_backup_mt2_price_kanren_pkey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milscm_2023_009.sny_202310_backup_mt2_price_kanren IS 'バックアップ_薬価関連マスタ';</v>
      </c>
    </row>
    <row r="13" spans="1:45" s="25" customFormat="1">
      <c r="A13" s="4"/>
      <c r="B13" s="21">
        <f>ROW()-12</f>
        <v>1</v>
      </c>
      <c r="C13" s="6" t="s">
        <v>1161</v>
      </c>
      <c r="D13" s="6" t="s">
        <v>1162</v>
      </c>
      <c r="E13" s="8" t="s">
        <v>127</v>
      </c>
      <c r="F13" s="8" t="s">
        <v>737</v>
      </c>
      <c r="G13" s="7" t="str">
        <f>IF(F13="フラグ","boolean",IF(F13="文字列","text",IF(F13="整数","integer",IF(F13="実数","numeric",""))))</f>
        <v>text</v>
      </c>
      <c r="H13" s="9"/>
      <c r="I13" s="10" t="s">
        <v>127</v>
      </c>
      <c r="J13" s="11" t="s">
        <v>2610</v>
      </c>
      <c r="M13" s="4"/>
      <c r="N13" s="76"/>
      <c r="O13" s="76"/>
      <c r="P13" s="76" t="str">
        <f>IF(B13&lt;&gt;1,","&amp;D13,D13)</f>
        <v>iyakuhin_code</v>
      </c>
      <c r="Q13" s="76" t="str">
        <f t="shared" ref="Q13:Q19" si="0">UPPER(G13)</f>
        <v>TEXT</v>
      </c>
      <c r="R13" s="76" t="str">
        <f t="shared" ref="R13:R19" si="1">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iyakuhin_code</v>
      </c>
      <c r="AK13" s="4"/>
      <c r="AL13" s="4"/>
      <c r="AM13" s="4"/>
      <c r="AN13" s="4"/>
      <c r="AO13" s="4"/>
      <c r="AP13" s="4"/>
      <c r="AQ13" s="4"/>
      <c r="AR13" s="4"/>
      <c r="AS13" s="76" t="str">
        <f>"COMMENT ON COLUMN "&amp;エンティティ一覧!$O$2&amp;"."&amp;D$8&amp;"."&amp;D13&amp;" IS '"&amp;C13&amp;"';"</f>
        <v>COMMENT ON COLUMN milscm_2023_009.sny_202310_backup_mt2_price_kanren.iyakuhin_code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6"/>
      <c r="O14" s="76"/>
      <c r="P14" s="76" t="str">
        <f t="shared" ref="P14:P19" si="4">IF(B14&lt;&gt;1,","&amp;D14,D14)</f>
        <v>,price</v>
      </c>
      <c r="Q14" s="76" t="str">
        <f t="shared" si="0"/>
        <v>NUMERIC</v>
      </c>
      <c r="R14" s="76" t="str">
        <f t="shared" si="1"/>
        <v/>
      </c>
      <c r="S14" s="76" t="str">
        <f t="shared" ref="S14:S19" si="5">IF(I14="○","NOT NULL","")</f>
        <v>NOT NULL</v>
      </c>
      <c r="T14" s="76" t="str">
        <f t="shared" ref="T14:T19" si="6">"-- "&amp;C14</f>
        <v>-- 薬価</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milscm_2023_009.sny_202310_backup_mt2_price_kanren.price IS '薬価';</v>
      </c>
    </row>
    <row r="15" spans="1:45" s="25" customFormat="1" ht="52.2">
      <c r="A15" s="4"/>
      <c r="B15" s="21">
        <f t="shared" si="2"/>
        <v>3</v>
      </c>
      <c r="C15" s="6" t="s">
        <v>1917</v>
      </c>
      <c r="D15" s="6" t="s">
        <v>2590</v>
      </c>
      <c r="E15" s="8" t="s">
        <v>127</v>
      </c>
      <c r="F15" s="7" t="s">
        <v>737</v>
      </c>
      <c r="G15" s="7" t="str">
        <f t="shared" si="3"/>
        <v>text</v>
      </c>
      <c r="H15" s="26">
        <v>99999999</v>
      </c>
      <c r="I15" s="10" t="s">
        <v>127</v>
      </c>
      <c r="J15" s="11" t="s">
        <v>2611</v>
      </c>
      <c r="M15" s="4"/>
      <c r="N15" s="76"/>
      <c r="O15" s="76"/>
      <c r="P15" s="76" t="str">
        <f t="shared" si="4"/>
        <v>,yakkasyusai_ymd</v>
      </c>
      <c r="Q15" s="76" t="str">
        <f t="shared" si="0"/>
        <v>TEXT</v>
      </c>
      <c r="R15" s="76" t="str">
        <f t="shared" si="1"/>
        <v>default '99999999'</v>
      </c>
      <c r="S15" s="76" t="str">
        <f t="shared" si="5"/>
        <v>NOT NULL</v>
      </c>
      <c r="T15" s="76" t="str">
        <f t="shared" si="6"/>
        <v>-- 施行年月日</v>
      </c>
      <c r="U15" s="4"/>
      <c r="AA15" s="4"/>
      <c r="AB15" s="4"/>
      <c r="AC15" s="4"/>
      <c r="AD15" s="4"/>
      <c r="AE15" s="4"/>
      <c r="AF15" s="4"/>
      <c r="AG15" s="4"/>
      <c r="AH15" s="4"/>
      <c r="AI15" s="4"/>
      <c r="AJ15" s="76" t="str">
        <f>IF(E15="○",IF(COUNTA(E$13:E15)=1,"",",")&amp;D15,"")</f>
        <v>,yakkasyusai_ymd</v>
      </c>
      <c r="AK15" s="4"/>
      <c r="AL15" s="4"/>
      <c r="AM15" s="4"/>
      <c r="AN15" s="4"/>
      <c r="AO15" s="4"/>
      <c r="AP15" s="4"/>
      <c r="AQ15" s="4"/>
      <c r="AR15" s="4"/>
      <c r="AS15" s="76" t="str">
        <f>"COMMENT ON COLUMN "&amp;エンティティ一覧!$O$2&amp;"."&amp;D$8&amp;"."&amp;D15&amp;" IS '"&amp;C15&amp;"';"</f>
        <v>COMMENT ON COLUMN milscm_2023_009.sny_202310_backup_mt2_price_kanren.yakkasyusai_ymd IS '施行年月日';</v>
      </c>
    </row>
    <row r="16" spans="1:45" s="25" customFormat="1">
      <c r="A16" s="4"/>
      <c r="B16" s="21">
        <f t="shared" si="2"/>
        <v>4</v>
      </c>
      <c r="C16" s="6" t="s">
        <v>2511</v>
      </c>
      <c r="D16" s="6" t="s">
        <v>2512</v>
      </c>
      <c r="E16" s="8"/>
      <c r="F16" s="7" t="s">
        <v>737</v>
      </c>
      <c r="G16" s="7" t="str">
        <f t="shared" si="3"/>
        <v>text</v>
      </c>
      <c r="H16" s="26">
        <v>0</v>
      </c>
      <c r="I16" s="10" t="s">
        <v>127</v>
      </c>
      <c r="J16" s="11"/>
      <c r="M16" s="4"/>
      <c r="N16" s="76"/>
      <c r="O16" s="76"/>
      <c r="P16" s="76" t="str">
        <f t="shared" si="4"/>
        <v>,new_f</v>
      </c>
      <c r="Q16" s="76" t="str">
        <f t="shared" si="0"/>
        <v>TEXT</v>
      </c>
      <c r="R16" s="76" t="str">
        <f t="shared" si="1"/>
        <v>default '0'</v>
      </c>
      <c r="S16" s="76" t="str">
        <f t="shared" si="5"/>
        <v>NOT NULL</v>
      </c>
      <c r="T16" s="76" t="str">
        <f t="shared" si="6"/>
        <v>-- 最新フラグ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milscm_2023_009.sny_202310_backup_mt2_price_kanren.new_f IS '最新フラグ';</v>
      </c>
    </row>
    <row r="17" spans="1:52" s="25" customFormat="1">
      <c r="A17" s="4"/>
      <c r="B17" s="21">
        <f t="shared" si="2"/>
        <v>5</v>
      </c>
      <c r="C17" s="6" t="s">
        <v>2538</v>
      </c>
      <c r="D17" s="6" t="s">
        <v>1908</v>
      </c>
      <c r="E17" s="8"/>
      <c r="F17" s="7" t="s">
        <v>737</v>
      </c>
      <c r="G17" s="7" t="str">
        <f t="shared" si="3"/>
        <v>text</v>
      </c>
      <c r="H17" s="26">
        <v>0</v>
      </c>
      <c r="I17" s="10" t="s">
        <v>127</v>
      </c>
      <c r="J17" s="11"/>
      <c r="M17" s="4"/>
      <c r="N17" s="76"/>
      <c r="O17" s="76"/>
      <c r="P17" s="76" t="str">
        <f t="shared" si="4"/>
        <v>,del_f</v>
      </c>
      <c r="Q17" s="76" t="str">
        <f t="shared" si="0"/>
        <v>TEXT</v>
      </c>
      <c r="R17" s="76" t="str">
        <f t="shared" si="1"/>
        <v>default '0'</v>
      </c>
      <c r="S17" s="76" t="str">
        <f t="shared" si="5"/>
        <v>NOT NULL</v>
      </c>
      <c r="T17" s="76" t="str">
        <f t="shared" si="6"/>
        <v>-- 削除フラグ</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milscm_2023_009.sny_202310_backup_mt2_price_kanren.del_f IS '削除フラグ';</v>
      </c>
    </row>
    <row r="18" spans="1:52" s="25" customFormat="1" ht="34.799999999999997">
      <c r="A18" s="4"/>
      <c r="B18" s="21">
        <f t="shared" si="2"/>
        <v>6</v>
      </c>
      <c r="C18" s="6" t="s">
        <v>1971</v>
      </c>
      <c r="D18" s="6" t="s">
        <v>1910</v>
      </c>
      <c r="E18" s="8"/>
      <c r="F18" s="7" t="s">
        <v>737</v>
      </c>
      <c r="G18" s="7" t="str">
        <f t="shared" si="3"/>
        <v>text</v>
      </c>
      <c r="H18" s="26">
        <v>99999999</v>
      </c>
      <c r="I18" s="10" t="s">
        <v>127</v>
      </c>
      <c r="J18" s="11" t="s">
        <v>2612</v>
      </c>
      <c r="M18" s="4"/>
      <c r="N18" s="76"/>
      <c r="O18" s="76"/>
      <c r="P18" s="76" t="str">
        <f t="shared" si="4"/>
        <v>,henkou_ymd</v>
      </c>
      <c r="Q18" s="76" t="str">
        <f t="shared" si="0"/>
        <v>TEXT</v>
      </c>
      <c r="R18" s="76" t="str">
        <f t="shared" si="1"/>
        <v>default '99999999'</v>
      </c>
      <c r="S18" s="76" t="str">
        <f t="shared" si="5"/>
        <v>NOT NULL</v>
      </c>
      <c r="T18" s="76" t="str">
        <f t="shared" si="6"/>
        <v>-- 変更年月日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milscm_2023_009.sny_202310_backup_mt2_price_kanren.henkou_ymd IS '変更年月日';</v>
      </c>
    </row>
    <row r="19" spans="1:52" s="25" customFormat="1" ht="35.4" thickBot="1">
      <c r="A19" s="4"/>
      <c r="B19" s="27">
        <f>ROW()-12</f>
        <v>7</v>
      </c>
      <c r="C19" s="57" t="s">
        <v>1911</v>
      </c>
      <c r="D19" s="57" t="s">
        <v>1912</v>
      </c>
      <c r="E19" s="56"/>
      <c r="F19" s="56" t="s">
        <v>737</v>
      </c>
      <c r="G19" s="56" t="str">
        <f t="shared" si="3"/>
        <v>text</v>
      </c>
      <c r="H19" s="59">
        <v>99999999</v>
      </c>
      <c r="I19" s="60" t="s">
        <v>127</v>
      </c>
      <c r="J19" s="64" t="s">
        <v>2612</v>
      </c>
      <c r="N19" s="76"/>
      <c r="O19" s="76"/>
      <c r="P19" s="76" t="str">
        <f t="shared" si="4"/>
        <v>,del_ymd</v>
      </c>
      <c r="Q19" s="76" t="str">
        <f t="shared" si="0"/>
        <v>TEXT</v>
      </c>
      <c r="R19" s="76" t="str">
        <f t="shared" si="1"/>
        <v>default '99999999'</v>
      </c>
      <c r="S19" s="76" t="str">
        <f t="shared" si="5"/>
        <v>NOT NULL</v>
      </c>
      <c r="T19" s="76" t="str">
        <f t="shared" si="6"/>
        <v>-- 廃止年月日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milscm_2023_009.sny_202310_backup_mt2_price_kanren.del_ymd IS '廃止年月日';</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ENT_01_A4-09</v>
      </c>
      <c r="E6" s="234"/>
      <c r="F6" s="234"/>
      <c r="G6" s="234"/>
      <c r="H6" s="234"/>
      <c r="I6" s="234"/>
      <c r="J6" s="235"/>
    </row>
    <row r="7" spans="1:45">
      <c r="B7" s="223" t="s">
        <v>115</v>
      </c>
      <c r="C7" s="224"/>
      <c r="D7" s="225" t="s">
        <v>2613</v>
      </c>
      <c r="E7" s="226"/>
      <c r="F7" s="226"/>
      <c r="G7" s="226"/>
      <c r="H7" s="226"/>
      <c r="I7" s="226"/>
      <c r="J7" s="227"/>
    </row>
    <row r="8" spans="1:45">
      <c r="B8" s="223" t="s">
        <v>116</v>
      </c>
      <c r="C8" s="224"/>
      <c r="D8" s="225" t="str">
        <f>エンティティ一覧!AE2&amp;"_"&amp;D5&amp;"_mt2_shinryo_koi_kanren"</f>
        <v>sny_202310_backup_mt2_shinryo_koi_kanren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milscm_2023_009.sny_202310_backup_mt2_shinryo_koi_kanren;</v>
      </c>
      <c r="O10" s="76"/>
      <c r="P10" s="76"/>
      <c r="Q10" s="76"/>
      <c r="R10" s="76"/>
      <c r="S10" s="76"/>
      <c r="T10" s="76"/>
      <c r="AJ10" s="76" t="str">
        <f>"ALTER TABLE ONLY "&amp;エンティティ一覧!$O$2&amp;"."&amp;D$8</f>
        <v>ALTER TABLE ONLY milscm_2023_009.sny_202310_backup_mt2_shinryo_koi_kanren</v>
      </c>
      <c r="AS10" s="76" t="str">
        <f>"ALTER TABLE "&amp;エンティティ一覧!$O$2&amp;"."&amp;D$8&amp;" OWNER TO pgmisgrp1;"</f>
        <v>ALTER TABLE milscm_2023_009.sny_202310_backup_mt2_shinryo_koi_kanren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milscm_2023_009.sny_202310_backup_mt2_shinryo_koi_kanren</v>
      </c>
      <c r="O11" s="76"/>
      <c r="P11" s="76"/>
      <c r="Q11" s="76"/>
      <c r="R11" s="76"/>
      <c r="S11" s="76"/>
      <c r="T11" s="76"/>
      <c r="AJ11" s="76" t="str">
        <f>"ADD CONSTRAINT "&amp;D$8&amp;"_pkey PRIMARY KEY"</f>
        <v>ADD CONSTRAINT sny_202310_backup_mt2_shinryo_koi_kanren_pkey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milscm_2023_009.sny_202310_backup_mt2_shinryo_koi_kanren IS 'バックアップ_診療行為関連マスタ';</v>
      </c>
    </row>
    <row r="13" spans="1:45" s="25" customFormat="1">
      <c r="A13" s="4"/>
      <c r="B13" s="21">
        <f>ROW()-12</f>
        <v>1</v>
      </c>
      <c r="C13" s="6" t="s">
        <v>1129</v>
      </c>
      <c r="D13" s="6" t="s">
        <v>2614</v>
      </c>
      <c r="E13" s="8" t="s">
        <v>127</v>
      </c>
      <c r="F13" s="8" t="s">
        <v>737</v>
      </c>
      <c r="G13" s="7" t="str">
        <f>IF(F13="フラグ","boolean",IF(F13="文字列","text",IF(F13="整数","integer",IF(F13="実数","numeric",""))))</f>
        <v>text</v>
      </c>
      <c r="H13" s="9"/>
      <c r="I13" s="10" t="s">
        <v>127</v>
      </c>
      <c r="J13" s="11" t="s">
        <v>2630</v>
      </c>
      <c r="M13" s="4"/>
      <c r="N13" s="76"/>
      <c r="O13" s="76"/>
      <c r="P13" s="76" t="str">
        <f>IF(B13&lt;&gt;1,","&amp;D13,D13)</f>
        <v>shinryo_koi_cd</v>
      </c>
      <c r="Q13" s="76" t="str">
        <f t="shared" ref="Q13:Q26" si="0">UPPER(G13)</f>
        <v>TEXT</v>
      </c>
      <c r="R13" s="76" t="str">
        <f t="shared" ref="R13:R26" si="1">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milscm_2023_009.sny_202310_backup_mt2_shinryo_koi_kanren.shinryo_koi_cd IS '診療行為コード';</v>
      </c>
    </row>
    <row r="14" spans="1:45" s="25" customFormat="1">
      <c r="A14" s="4"/>
      <c r="B14" s="21">
        <f t="shared" ref="B14:B25" si="2">ROW()-12</f>
        <v>2</v>
      </c>
      <c r="C14" s="6" t="s">
        <v>2615</v>
      </c>
      <c r="D14" s="6" t="s">
        <v>2616</v>
      </c>
      <c r="E14" s="8"/>
      <c r="F14" s="7" t="s">
        <v>737</v>
      </c>
      <c r="G14" s="7" t="str">
        <f t="shared" ref="G14:G26" si="3">IF(F14="フラグ","boolean",IF(F14="文字列","text",IF(F14="整数","integer",IF(F14="実数","numeric",""))))</f>
        <v>text</v>
      </c>
      <c r="H14" s="26"/>
      <c r="I14" s="10"/>
      <c r="J14" s="11" t="s">
        <v>2630</v>
      </c>
      <c r="M14" s="4"/>
      <c r="N14" s="76"/>
      <c r="O14" s="76"/>
      <c r="P14" s="76" t="str">
        <f t="shared" ref="P14:P26" si="4">IF(B14&lt;&gt;1,","&amp;D14,D14)</f>
        <v>,cd_no</v>
      </c>
      <c r="Q14" s="76" t="str">
        <f t="shared" si="0"/>
        <v>TEXT</v>
      </c>
      <c r="R14" s="76" t="str">
        <f t="shared" si="1"/>
        <v/>
      </c>
      <c r="S14" s="76" t="str">
        <f t="shared" ref="S14:S26" si="5">IF(I14="○","NOT NULL","")</f>
        <v/>
      </c>
      <c r="T14" s="76" t="str">
        <f t="shared" ref="T14:T26" si="6">"-- "&amp;C14</f>
        <v>-- アルファベットコード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milscm_2023_009.sny_202310_backup_mt2_shinryo_koi_kanren.cd_no IS 'アルファベットコード';</v>
      </c>
    </row>
    <row r="15" spans="1:45" s="25" customFormat="1">
      <c r="A15" s="4"/>
      <c r="B15" s="21">
        <f t="shared" si="2"/>
        <v>3</v>
      </c>
      <c r="C15" s="6" t="s">
        <v>2617</v>
      </c>
      <c r="D15" s="6" t="s">
        <v>2618</v>
      </c>
      <c r="E15" s="8"/>
      <c r="F15" s="7" t="s">
        <v>737</v>
      </c>
      <c r="G15" s="7" t="str">
        <f t="shared" si="3"/>
        <v>text</v>
      </c>
      <c r="H15" s="26"/>
      <c r="I15" s="10"/>
      <c r="J15" s="11" t="s">
        <v>2630</v>
      </c>
      <c r="M15" s="4"/>
      <c r="N15" s="76"/>
      <c r="O15" s="76"/>
      <c r="P15" s="76" t="str">
        <f t="shared" si="4"/>
        <v>,cd_no_kubun</v>
      </c>
      <c r="Q15" s="76" t="str">
        <f t="shared" si="0"/>
        <v>TEXT</v>
      </c>
      <c r="R15" s="76" t="str">
        <f t="shared" si="1"/>
        <v/>
      </c>
      <c r="S15" s="76" t="str">
        <f t="shared" si="5"/>
        <v/>
      </c>
      <c r="T15" s="76" t="str">
        <f t="shared" si="6"/>
        <v>-- 区分番号</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milscm_2023_009.sny_202310_backup_mt2_shinryo_koi_kanren.cd_no_kubun IS '区分番号';</v>
      </c>
    </row>
    <row r="16" spans="1:45" s="25" customFormat="1">
      <c r="A16" s="4"/>
      <c r="B16" s="21">
        <f t="shared" si="2"/>
        <v>4</v>
      </c>
      <c r="C16" s="6" t="s">
        <v>2619</v>
      </c>
      <c r="D16" s="6" t="s">
        <v>2620</v>
      </c>
      <c r="E16" s="8"/>
      <c r="F16" s="7" t="s">
        <v>737</v>
      </c>
      <c r="G16" s="7" t="str">
        <f t="shared" si="3"/>
        <v>text</v>
      </c>
      <c r="H16" s="26"/>
      <c r="I16" s="10"/>
      <c r="J16" s="11" t="s">
        <v>2630</v>
      </c>
      <c r="M16" s="4"/>
      <c r="N16" s="76"/>
      <c r="O16" s="76"/>
      <c r="P16" s="76" t="str">
        <f t="shared" si="4"/>
        <v>,cd_no_eda</v>
      </c>
      <c r="Q16" s="76" t="str">
        <f t="shared" si="0"/>
        <v>TEXT</v>
      </c>
      <c r="R16" s="76" t="str">
        <f t="shared" si="1"/>
        <v/>
      </c>
      <c r="S16" s="76" t="str">
        <f t="shared" si="5"/>
        <v/>
      </c>
      <c r="T16" s="76" t="str">
        <f t="shared" si="6"/>
        <v>-- 枝番</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milscm_2023_009.sny_202310_backup_mt2_shinryo_koi_kanren.cd_no_eda IS '枝番';</v>
      </c>
    </row>
    <row r="17" spans="1:52" s="25" customFormat="1">
      <c r="A17" s="4"/>
      <c r="B17" s="21">
        <f t="shared" si="2"/>
        <v>5</v>
      </c>
      <c r="C17" s="6" t="s">
        <v>2435</v>
      </c>
      <c r="D17" s="6" t="s">
        <v>2621</v>
      </c>
      <c r="E17" s="8"/>
      <c r="F17" s="7" t="s">
        <v>737</v>
      </c>
      <c r="G17" s="7" t="str">
        <f t="shared" si="3"/>
        <v>text</v>
      </c>
      <c r="H17" s="26"/>
      <c r="I17" s="10"/>
      <c r="J17" s="11" t="s">
        <v>2630</v>
      </c>
      <c r="M17" s="4"/>
      <c r="N17" s="76"/>
      <c r="O17" s="76"/>
      <c r="P17" s="76" t="str">
        <f t="shared" si="4"/>
        <v>,cd_no_koh</v>
      </c>
      <c r="Q17" s="76" t="str">
        <f t="shared" si="0"/>
        <v>TEXT</v>
      </c>
      <c r="R17" s="76" t="str">
        <f t="shared" si="1"/>
        <v/>
      </c>
      <c r="S17" s="76" t="str">
        <f t="shared" si="5"/>
        <v/>
      </c>
      <c r="T17" s="76" t="str">
        <f t="shared" si="6"/>
        <v>-- 項番</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milscm_2023_009.sny_202310_backup_mt2_shinryo_koi_kanren.cd_no_koh IS '項番';</v>
      </c>
    </row>
    <row r="18" spans="1:52" s="25" customFormat="1">
      <c r="A18" s="4"/>
      <c r="B18" s="21">
        <f t="shared" si="2"/>
        <v>6</v>
      </c>
      <c r="C18" s="6" t="s">
        <v>2338</v>
      </c>
      <c r="D18" s="6" t="s">
        <v>2622</v>
      </c>
      <c r="E18" s="8"/>
      <c r="F18" s="7" t="s">
        <v>737</v>
      </c>
      <c r="G18" s="7" t="str">
        <f t="shared" si="3"/>
        <v>text</v>
      </c>
      <c r="H18" s="26"/>
      <c r="I18" s="10"/>
      <c r="J18" s="11" t="s">
        <v>2630</v>
      </c>
      <c r="M18" s="4"/>
      <c r="N18" s="76"/>
      <c r="O18" s="76"/>
      <c r="P18" s="76" t="str">
        <f t="shared" si="4"/>
        <v>,kubun_no</v>
      </c>
      <c r="Q18" s="76" t="str">
        <f t="shared" si="0"/>
        <v>TEXT</v>
      </c>
      <c r="R18" s="76" t="str">
        <f t="shared" si="1"/>
        <v/>
      </c>
      <c r="S18" s="76" t="str">
        <f t="shared" si="5"/>
        <v/>
      </c>
      <c r="T18" s="76" t="str">
        <f t="shared" si="6"/>
        <v>-- 点数表区分番号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6"/>
      <c r="O19" s="76"/>
      <c r="P19" s="76" t="str">
        <f t="shared" si="4"/>
        <v>,point</v>
      </c>
      <c r="Q19" s="76" t="str">
        <f t="shared" si="0"/>
        <v>NUMERIC</v>
      </c>
      <c r="R19" s="76" t="str">
        <f t="shared" si="1"/>
        <v/>
      </c>
      <c r="S19" s="76" t="str">
        <f t="shared" si="5"/>
        <v>NOT NULL</v>
      </c>
      <c r="T19" s="76" t="str">
        <f t="shared" si="6"/>
        <v>-- 点数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milscm_2023_009.sny_202310_backup_mt2_shinryo_koi_kanren.point IS '点数';</v>
      </c>
    </row>
    <row r="20" spans="1:52" s="25" customFormat="1">
      <c r="A20" s="4"/>
      <c r="B20" s="21">
        <f t="shared" si="2"/>
        <v>8</v>
      </c>
      <c r="C20" s="6" t="s">
        <v>2623</v>
      </c>
      <c r="D20" s="6" t="s">
        <v>222</v>
      </c>
      <c r="E20" s="8"/>
      <c r="F20" s="7" t="s">
        <v>737</v>
      </c>
      <c r="G20" s="7" t="str">
        <f t="shared" si="3"/>
        <v>text</v>
      </c>
      <c r="H20" s="26"/>
      <c r="I20" s="10" t="s">
        <v>127</v>
      </c>
      <c r="J20" s="11" t="s">
        <v>2628</v>
      </c>
      <c r="M20" s="4"/>
      <c r="N20" s="76"/>
      <c r="O20" s="76"/>
      <c r="P20" s="76" t="str">
        <f t="shared" si="4"/>
        <v>,shinryo_koi_name</v>
      </c>
      <c r="Q20" s="76" t="str">
        <f t="shared" si="0"/>
        <v>TEXT</v>
      </c>
      <c r="R20" s="76" t="str">
        <f t="shared" si="1"/>
        <v/>
      </c>
      <c r="S20" s="76" t="str">
        <f t="shared" si="5"/>
        <v>NOT NULL</v>
      </c>
      <c r="T20" s="76" t="str">
        <f t="shared" si="6"/>
        <v>-- 診療行為省略名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milscm_2023_009.sny_202310_backup_mt2_shinryo_koi_kanren.shinryo_koi_name IS '診療行為省略名';</v>
      </c>
    </row>
    <row r="21" spans="1:52" s="25" customFormat="1">
      <c r="A21" s="4"/>
      <c r="B21" s="21">
        <f t="shared" si="2"/>
        <v>9</v>
      </c>
      <c r="C21" s="6" t="s">
        <v>2624</v>
      </c>
      <c r="D21" s="6" t="s">
        <v>2625</v>
      </c>
      <c r="E21" s="8"/>
      <c r="F21" s="7" t="s">
        <v>737</v>
      </c>
      <c r="G21" s="7" t="str">
        <f t="shared" si="3"/>
        <v>text</v>
      </c>
      <c r="H21" s="26"/>
      <c r="I21" s="10" t="s">
        <v>127</v>
      </c>
      <c r="J21" s="11" t="s">
        <v>2628</v>
      </c>
      <c r="M21" s="4"/>
      <c r="N21" s="76"/>
      <c r="O21" s="76"/>
      <c r="P21" s="76" t="str">
        <f t="shared" si="4"/>
        <v>,shinryo_koi_kihonname</v>
      </c>
      <c r="Q21" s="76" t="str">
        <f t="shared" si="0"/>
        <v>TEXT</v>
      </c>
      <c r="R21" s="76" t="str">
        <f t="shared" si="1"/>
        <v/>
      </c>
      <c r="S21" s="76" t="str">
        <f t="shared" si="5"/>
        <v>NOT NULL</v>
      </c>
      <c r="T21" s="76" t="str">
        <f t="shared" si="6"/>
        <v>-- 診療行為名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milscm_2023_009.sny_202310_backup_mt2_shinryo_koi_kanren.shinryo_koi_kihonname IS '診療行為名';</v>
      </c>
    </row>
    <row r="22" spans="1:52" s="25" customFormat="1" ht="34.799999999999997">
      <c r="A22" s="4"/>
      <c r="B22" s="21">
        <f t="shared" si="2"/>
        <v>10</v>
      </c>
      <c r="C22" s="6" t="s">
        <v>2626</v>
      </c>
      <c r="D22" s="6" t="s">
        <v>1885</v>
      </c>
      <c r="E22" s="8" t="s">
        <v>127</v>
      </c>
      <c r="F22" s="7" t="s">
        <v>737</v>
      </c>
      <c r="G22" s="7" t="str">
        <f t="shared" si="3"/>
        <v>text</v>
      </c>
      <c r="H22" s="26"/>
      <c r="I22" s="10" t="s">
        <v>127</v>
      </c>
      <c r="J22" s="11" t="s">
        <v>2629</v>
      </c>
      <c r="M22" s="4"/>
      <c r="N22" s="76"/>
      <c r="O22" s="76"/>
      <c r="P22" s="76" t="str">
        <f t="shared" si="4"/>
        <v>,update_ymd</v>
      </c>
      <c r="Q22" s="76" t="str">
        <f t="shared" si="0"/>
        <v>TEXT</v>
      </c>
      <c r="R22" s="76" t="str">
        <f t="shared" si="1"/>
        <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milscm_2023_009.sny_202310_backup_mt2_shinryo_koi_kanren.update_ymd IS 'データ登録日';</v>
      </c>
    </row>
    <row r="23" spans="1:52" s="25" customFormat="1">
      <c r="A23" s="4"/>
      <c r="B23" s="21">
        <f t="shared" si="2"/>
        <v>11</v>
      </c>
      <c r="C23" s="6" t="s">
        <v>2511</v>
      </c>
      <c r="D23" s="6" t="s">
        <v>2512</v>
      </c>
      <c r="E23" s="8"/>
      <c r="F23" s="7" t="s">
        <v>737</v>
      </c>
      <c r="G23" s="7" t="str">
        <f t="shared" si="3"/>
        <v>text</v>
      </c>
      <c r="H23" s="26">
        <v>0</v>
      </c>
      <c r="I23" s="10" t="s">
        <v>127</v>
      </c>
      <c r="J23" s="11"/>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milscm_2023_009.sny_202310_backup_mt2_shinryo_koi_kanren.new_f IS '最新フラグ';</v>
      </c>
    </row>
    <row r="24" spans="1:52" s="25" customFormat="1" ht="34.799999999999997">
      <c r="A24" s="4"/>
      <c r="B24" s="21">
        <f t="shared" si="2"/>
        <v>12</v>
      </c>
      <c r="C24" s="6" t="s">
        <v>2538</v>
      </c>
      <c r="D24" s="6" t="s">
        <v>1908</v>
      </c>
      <c r="E24" s="8"/>
      <c r="F24" s="7" t="s">
        <v>737</v>
      </c>
      <c r="G24" s="7" t="str">
        <f t="shared" si="3"/>
        <v>text</v>
      </c>
      <c r="H24" s="26">
        <v>0</v>
      </c>
      <c r="I24" s="10" t="s">
        <v>127</v>
      </c>
      <c r="J24" s="11" t="s">
        <v>2631</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milscm_2023_009.sny_202310_backup_mt2_shinryo_koi_kanren.del_f IS '削除フラグ';</v>
      </c>
    </row>
    <row r="25" spans="1:52" s="25" customFormat="1" ht="34.799999999999997">
      <c r="A25" s="4"/>
      <c r="B25" s="21">
        <f t="shared" si="2"/>
        <v>13</v>
      </c>
      <c r="C25" s="6" t="s">
        <v>1971</v>
      </c>
      <c r="D25" s="6" t="s">
        <v>1910</v>
      </c>
      <c r="E25" s="8"/>
      <c r="F25" s="7" t="s">
        <v>737</v>
      </c>
      <c r="G25" s="7" t="str">
        <f t="shared" si="3"/>
        <v>text</v>
      </c>
      <c r="H25" s="26">
        <v>99999999</v>
      </c>
      <c r="I25" s="10" t="s">
        <v>127</v>
      </c>
      <c r="J25" s="11" t="s">
        <v>2629</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milscm_2023_009.sny_202310_backup_mt2_shinryo_koi_kanren.henkou_ymd IS '変更年月日';</v>
      </c>
    </row>
    <row r="26" spans="1:52" s="25" customFormat="1" ht="35.4" thickBot="1">
      <c r="A26" s="4"/>
      <c r="B26" s="27">
        <f>ROW()-12</f>
        <v>14</v>
      </c>
      <c r="C26" s="57" t="s">
        <v>1911</v>
      </c>
      <c r="D26" s="57" t="s">
        <v>1912</v>
      </c>
      <c r="E26" s="56"/>
      <c r="F26" s="56" t="s">
        <v>737</v>
      </c>
      <c r="G26" s="56" t="str">
        <f t="shared" si="3"/>
        <v>text</v>
      </c>
      <c r="H26" s="59">
        <v>99999999</v>
      </c>
      <c r="I26" s="60" t="s">
        <v>127</v>
      </c>
      <c r="J26" s="64" t="s">
        <v>2632</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milscm_2023_009.sny_202310_backup_mt2_shinryo_koi_kanren.del_ymd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ENT_01_A4-10</v>
      </c>
      <c r="E6" s="234"/>
      <c r="F6" s="234"/>
      <c r="G6" s="234"/>
      <c r="H6" s="234"/>
      <c r="I6" s="234"/>
      <c r="J6" s="235"/>
    </row>
    <row r="7" spans="1:45">
      <c r="B7" s="223" t="s">
        <v>115</v>
      </c>
      <c r="C7" s="224"/>
      <c r="D7" s="225" t="s">
        <v>2633</v>
      </c>
      <c r="E7" s="226"/>
      <c r="F7" s="226"/>
      <c r="G7" s="226"/>
      <c r="H7" s="226"/>
      <c r="I7" s="226"/>
      <c r="J7" s="227"/>
    </row>
    <row r="8" spans="1:45">
      <c r="B8" s="223" t="s">
        <v>116</v>
      </c>
      <c r="C8" s="224"/>
      <c r="D8" s="225" t="str">
        <f>エンティティ一覧!AE2&amp;"_"&amp;D5&amp;"_mt2_tokutei_kizai_kanren"</f>
        <v>sny_202310_backup_mt2_tokutei_kizai_kanren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milscm_2023_009.sny_202310_backup_mt2_tokutei_kizai_kanren;</v>
      </c>
      <c r="O10" s="76"/>
      <c r="P10" s="76"/>
      <c r="Q10" s="76"/>
      <c r="R10" s="76"/>
      <c r="S10" s="76"/>
      <c r="T10" s="76"/>
      <c r="AJ10" s="76" t="str">
        <f>"ALTER TABLE ONLY "&amp;エンティティ一覧!$O$2&amp;"."&amp;D$8</f>
        <v>ALTER TABLE ONLY milscm_2023_009.sny_202310_backup_mt2_tokutei_kizai_kanren</v>
      </c>
      <c r="AS10" s="76" t="str">
        <f>"ALTER TABLE "&amp;エンティティ一覧!$O$2&amp;"."&amp;D$8&amp;" OWNER TO pgmisgrp1;"</f>
        <v>ALTER TABLE milscm_2023_009.sny_202310_backup_mt2_tokutei_kizai_kanren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milscm_2023_009.sny_202310_backup_mt2_tokutei_kizai_kanren</v>
      </c>
      <c r="O11" s="76"/>
      <c r="P11" s="76"/>
      <c r="Q11" s="76"/>
      <c r="R11" s="76"/>
      <c r="S11" s="76"/>
      <c r="T11" s="76"/>
      <c r="AJ11" s="76" t="str">
        <f>"ADD CONSTRAINT "&amp;D$8&amp;"_pkey PRIMARY KEY"</f>
        <v>ADD CONSTRAINT sny_202310_backup_mt2_tokutei_kizai_kanren_pkey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milscm_2023_009.sny_202310_backup_mt2_tokutei_kizai_kanren IS 'バックアップ_特定器材関連マスタ';</v>
      </c>
    </row>
    <row r="13" spans="1:45" s="25" customFormat="1">
      <c r="A13" s="4"/>
      <c r="B13" s="21">
        <f>ROW()-12</f>
        <v>1</v>
      </c>
      <c r="C13" s="6" t="s">
        <v>2634</v>
      </c>
      <c r="D13" s="6" t="s">
        <v>2635</v>
      </c>
      <c r="E13" s="8" t="s">
        <v>127</v>
      </c>
      <c r="F13" s="8" t="s">
        <v>737</v>
      </c>
      <c r="G13" s="7" t="str">
        <f>IF(F13="フラグ","boolean",IF(F13="文字列","text",IF(F13="整数","integer",IF(F13="実数","numeric",""))))</f>
        <v>text</v>
      </c>
      <c r="H13" s="9"/>
      <c r="I13" s="10" t="s">
        <v>127</v>
      </c>
      <c r="J13" s="11" t="s">
        <v>2640</v>
      </c>
      <c r="M13" s="4"/>
      <c r="N13" s="76"/>
      <c r="O13" s="76"/>
      <c r="P13" s="76" t="str">
        <f>IF(B13&lt;&gt;1,","&amp;D13,D13)</f>
        <v>tokutei_kizai_cd</v>
      </c>
      <c r="Q13" s="76" t="str">
        <f t="shared" ref="Q13:Q21" si="0">UPPER(G13)</f>
        <v>TEXT</v>
      </c>
      <c r="R13" s="76" t="str">
        <f t="shared" ref="R13:R21" si="1">IF(H13&lt;&gt;"","default "&amp;IF(G13="text","'"&amp;H13&amp;"'",H13),"")</f>
        <v/>
      </c>
      <c r="S13" s="76" t="str">
        <f>IF(I13="○","NOT NULL","")</f>
        <v>NOT NULL</v>
      </c>
      <c r="T13" s="76" t="str">
        <f>"-- "&amp;C13</f>
        <v>-- 特定器材コード</v>
      </c>
      <c r="U13" s="4"/>
      <c r="AA13" s="4"/>
      <c r="AB13" s="4"/>
      <c r="AC13" s="4"/>
      <c r="AD13" s="4"/>
      <c r="AE13" s="4"/>
      <c r="AF13" s="4"/>
      <c r="AG13" s="4"/>
      <c r="AH13" s="4"/>
      <c r="AI13" s="4"/>
      <c r="AJ13" s="76" t="str">
        <f>IF(E13="○",IF(COUNTA(E$13:E13)=1,"",",")&amp;D13,"")</f>
        <v>tokutei_kizai_cd</v>
      </c>
      <c r="AK13" s="4"/>
      <c r="AL13" s="4"/>
      <c r="AM13" s="4"/>
      <c r="AN13" s="4"/>
      <c r="AO13" s="4"/>
      <c r="AP13" s="4"/>
      <c r="AQ13" s="4"/>
      <c r="AR13" s="4"/>
      <c r="AS13" s="76" t="str">
        <f>"COMMENT ON COLUMN "&amp;エンティティ一覧!$O$2&amp;"."&amp;D$8&amp;"."&amp;D13&amp;" IS '"&amp;C13&amp;"';"</f>
        <v>COMMENT ON COLUMN milscm_2023_009.sny_202310_backup_mt2_tokutei_kizai_kanren.tokutei_kizai_cd IS '特定器材コード';</v>
      </c>
    </row>
    <row r="14" spans="1:45" s="25" customFormat="1">
      <c r="A14" s="4"/>
      <c r="B14" s="21">
        <f t="shared" ref="B14:B20" si="2">ROW()-12</f>
        <v>2</v>
      </c>
      <c r="C14" s="6" t="s">
        <v>2636</v>
      </c>
      <c r="D14" s="6" t="s">
        <v>2637</v>
      </c>
      <c r="E14" s="8"/>
      <c r="F14" s="7" t="s">
        <v>737</v>
      </c>
      <c r="G14" s="7" t="str">
        <f t="shared" ref="G14:G21" si="3">IF(F14="フラグ","boolean",IF(F14="文字列","text",IF(F14="整数","integer",IF(F14="実数","numeric",""))))</f>
        <v>text</v>
      </c>
      <c r="H14" s="26"/>
      <c r="I14" s="10" t="s">
        <v>127</v>
      </c>
      <c r="J14" s="11" t="s">
        <v>2640</v>
      </c>
      <c r="M14" s="4"/>
      <c r="N14" s="76"/>
      <c r="O14" s="76"/>
      <c r="P14" s="76" t="str">
        <f t="shared" ref="P14:P21" si="4">IF(B14&lt;&gt;1,","&amp;D14,D14)</f>
        <v>,tokutei_kizai_name</v>
      </c>
      <c r="Q14" s="76" t="str">
        <f t="shared" si="0"/>
        <v>TEXT</v>
      </c>
      <c r="R14" s="76" t="str">
        <f t="shared" si="1"/>
        <v/>
      </c>
      <c r="S14" s="76" t="str">
        <f t="shared" ref="S14:S21" si="5">IF(I14="○","NOT NULL","")</f>
        <v>NOT NULL</v>
      </c>
      <c r="T14" s="76" t="str">
        <f t="shared" ref="T14:T21" si="6">"-- "&amp;C14</f>
        <v>-- 特定器材名・規格名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milscm_2023_009.sny_202310_backup_mt2_tokutei_kizai_kanren.tokutei_kizai_name IS '特定器材名・規格名';</v>
      </c>
    </row>
    <row r="15" spans="1:45" s="25" customFormat="1">
      <c r="A15" s="4"/>
      <c r="B15" s="21">
        <f t="shared" si="2"/>
        <v>3</v>
      </c>
      <c r="C15" s="6" t="s">
        <v>1655</v>
      </c>
      <c r="D15" s="6" t="s">
        <v>2638</v>
      </c>
      <c r="E15" s="8"/>
      <c r="F15" s="7" t="s">
        <v>737</v>
      </c>
      <c r="G15" s="7" t="str">
        <f t="shared" si="3"/>
        <v>text</v>
      </c>
      <c r="H15" s="26"/>
      <c r="I15" s="10"/>
      <c r="J15" s="11" t="s">
        <v>2640</v>
      </c>
      <c r="M15" s="4"/>
      <c r="N15" s="76"/>
      <c r="O15" s="76"/>
      <c r="P15" s="76" t="str">
        <f t="shared" si="4"/>
        <v>,tokutei_kizai_tani</v>
      </c>
      <c r="Q15" s="76" t="str">
        <f t="shared" si="0"/>
        <v>TEXT</v>
      </c>
      <c r="R15" s="76" t="str">
        <f t="shared" si="1"/>
        <v/>
      </c>
      <c r="S15" s="76" t="str">
        <f t="shared" si="5"/>
        <v/>
      </c>
      <c r="T15" s="76" t="str">
        <f t="shared" si="6"/>
        <v>-- 単位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6"/>
      <c r="O16" s="76"/>
      <c r="P16" s="76" t="str">
        <f t="shared" si="4"/>
        <v>,price</v>
      </c>
      <c r="Q16" s="76" t="str">
        <f t="shared" si="0"/>
        <v>NUMERIC</v>
      </c>
      <c r="R16" s="76" t="str">
        <f t="shared" si="1"/>
        <v/>
      </c>
      <c r="S16" s="76" t="str">
        <f t="shared" si="5"/>
        <v>NOT NULL</v>
      </c>
      <c r="T16" s="76" t="str">
        <f t="shared" si="6"/>
        <v>-- 金額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milscm_2023_009.sny_202310_backup_mt2_tokutei_kizai_kanren.price IS '金額';</v>
      </c>
    </row>
    <row r="17" spans="1:52" s="25" customFormat="1">
      <c r="A17" s="4"/>
      <c r="B17" s="21">
        <f t="shared" si="2"/>
        <v>5</v>
      </c>
      <c r="C17" s="6" t="s">
        <v>1917</v>
      </c>
      <c r="D17" s="6" t="s">
        <v>1918</v>
      </c>
      <c r="E17" s="8" t="s">
        <v>127</v>
      </c>
      <c r="F17" s="7" t="s">
        <v>737</v>
      </c>
      <c r="G17" s="7" t="str">
        <f t="shared" si="3"/>
        <v>text</v>
      </c>
      <c r="H17" s="26">
        <v>99999999</v>
      </c>
      <c r="I17" s="10" t="s">
        <v>127</v>
      </c>
      <c r="J17" s="11"/>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milscm_2023_009.sny_202310_backup_mt2_tokutei_kizai_kanren.siko_ymd IS '施行年月日';</v>
      </c>
    </row>
    <row r="18" spans="1:52" s="25" customFormat="1">
      <c r="A18" s="4"/>
      <c r="B18" s="21">
        <f t="shared" si="2"/>
        <v>6</v>
      </c>
      <c r="C18" s="6" t="s">
        <v>2511</v>
      </c>
      <c r="D18" s="6" t="s">
        <v>2512</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milscm_2023_009.sny_202310_backup_mt2_tokutei_kizai_kanren.new_f IS '最新フラグ';</v>
      </c>
    </row>
    <row r="19" spans="1:52" s="25" customFormat="1" ht="34.799999999999997">
      <c r="A19" s="4"/>
      <c r="B19" s="21">
        <f t="shared" si="2"/>
        <v>7</v>
      </c>
      <c r="C19" s="6" t="s">
        <v>2538</v>
      </c>
      <c r="D19" s="6" t="s">
        <v>1908</v>
      </c>
      <c r="E19" s="8"/>
      <c r="F19" s="7" t="s">
        <v>737</v>
      </c>
      <c r="G19" s="7" t="str">
        <f t="shared" si="3"/>
        <v>text</v>
      </c>
      <c r="H19" s="26">
        <v>0</v>
      </c>
      <c r="I19" s="10" t="s">
        <v>127</v>
      </c>
      <c r="J19" s="11" t="s">
        <v>2642</v>
      </c>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milscm_2023_009.sny_202310_backup_mt2_tokutei_kizai_kanren.del_f IS '削除フラグ';</v>
      </c>
    </row>
    <row r="20" spans="1:52" s="25" customFormat="1" ht="34.799999999999997">
      <c r="A20" s="4"/>
      <c r="B20" s="21">
        <f t="shared" si="2"/>
        <v>8</v>
      </c>
      <c r="C20" s="6" t="s">
        <v>1971</v>
      </c>
      <c r="D20" s="6" t="s">
        <v>1910</v>
      </c>
      <c r="E20" s="8"/>
      <c r="F20" s="7" t="s">
        <v>737</v>
      </c>
      <c r="G20" s="7" t="str">
        <f t="shared" si="3"/>
        <v>text</v>
      </c>
      <c r="H20" s="26">
        <v>99999999</v>
      </c>
      <c r="I20" s="10" t="s">
        <v>127</v>
      </c>
      <c r="J20" s="11" t="s">
        <v>2643</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milscm_2023_009.sny_202310_backup_mt2_tokutei_kizai_kanren.henkou_ymd IS '変更年月日';</v>
      </c>
    </row>
    <row r="21" spans="1:52" s="25" customFormat="1" ht="70.2" thickBot="1">
      <c r="A21" s="4"/>
      <c r="B21" s="27">
        <f>ROW()-12</f>
        <v>9</v>
      </c>
      <c r="C21" s="57" t="s">
        <v>1911</v>
      </c>
      <c r="D21" s="57" t="s">
        <v>1912</v>
      </c>
      <c r="E21" s="56"/>
      <c r="F21" s="56" t="s">
        <v>737</v>
      </c>
      <c r="G21" s="56" t="str">
        <f t="shared" si="3"/>
        <v>text</v>
      </c>
      <c r="H21" s="59">
        <v>99999999</v>
      </c>
      <c r="I21" s="60" t="s">
        <v>127</v>
      </c>
      <c r="J21" s="64" t="s">
        <v>2644</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milscm_2023_009.sny_202310_backup_mt2_tokutei_kizai_kanren.del_ymd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ENT_01_A4-11</v>
      </c>
      <c r="E6" s="234"/>
      <c r="F6" s="234"/>
      <c r="G6" s="234"/>
      <c r="H6" s="234"/>
      <c r="I6" s="234"/>
      <c r="J6" s="235"/>
    </row>
    <row r="7" spans="1:45">
      <c r="B7" s="223" t="s">
        <v>115</v>
      </c>
      <c r="C7" s="224"/>
      <c r="D7" s="225" t="s">
        <v>2645</v>
      </c>
      <c r="E7" s="226"/>
      <c r="F7" s="226"/>
      <c r="G7" s="226"/>
      <c r="H7" s="226"/>
      <c r="I7" s="226"/>
      <c r="J7" s="227"/>
    </row>
    <row r="8" spans="1:45">
      <c r="B8" s="223" t="s">
        <v>116</v>
      </c>
      <c r="C8" s="224"/>
      <c r="D8" s="225" t="str">
        <f>エンティティ一覧!AE2&amp;"_"&amp;D5&amp;"_mt2_dpc_kanren"</f>
        <v>sny_202310_backup_mt2_dpc_kanren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milscm_2023_009.sny_202310_backup_mt2_dpc_kanren;</v>
      </c>
      <c r="O10" s="76"/>
      <c r="P10" s="76"/>
      <c r="Q10" s="76"/>
      <c r="R10" s="76"/>
      <c r="S10" s="76"/>
      <c r="T10" s="76"/>
      <c r="AJ10" s="76" t="str">
        <f>"ALTER TABLE ONLY "&amp;エンティティ一覧!$O$2&amp;"."&amp;D$8</f>
        <v>ALTER TABLE ONLY milscm_2023_009.sny_202310_backup_mt2_dpc_kanren</v>
      </c>
      <c r="AS10" s="76" t="str">
        <f>"ALTER TABLE "&amp;エンティティ一覧!$O$2&amp;"."&amp;D$8&amp;" OWNER TO pgmisgrp1;"</f>
        <v>ALTER TABLE milscm_2023_009.sny_202310_backup_mt2_dpc_kanren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milscm_2023_009.sny_202310_backup_mt2_dpc_kanren</v>
      </c>
      <c r="O11" s="76"/>
      <c r="P11" s="76"/>
      <c r="Q11" s="76"/>
      <c r="R11" s="76"/>
      <c r="S11" s="76"/>
      <c r="T11" s="76"/>
      <c r="AJ11" s="76" t="str">
        <f>"ADD CONSTRAINT "&amp;D$8&amp;"_pkey PRIMARY KEY"</f>
        <v>ADD CONSTRAINT sny_202310_backup_mt2_dpc_kanren_pkey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milscm_2023_009.sny_202310_backup_mt2_dpc_kanren IS 'バックアップ_DPC関連マスタ';</v>
      </c>
    </row>
    <row r="13" spans="1:45" s="25" customFormat="1">
      <c r="A13" s="4"/>
      <c r="B13" s="21">
        <f>ROW()-12</f>
        <v>1</v>
      </c>
      <c r="C13" s="6" t="s">
        <v>1932</v>
      </c>
      <c r="D13" s="6" t="s">
        <v>1933</v>
      </c>
      <c r="E13" s="8"/>
      <c r="F13" s="8" t="s">
        <v>737</v>
      </c>
      <c r="G13" s="7" t="str">
        <f>IF(F13="フラグ","boolean",IF(F13="文字列","text",IF(F13="整数","integer",IF(F13="実数","numeric",""))))</f>
        <v>text</v>
      </c>
      <c r="H13" s="9"/>
      <c r="I13" s="10" t="s">
        <v>127</v>
      </c>
      <c r="J13" s="11" t="s">
        <v>2650</v>
      </c>
      <c r="M13" s="4"/>
      <c r="N13" s="76"/>
      <c r="O13" s="76"/>
      <c r="P13" s="76" t="str">
        <f>IF(B13&lt;&gt;1,","&amp;D13,D13)</f>
        <v>dpc2_cd</v>
      </c>
      <c r="Q13" s="76" t="str">
        <f t="shared" ref="Q13:Q21" si="0">UPPER(G13)</f>
        <v>TEXT</v>
      </c>
      <c r="R13" s="76" t="str">
        <f t="shared" ref="R13:R21" si="1">IF(H13&lt;&gt;"","default "&amp;IF(G13="text","'"&amp;H13&amp;"'",H13),"")</f>
        <v/>
      </c>
      <c r="S13" s="76" t="str">
        <f>IF(I13="○","NOT NULL","")</f>
        <v>NOT NULL</v>
      </c>
      <c r="T13" s="76" t="str">
        <f>"-- "&amp;C13</f>
        <v>-- DPCコード2桁</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milscm_2023_009.sny_202310_backup_mt2_dpc_kanren.dpc2_cd IS 'DPCコード2桁';</v>
      </c>
    </row>
    <row r="14" spans="1:45" s="25" customFormat="1">
      <c r="A14" s="4"/>
      <c r="B14" s="21">
        <f t="shared" ref="B14:B20" si="2">ROW()-12</f>
        <v>2</v>
      </c>
      <c r="C14" s="6" t="s">
        <v>2646</v>
      </c>
      <c r="D14" s="6" t="s">
        <v>2647</v>
      </c>
      <c r="E14" s="8"/>
      <c r="F14" s="7" t="s">
        <v>737</v>
      </c>
      <c r="G14" s="7" t="str">
        <f t="shared" ref="G14:G21" si="3">IF(F14="フラグ","boolean",IF(F14="文字列","text",IF(F14="整数","integer",IF(F14="実数","numeric",""))))</f>
        <v>text</v>
      </c>
      <c r="H14" s="26"/>
      <c r="I14" s="10" t="s">
        <v>127</v>
      </c>
      <c r="J14" s="11" t="s">
        <v>2650</v>
      </c>
      <c r="M14" s="4"/>
      <c r="N14" s="76"/>
      <c r="O14" s="76"/>
      <c r="P14" s="76" t="str">
        <f t="shared" ref="P14:P21" si="4">IF(B14&lt;&gt;1,","&amp;D14,D14)</f>
        <v>,dpc2_name</v>
      </c>
      <c r="Q14" s="76" t="str">
        <f t="shared" si="0"/>
        <v>TEXT</v>
      </c>
      <c r="R14" s="76" t="str">
        <f t="shared" si="1"/>
        <v/>
      </c>
      <c r="S14" s="76" t="str">
        <f t="shared" ref="S14:S21" si="5">IF(I14="○","NOT NULL","")</f>
        <v>NOT NULL</v>
      </c>
      <c r="T14" s="76" t="str">
        <f t="shared" ref="T14:T21" si="6">"-- "&amp;C14</f>
        <v>-- DPC2桁名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milscm_2023_009.sny_202310_backup_mt2_dpc_kanren.dpc2_name IS 'DPC2桁名';</v>
      </c>
    </row>
    <row r="15" spans="1:45" s="25" customFormat="1" ht="34.799999999999997">
      <c r="A15" s="4"/>
      <c r="B15" s="21">
        <f t="shared" si="2"/>
        <v>3</v>
      </c>
      <c r="C15" s="6" t="s">
        <v>1934</v>
      </c>
      <c r="D15" s="6" t="s">
        <v>1935</v>
      </c>
      <c r="E15" s="8" t="s">
        <v>127</v>
      </c>
      <c r="F15" s="7" t="s">
        <v>737</v>
      </c>
      <c r="G15" s="7" t="str">
        <f t="shared" si="3"/>
        <v>text</v>
      </c>
      <c r="H15" s="26"/>
      <c r="I15" s="10" t="s">
        <v>127</v>
      </c>
      <c r="J15" s="11" t="s">
        <v>2651</v>
      </c>
      <c r="M15" s="4"/>
      <c r="N15" s="76"/>
      <c r="O15" s="76"/>
      <c r="P15" s="76" t="str">
        <f t="shared" si="4"/>
        <v>,dpc6_cd</v>
      </c>
      <c r="Q15" s="76" t="str">
        <f t="shared" si="0"/>
        <v>TEXT</v>
      </c>
      <c r="R15" s="76" t="str">
        <f t="shared" si="1"/>
        <v/>
      </c>
      <c r="S15" s="76" t="str">
        <f t="shared" si="5"/>
        <v>NOT NULL</v>
      </c>
      <c r="T15" s="76" t="str">
        <f t="shared" si="6"/>
        <v>-- DPCコード6桁</v>
      </c>
      <c r="U15" s="4"/>
      <c r="AA15" s="4"/>
      <c r="AB15" s="4"/>
      <c r="AC15" s="4"/>
      <c r="AD15" s="4"/>
      <c r="AE15" s="4"/>
      <c r="AF15" s="4"/>
      <c r="AG15" s="4"/>
      <c r="AH15" s="4"/>
      <c r="AI15" s="4"/>
      <c r="AJ15" s="76" t="str">
        <f>IF(E15="○",IF(COUNTA(E$13:E15)=1,"",",")&amp;D15,"")</f>
        <v>dpc6_cd</v>
      </c>
      <c r="AK15" s="4"/>
      <c r="AL15" s="4"/>
      <c r="AM15" s="4"/>
      <c r="AN15" s="4"/>
      <c r="AO15" s="4"/>
      <c r="AP15" s="4"/>
      <c r="AQ15" s="4"/>
      <c r="AR15" s="4"/>
      <c r="AS15" s="76" t="str">
        <f>"COMMENT ON COLUMN "&amp;エンティティ一覧!$O$2&amp;"."&amp;D$8&amp;"."&amp;D15&amp;" IS '"&amp;C15&amp;"';"</f>
        <v>COMMENT ON COLUMN milscm_2023_009.sny_202310_backup_mt2_dpc_kanren.dpc6_cd IS 'DPCコード6桁';</v>
      </c>
    </row>
    <row r="16" spans="1:45" s="25" customFormat="1">
      <c r="A16" s="4"/>
      <c r="B16" s="21">
        <f t="shared" si="2"/>
        <v>4</v>
      </c>
      <c r="C16" s="6" t="s">
        <v>2648</v>
      </c>
      <c r="D16" s="6" t="s">
        <v>2649</v>
      </c>
      <c r="E16" s="8"/>
      <c r="F16" s="7" t="s">
        <v>737</v>
      </c>
      <c r="G16" s="7" t="str">
        <f t="shared" si="3"/>
        <v>text</v>
      </c>
      <c r="H16" s="26"/>
      <c r="I16" s="10" t="s">
        <v>127</v>
      </c>
      <c r="J16" s="11" t="s">
        <v>2652</v>
      </c>
      <c r="M16" s="4"/>
      <c r="N16" s="76"/>
      <c r="O16" s="76"/>
      <c r="P16" s="76" t="str">
        <f t="shared" si="4"/>
        <v>,dpc6_name</v>
      </c>
      <c r="Q16" s="76" t="str">
        <f t="shared" si="0"/>
        <v>TEXT</v>
      </c>
      <c r="R16" s="76" t="str">
        <f t="shared" si="1"/>
        <v/>
      </c>
      <c r="S16" s="76" t="str">
        <f t="shared" si="5"/>
        <v>NOT NULL</v>
      </c>
      <c r="T16" s="76" t="str">
        <f t="shared" si="6"/>
        <v>-- DPC6桁名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milscm_2023_009.sny_202310_backup_mt2_dpc_kanren.dpc6_name IS 'DPC6桁名';</v>
      </c>
    </row>
    <row r="17" spans="1:52" s="25" customFormat="1" ht="34.799999999999997">
      <c r="A17" s="4"/>
      <c r="B17" s="21">
        <f t="shared" si="2"/>
        <v>5</v>
      </c>
      <c r="C17" s="6" t="s">
        <v>1917</v>
      </c>
      <c r="D17" s="6" t="s">
        <v>1918</v>
      </c>
      <c r="E17" s="8" t="s">
        <v>127</v>
      </c>
      <c r="F17" s="7" t="s">
        <v>737</v>
      </c>
      <c r="G17" s="7" t="str">
        <f t="shared" si="3"/>
        <v>text</v>
      </c>
      <c r="H17" s="26">
        <v>99999999</v>
      </c>
      <c r="I17" s="10" t="s">
        <v>127</v>
      </c>
      <c r="J17" s="11" t="s">
        <v>2653</v>
      </c>
      <c r="M17" s="4"/>
      <c r="N17" s="76"/>
      <c r="O17" s="76"/>
      <c r="P17" s="76" t="str">
        <f t="shared" si="4"/>
        <v>,siko_ymd</v>
      </c>
      <c r="Q17" s="76" t="str">
        <f t="shared" si="0"/>
        <v>TEXT</v>
      </c>
      <c r="R17" s="76" t="str">
        <f t="shared" si="1"/>
        <v>default '99999999'</v>
      </c>
      <c r="S17" s="76" t="str">
        <f t="shared" si="5"/>
        <v>NOT NULL</v>
      </c>
      <c r="T17" s="76" t="str">
        <f t="shared" si="6"/>
        <v>-- 施行年月日</v>
      </c>
      <c r="U17" s="4"/>
      <c r="AA17" s="4"/>
      <c r="AB17" s="4"/>
      <c r="AC17" s="4"/>
      <c r="AD17" s="4"/>
      <c r="AE17" s="4"/>
      <c r="AF17" s="4"/>
      <c r="AG17" s="4"/>
      <c r="AH17" s="4"/>
      <c r="AI17" s="4"/>
      <c r="AJ17" s="76" t="str">
        <f>IF(E17="○",IF(COUNTA(E$13:E17)=1,"",",")&amp;D17,"")</f>
        <v>,siko_ymd</v>
      </c>
      <c r="AK17" s="4"/>
      <c r="AL17" s="4"/>
      <c r="AM17" s="4"/>
      <c r="AN17" s="4"/>
      <c r="AO17" s="4"/>
      <c r="AP17" s="4"/>
      <c r="AQ17" s="4"/>
      <c r="AR17" s="4"/>
      <c r="AS17" s="76" t="str">
        <f>"COMMENT ON COLUMN "&amp;エンティティ一覧!$O$2&amp;"."&amp;D$8&amp;"."&amp;D17&amp;" IS '"&amp;C17&amp;"';"</f>
        <v>COMMENT ON COLUMN milscm_2023_009.sny_202310_backup_mt2_dpc_kanren.siko_ymd IS '施行年月日';</v>
      </c>
    </row>
    <row r="18" spans="1:52" s="25" customFormat="1">
      <c r="A18" s="4"/>
      <c r="B18" s="21">
        <f t="shared" si="2"/>
        <v>6</v>
      </c>
      <c r="C18" s="6" t="s">
        <v>2511</v>
      </c>
      <c r="D18" s="6" t="s">
        <v>2512</v>
      </c>
      <c r="E18" s="8"/>
      <c r="F18" s="7" t="s">
        <v>737</v>
      </c>
      <c r="G18" s="7" t="str">
        <f t="shared" si="3"/>
        <v>text</v>
      </c>
      <c r="H18" s="26">
        <v>0</v>
      </c>
      <c r="I18" s="10" t="s">
        <v>127</v>
      </c>
      <c r="J18" s="11"/>
      <c r="M18" s="4"/>
      <c r="N18" s="76"/>
      <c r="O18" s="76"/>
      <c r="P18" s="76" t="str">
        <f t="shared" si="4"/>
        <v>,new_f</v>
      </c>
      <c r="Q18" s="76" t="str">
        <f t="shared" si="0"/>
        <v>TEXT</v>
      </c>
      <c r="R18" s="76" t="str">
        <f t="shared" si="1"/>
        <v>default '0'</v>
      </c>
      <c r="S18" s="76" t="str">
        <f t="shared" si="5"/>
        <v>NOT NULL</v>
      </c>
      <c r="T18" s="76" t="str">
        <f t="shared" si="6"/>
        <v>-- 最新フラグ</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milscm_2023_009.sny_202310_backup_mt2_dpc_kanren.new_f IS '最新フラグ';</v>
      </c>
    </row>
    <row r="19" spans="1:52" s="25" customFormat="1">
      <c r="A19" s="4"/>
      <c r="B19" s="21">
        <f t="shared" si="2"/>
        <v>7</v>
      </c>
      <c r="C19" s="6" t="s">
        <v>2538</v>
      </c>
      <c r="D19" s="6" t="s">
        <v>1908</v>
      </c>
      <c r="E19" s="8"/>
      <c r="F19" s="7" t="s">
        <v>737</v>
      </c>
      <c r="G19" s="7" t="str">
        <f t="shared" si="3"/>
        <v>text</v>
      </c>
      <c r="H19" s="26">
        <v>0</v>
      </c>
      <c r="I19" s="10" t="s">
        <v>127</v>
      </c>
      <c r="J19" s="11"/>
      <c r="M19" s="4"/>
      <c r="N19" s="76"/>
      <c r="O19" s="76"/>
      <c r="P19" s="76" t="str">
        <f t="shared" si="4"/>
        <v>,del_f</v>
      </c>
      <c r="Q19" s="76" t="str">
        <f t="shared" si="0"/>
        <v>TEXT</v>
      </c>
      <c r="R19" s="76" t="str">
        <f t="shared" si="1"/>
        <v>default '0'</v>
      </c>
      <c r="S19" s="76" t="str">
        <f t="shared" si="5"/>
        <v>NOT NULL</v>
      </c>
      <c r="T19" s="76" t="str">
        <f t="shared" si="6"/>
        <v>-- 削除フラグ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milscm_2023_009.sny_202310_backup_mt2_dpc_kanren.del_f IS '削除フラグ';</v>
      </c>
    </row>
    <row r="20" spans="1:52" s="25" customFormat="1" ht="34.799999999999997">
      <c r="A20" s="4"/>
      <c r="B20" s="21">
        <f t="shared" si="2"/>
        <v>8</v>
      </c>
      <c r="C20" s="6" t="s">
        <v>1971</v>
      </c>
      <c r="D20" s="6" t="s">
        <v>1910</v>
      </c>
      <c r="E20" s="8"/>
      <c r="F20" s="7" t="s">
        <v>737</v>
      </c>
      <c r="G20" s="7" t="str">
        <f t="shared" si="3"/>
        <v>text</v>
      </c>
      <c r="H20" s="26">
        <v>99999999</v>
      </c>
      <c r="I20" s="10" t="s">
        <v>127</v>
      </c>
      <c r="J20" s="11" t="s">
        <v>2653</v>
      </c>
      <c r="M20" s="4"/>
      <c r="N20" s="76"/>
      <c r="O20" s="76"/>
      <c r="P20" s="76" t="str">
        <f t="shared" si="4"/>
        <v>,henkou_ymd</v>
      </c>
      <c r="Q20" s="76" t="str">
        <f t="shared" si="0"/>
        <v>TEXT</v>
      </c>
      <c r="R20" s="76" t="str">
        <f t="shared" si="1"/>
        <v>default '99999999'</v>
      </c>
      <c r="S20" s="76" t="str">
        <f t="shared" si="5"/>
        <v>NOT NULL</v>
      </c>
      <c r="T20" s="76" t="str">
        <f t="shared" si="6"/>
        <v>-- 変更年月日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milscm_2023_009.sny_202310_backup_mt2_dpc_kanren.henkou_ymd IS '変更年月日';</v>
      </c>
    </row>
    <row r="21" spans="1:52" s="25" customFormat="1" ht="35.4" thickBot="1">
      <c r="A21" s="4"/>
      <c r="B21" s="27">
        <f>ROW()-12</f>
        <v>9</v>
      </c>
      <c r="C21" s="57" t="s">
        <v>1911</v>
      </c>
      <c r="D21" s="57" t="s">
        <v>1912</v>
      </c>
      <c r="E21" s="56"/>
      <c r="F21" s="56" t="s">
        <v>737</v>
      </c>
      <c r="G21" s="56" t="str">
        <f t="shared" si="3"/>
        <v>text</v>
      </c>
      <c r="H21" s="59">
        <v>99999999</v>
      </c>
      <c r="I21" s="60" t="s">
        <v>127</v>
      </c>
      <c r="J21" s="64" t="s">
        <v>2653</v>
      </c>
      <c r="N21" s="76"/>
      <c r="O21" s="76"/>
      <c r="P21" s="76" t="str">
        <f t="shared" si="4"/>
        <v>,del_ymd</v>
      </c>
      <c r="Q21" s="76" t="str">
        <f t="shared" si="0"/>
        <v>TEXT</v>
      </c>
      <c r="R21" s="76" t="str">
        <f t="shared" si="1"/>
        <v>default '99999999'</v>
      </c>
      <c r="S21" s="76" t="str">
        <f t="shared" si="5"/>
        <v>NOT NULL</v>
      </c>
      <c r="T21" s="76" t="str">
        <f t="shared" si="6"/>
        <v>-- 廃止年月日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milscm_2023_009.sny_202310_backup_mt2_dpc_kanren.del_ymd IS '廃止年月日';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ENT_01_A4-12</v>
      </c>
      <c r="E6" s="234"/>
      <c r="F6" s="234"/>
      <c r="G6" s="234"/>
      <c r="H6" s="234"/>
      <c r="I6" s="234"/>
      <c r="J6" s="235"/>
    </row>
    <row r="7" spans="1:45">
      <c r="B7" s="223" t="s">
        <v>115</v>
      </c>
      <c r="C7" s="224"/>
      <c r="D7" s="225" t="s">
        <v>2654</v>
      </c>
      <c r="E7" s="226"/>
      <c r="F7" s="226"/>
      <c r="G7" s="226"/>
      <c r="H7" s="226"/>
      <c r="I7" s="226"/>
      <c r="J7" s="227"/>
    </row>
    <row r="8" spans="1:45">
      <c r="B8" s="223" t="s">
        <v>116</v>
      </c>
      <c r="C8" s="224"/>
      <c r="D8" s="225" t="str">
        <f>エンティティ一覧!AE2&amp;"_"&amp;D5&amp;"_mt2_shikkan_kanren"</f>
        <v>sny_202310_backup_mt2_shikkan_kanren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疾患関連マスタテーブルから組入れ条件の第一条件で絞り込んだ結果を格納するテーブル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milscm_2023_009.sny_202310_backup_mt2_shikkan_kanren;</v>
      </c>
      <c r="O10" s="76"/>
      <c r="P10" s="76"/>
      <c r="Q10" s="76"/>
      <c r="R10" s="76"/>
      <c r="S10" s="76"/>
      <c r="T10" s="76"/>
      <c r="AJ10" s="76" t="str">
        <f>"ALTER TABLE ONLY "&amp;エンティティ一覧!$O$2&amp;"."&amp;D$8</f>
        <v>ALTER TABLE ONLY milscm_2023_009.sny_202310_backup_mt2_shikkan_kanren</v>
      </c>
      <c r="AS10" s="76" t="str">
        <f>"ALTER TABLE "&amp;エンティティ一覧!$O$2&amp;"."&amp;D$8&amp;" OWNER TO pgmisgrp1;"</f>
        <v>ALTER TABLE milscm_2023_009.sny_202310_backup_mt2_shikkan_kanren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milscm_2023_009.sny_202310_backup_mt2_shikkan_kanren</v>
      </c>
      <c r="O11" s="76"/>
      <c r="P11" s="76"/>
      <c r="Q11" s="76"/>
      <c r="R11" s="76"/>
      <c r="S11" s="76"/>
      <c r="T11" s="76"/>
      <c r="AJ11" s="76" t="str">
        <f>"ADD CONSTRAINT "&amp;D$8&amp;"_pkey PRIMARY KEY"</f>
        <v>ADD CONSTRAINT sny_202310_backup_mt2_shikkan_kanren_pkey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milscm_2023_009.sny_202310_backup_mt2_shikkan_kanren IS 'バックアップ_疾患関連マスタ';</v>
      </c>
    </row>
    <row r="13" spans="1:45" s="25" customFormat="1">
      <c r="A13" s="4"/>
      <c r="B13" s="21">
        <f>ROW()-12</f>
        <v>1</v>
      </c>
      <c r="C13" s="6" t="s">
        <v>2655</v>
      </c>
      <c r="D13" s="6" t="s">
        <v>2656</v>
      </c>
      <c r="E13" s="8" t="s">
        <v>127</v>
      </c>
      <c r="F13" s="8" t="s">
        <v>737</v>
      </c>
      <c r="G13" s="7" t="str">
        <f>IF(F13="フラグ","boolean",IF(F13="文字列","text",IF(F13="整数","integer",IF(F13="実数","numeric",""))))</f>
        <v>text</v>
      </c>
      <c r="H13" s="9"/>
      <c r="I13" s="10" t="s">
        <v>127</v>
      </c>
      <c r="J13" s="11" t="s">
        <v>2675</v>
      </c>
      <c r="M13" s="4"/>
      <c r="N13" s="76"/>
      <c r="O13" s="76"/>
      <c r="P13" s="76" t="str">
        <f>IF(B13&lt;&gt;1,","&amp;D13,D13)</f>
        <v>shikkan_cd</v>
      </c>
      <c r="Q13" s="76" t="str">
        <f t="shared" ref="Q13:Q28" si="0">UPPER(G13)</f>
        <v>TEXT</v>
      </c>
      <c r="R13" s="76" t="str">
        <f t="shared" ref="R13:R28" si="1">IF(H13&lt;&gt;"","default "&amp;IF(G13="text","'"&amp;H13&amp;"'",H13),"")</f>
        <v/>
      </c>
      <c r="S13" s="76" t="str">
        <f>IF(I13="○","NOT NULL","")</f>
        <v>NOT NULL</v>
      </c>
      <c r="T13" s="76" t="str">
        <f>"-- "&amp;C13</f>
        <v>-- 疾患コード</v>
      </c>
      <c r="U13" s="4"/>
      <c r="AA13" s="4"/>
      <c r="AB13" s="4"/>
      <c r="AC13" s="4"/>
      <c r="AD13" s="4"/>
      <c r="AE13" s="4"/>
      <c r="AF13" s="4"/>
      <c r="AG13" s="4"/>
      <c r="AH13" s="4"/>
      <c r="AI13" s="4"/>
      <c r="AJ13" s="76" t="str">
        <f>IF(E13="○",IF(COUNTA(E$13:E13)=1,"",",")&amp;D13,"")</f>
        <v>shikkan_cd</v>
      </c>
      <c r="AK13" s="4"/>
      <c r="AL13" s="4"/>
      <c r="AM13" s="4"/>
      <c r="AN13" s="4"/>
      <c r="AO13" s="4"/>
      <c r="AP13" s="4"/>
      <c r="AQ13" s="4"/>
      <c r="AR13" s="4"/>
      <c r="AS13" s="76" t="str">
        <f>"COMMENT ON COLUMN "&amp;エンティティ一覧!$O$2&amp;"."&amp;D$8&amp;"."&amp;D13&amp;" IS '"&amp;C13&amp;"';"</f>
        <v>COMMENT ON COLUMN milscm_2023_009.sny_202310_backup_mt2_shikkan_kanren.shikkan_cd IS '疾患コード';</v>
      </c>
    </row>
    <row r="14" spans="1:45" s="25" customFormat="1">
      <c r="A14" s="4"/>
      <c r="B14" s="21">
        <f t="shared" ref="B14:B27" si="2">ROW()-12</f>
        <v>2</v>
      </c>
      <c r="C14" s="6" t="s">
        <v>2657</v>
      </c>
      <c r="D14" s="6" t="s">
        <v>2658</v>
      </c>
      <c r="E14" s="8"/>
      <c r="F14" s="7" t="s">
        <v>737</v>
      </c>
      <c r="G14" s="7" t="str">
        <f t="shared" ref="G14:G28" si="3">IF(F14="フラグ","boolean",IF(F14="文字列","text",IF(F14="整数","integer",IF(F14="実数","numeric",""))))</f>
        <v>text</v>
      </c>
      <c r="H14" s="26"/>
      <c r="I14" s="10"/>
      <c r="J14" s="11" t="s">
        <v>2675</v>
      </c>
      <c r="M14" s="4"/>
      <c r="N14" s="76"/>
      <c r="O14" s="76"/>
      <c r="P14" s="76" t="str">
        <f t="shared" ref="P14:P28" si="4">IF(B14&lt;&gt;1,","&amp;D14,D14)</f>
        <v>,icd10_l_cd</v>
      </c>
      <c r="Q14" s="76" t="str">
        <f t="shared" si="0"/>
        <v>TEXT</v>
      </c>
      <c r="R14" s="76" t="str">
        <f t="shared" si="1"/>
        <v/>
      </c>
      <c r="S14" s="76" t="str">
        <f t="shared" ref="S14:S28" si="5">IF(I14="○","NOT NULL","")</f>
        <v/>
      </c>
      <c r="T14" s="76" t="str">
        <f t="shared" ref="T14:T28" si="6">"-- "&amp;C14</f>
        <v>-- ICD10大分類コード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milscm_2023_009.sny_202310_backup_mt2_shikkan_kanren.icd10_l_cd IS 'ICD10大分類コード';</v>
      </c>
    </row>
    <row r="15" spans="1:45" s="25" customFormat="1">
      <c r="A15" s="4"/>
      <c r="B15" s="21">
        <f t="shared" si="2"/>
        <v>3</v>
      </c>
      <c r="C15" s="6" t="s">
        <v>2659</v>
      </c>
      <c r="D15" s="6" t="s">
        <v>2660</v>
      </c>
      <c r="E15" s="8"/>
      <c r="F15" s="7" t="s">
        <v>737</v>
      </c>
      <c r="G15" s="7" t="str">
        <f t="shared" si="3"/>
        <v>text</v>
      </c>
      <c r="H15" s="26"/>
      <c r="I15" s="10"/>
      <c r="J15" s="11" t="s">
        <v>2675</v>
      </c>
      <c r="M15" s="4"/>
      <c r="N15" s="76"/>
      <c r="O15" s="76"/>
      <c r="P15" s="76" t="str">
        <f t="shared" si="4"/>
        <v>,icd10_m_cd</v>
      </c>
      <c r="Q15" s="76" t="str">
        <f t="shared" si="0"/>
        <v>TEXT</v>
      </c>
      <c r="R15" s="76" t="str">
        <f t="shared" si="1"/>
        <v/>
      </c>
      <c r="S15" s="76" t="str">
        <f t="shared" si="5"/>
        <v/>
      </c>
      <c r="T15" s="76" t="str">
        <f t="shared" si="6"/>
        <v>-- ICD10中分類コード</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milscm_2023_009.sny_202310_backup_mt2_shikkan_kanren.icd10_m_cd IS 'ICD10中分類コード';</v>
      </c>
    </row>
    <row r="16" spans="1:45" s="25" customFormat="1">
      <c r="A16" s="4"/>
      <c r="B16" s="21">
        <f t="shared" si="2"/>
        <v>4</v>
      </c>
      <c r="C16" s="6" t="s">
        <v>2661</v>
      </c>
      <c r="D16" s="6" t="s">
        <v>894</v>
      </c>
      <c r="E16" s="8"/>
      <c r="F16" s="7" t="s">
        <v>737</v>
      </c>
      <c r="G16" s="7" t="str">
        <f t="shared" si="3"/>
        <v>text</v>
      </c>
      <c r="H16" s="26"/>
      <c r="I16" s="10"/>
      <c r="J16" s="11" t="s">
        <v>2675</v>
      </c>
      <c r="M16" s="4"/>
      <c r="N16" s="76"/>
      <c r="O16" s="76"/>
      <c r="P16" s="76" t="str">
        <f t="shared" si="4"/>
        <v>,icd10_s_cd</v>
      </c>
      <c r="Q16" s="76" t="str">
        <f t="shared" si="0"/>
        <v>TEXT</v>
      </c>
      <c r="R16" s="76" t="str">
        <f t="shared" si="1"/>
        <v/>
      </c>
      <c r="S16" s="76" t="str">
        <f t="shared" si="5"/>
        <v/>
      </c>
      <c r="T16" s="76" t="str">
        <f t="shared" si="6"/>
        <v>-- ICD10小分類コード</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milscm_2023_009.sny_202310_backup_mt2_shikkan_kanren.icd10_s_cd IS 'ICD10小分類コード';</v>
      </c>
    </row>
    <row r="17" spans="1:52" s="25" customFormat="1">
      <c r="A17" s="4"/>
      <c r="B17" s="21">
        <f t="shared" si="2"/>
        <v>5</v>
      </c>
      <c r="C17" s="6" t="s">
        <v>2662</v>
      </c>
      <c r="D17" s="6" t="s">
        <v>2663</v>
      </c>
      <c r="E17" s="8"/>
      <c r="F17" s="7" t="s">
        <v>737</v>
      </c>
      <c r="G17" s="7" t="str">
        <f t="shared" si="3"/>
        <v>text</v>
      </c>
      <c r="H17" s="26"/>
      <c r="I17" s="10"/>
      <c r="J17" s="11" t="s">
        <v>2675</v>
      </c>
      <c r="M17" s="4"/>
      <c r="N17" s="76"/>
      <c r="O17" s="76"/>
      <c r="P17" s="76" t="str">
        <f t="shared" si="4"/>
        <v>,icd10_ss_cd</v>
      </c>
      <c r="Q17" s="76" t="str">
        <f t="shared" si="0"/>
        <v>TEXT</v>
      </c>
      <c r="R17" s="76" t="str">
        <f t="shared" si="1"/>
        <v/>
      </c>
      <c r="S17" s="76" t="str">
        <f t="shared" si="5"/>
        <v/>
      </c>
      <c r="T17" s="76" t="str">
        <f t="shared" si="6"/>
        <v>-- ICD10細分類コード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milscm_2023_009.sny_202310_backup_mt2_shikkan_kanren.icd10_ss_cd IS 'ICD10細分類コード';</v>
      </c>
    </row>
    <row r="18" spans="1:52" s="25" customFormat="1">
      <c r="A18" s="4"/>
      <c r="B18" s="21">
        <f t="shared" si="2"/>
        <v>6</v>
      </c>
      <c r="C18" s="6" t="s">
        <v>2091</v>
      </c>
      <c r="D18" s="6" t="s">
        <v>2092</v>
      </c>
      <c r="E18" s="8"/>
      <c r="F18" s="7" t="s">
        <v>737</v>
      </c>
      <c r="G18" s="7" t="str">
        <f t="shared" si="3"/>
        <v>text</v>
      </c>
      <c r="H18" s="26"/>
      <c r="I18" s="10" t="s">
        <v>127</v>
      </c>
      <c r="J18" s="11" t="s">
        <v>2675</v>
      </c>
      <c r="M18" s="4"/>
      <c r="N18" s="76"/>
      <c r="O18" s="76"/>
      <c r="P18" s="76" t="str">
        <f t="shared" si="4"/>
        <v>,shikkan_name</v>
      </c>
      <c r="Q18" s="76" t="str">
        <f t="shared" si="0"/>
        <v>TEXT</v>
      </c>
      <c r="R18" s="76" t="str">
        <f t="shared" si="1"/>
        <v/>
      </c>
      <c r="S18" s="76" t="str">
        <f t="shared" si="5"/>
        <v>NOT NULL</v>
      </c>
      <c r="T18" s="76" t="str">
        <f t="shared" si="6"/>
        <v>-- 疾患名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milscm_2023_009.sny_202310_backup_mt2_shikkan_kanren.shikkan_name IS '疾患名';</v>
      </c>
    </row>
    <row r="19" spans="1:52" s="25" customFormat="1">
      <c r="A19" s="4"/>
      <c r="B19" s="21">
        <f t="shared" si="2"/>
        <v>7</v>
      </c>
      <c r="C19" s="6" t="s">
        <v>2664</v>
      </c>
      <c r="D19" s="6" t="s">
        <v>2665</v>
      </c>
      <c r="E19" s="8"/>
      <c r="F19" s="7" t="s">
        <v>737</v>
      </c>
      <c r="G19" s="7" t="str">
        <f t="shared" si="3"/>
        <v>text</v>
      </c>
      <c r="H19" s="26"/>
      <c r="I19" s="10"/>
      <c r="J19" s="11" t="s">
        <v>2676</v>
      </c>
      <c r="M19" s="4"/>
      <c r="N19" s="76"/>
      <c r="O19" s="76"/>
      <c r="P19" s="76" t="str">
        <f t="shared" si="4"/>
        <v>,icd10_l_name</v>
      </c>
      <c r="Q19" s="76" t="str">
        <f t="shared" si="0"/>
        <v>TEXT</v>
      </c>
      <c r="R19" s="76" t="str">
        <f t="shared" si="1"/>
        <v/>
      </c>
      <c r="S19" s="76" t="str">
        <f t="shared" si="5"/>
        <v/>
      </c>
      <c r="T19" s="76" t="str">
        <f t="shared" si="6"/>
        <v>-- ICD10大分類名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milscm_2023_009.sny_202310_backup_mt2_shikkan_kanren.icd10_l_name IS 'ICD10大分類名';</v>
      </c>
    </row>
    <row r="20" spans="1:52" s="25" customFormat="1">
      <c r="A20" s="4"/>
      <c r="B20" s="21">
        <f t="shared" si="2"/>
        <v>8</v>
      </c>
      <c r="C20" s="6" t="s">
        <v>2666</v>
      </c>
      <c r="D20" s="6" t="s">
        <v>2667</v>
      </c>
      <c r="E20" s="8"/>
      <c r="F20" s="7" t="s">
        <v>737</v>
      </c>
      <c r="G20" s="7" t="str">
        <f t="shared" ref="G20:G26" si="7">IF(F20="フラグ","boolean",IF(F20="文字列","text",IF(F20="整数","integer",IF(F20="実数","numeric",""))))</f>
        <v>text</v>
      </c>
      <c r="H20" s="26"/>
      <c r="I20" s="10"/>
      <c r="J20" s="11" t="s">
        <v>2677</v>
      </c>
      <c r="M20" s="4"/>
      <c r="N20" s="76"/>
      <c r="O20" s="76"/>
      <c r="P20" s="76" t="str">
        <f t="shared" ref="P20:P26" si="8">IF(B20&lt;&gt;1,","&amp;D20,D20)</f>
        <v>,icd10_m_name</v>
      </c>
      <c r="Q20" s="76" t="str">
        <f t="shared" ref="Q20:Q26" si="9">UPPER(G20)</f>
        <v>TEXT</v>
      </c>
      <c r="R20" s="76" t="str">
        <f t="shared" ref="R20:R26" si="10">IF(H20&lt;&gt;"","default "&amp;IF(G20="text","'"&amp;H20&amp;"'",H20),"")</f>
        <v/>
      </c>
      <c r="S20" s="76" t="str">
        <f t="shared" ref="S20:S26" si="11">IF(I20="○","NOT NULL","")</f>
        <v/>
      </c>
      <c r="T20" s="76" t="str">
        <f t="shared" ref="T20:T26" si="12">"-- "&amp;C20</f>
        <v>-- ICD10中分類名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milscm_2023_009.sny_202310_backup_mt2_shikkan_kanren.icd10_m_name IS 'ICD10中分類名';</v>
      </c>
    </row>
    <row r="21" spans="1:52" s="25" customFormat="1">
      <c r="A21" s="4"/>
      <c r="B21" s="21">
        <f t="shared" si="2"/>
        <v>9</v>
      </c>
      <c r="C21" s="6" t="s">
        <v>2668</v>
      </c>
      <c r="D21" s="6" t="s">
        <v>895</v>
      </c>
      <c r="E21" s="8"/>
      <c r="F21" s="7" t="s">
        <v>737</v>
      </c>
      <c r="G21" s="7" t="str">
        <f t="shared" si="7"/>
        <v>text</v>
      </c>
      <c r="H21" s="26"/>
      <c r="I21" s="10"/>
      <c r="J21" s="11" t="s">
        <v>2678</v>
      </c>
      <c r="M21" s="4"/>
      <c r="N21" s="76"/>
      <c r="O21" s="76"/>
      <c r="P21" s="76" t="str">
        <f t="shared" si="8"/>
        <v>,icd10_s_name</v>
      </c>
      <c r="Q21" s="76" t="str">
        <f t="shared" si="9"/>
        <v>TEXT</v>
      </c>
      <c r="R21" s="76" t="str">
        <f t="shared" si="10"/>
        <v/>
      </c>
      <c r="S21" s="76" t="str">
        <f t="shared" si="11"/>
        <v/>
      </c>
      <c r="T21" s="76" t="str">
        <f t="shared" si="12"/>
        <v>-- ICD10小分類名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milscm_2023_009.sny_202310_backup_mt2_shikkan_kanren.icd10_s_name IS 'ICD10小分類名';</v>
      </c>
    </row>
    <row r="22" spans="1:52" s="25" customFormat="1">
      <c r="A22" s="4"/>
      <c r="B22" s="21">
        <f t="shared" si="2"/>
        <v>10</v>
      </c>
      <c r="C22" s="6" t="s">
        <v>2669</v>
      </c>
      <c r="D22" s="6" t="s">
        <v>2670</v>
      </c>
      <c r="E22" s="8"/>
      <c r="F22" s="7" t="s">
        <v>737</v>
      </c>
      <c r="G22" s="7" t="str">
        <f t="shared" si="7"/>
        <v>text</v>
      </c>
      <c r="H22" s="26"/>
      <c r="I22" s="10"/>
      <c r="J22" s="11" t="s">
        <v>2679</v>
      </c>
      <c r="M22" s="4"/>
      <c r="N22" s="76"/>
      <c r="O22" s="76"/>
      <c r="P22" s="76" t="str">
        <f t="shared" si="8"/>
        <v>,icd10_ss_name</v>
      </c>
      <c r="Q22" s="76" t="str">
        <f t="shared" si="9"/>
        <v>TEXT</v>
      </c>
      <c r="R22" s="76" t="str">
        <f t="shared" si="10"/>
        <v/>
      </c>
      <c r="S22" s="76" t="str">
        <f t="shared" si="11"/>
        <v/>
      </c>
      <c r="T22" s="76" t="str">
        <f t="shared" si="12"/>
        <v>-- ICD10細分類名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milscm_2023_009.sny_202310_backup_mt2_shikkan_kanren.icd10_ss_name IS 'ICD10細分類名';</v>
      </c>
    </row>
    <row r="23" spans="1:52" s="25" customFormat="1" ht="52.2">
      <c r="A23" s="4"/>
      <c r="B23" s="21">
        <f t="shared" si="2"/>
        <v>11</v>
      </c>
      <c r="C23" s="6" t="s">
        <v>2671</v>
      </c>
      <c r="D23" s="6" t="s">
        <v>2672</v>
      </c>
      <c r="E23" s="8" t="s">
        <v>127</v>
      </c>
      <c r="F23" s="7" t="s">
        <v>737</v>
      </c>
      <c r="G23" s="7" t="str">
        <f t="shared" si="7"/>
        <v>text</v>
      </c>
      <c r="H23" s="26">
        <v>0</v>
      </c>
      <c r="I23" s="10"/>
      <c r="J23" s="11" t="s">
        <v>2680</v>
      </c>
      <c r="M23" s="4"/>
      <c r="N23" s="76"/>
      <c r="O23" s="76"/>
      <c r="P23" s="76" t="str">
        <f t="shared" si="8"/>
        <v>,icd10_kubun</v>
      </c>
      <c r="Q23" s="76" t="str">
        <f t="shared" si="9"/>
        <v>TEXT</v>
      </c>
      <c r="R23" s="76" t="str">
        <f t="shared" si="10"/>
        <v>default '0'</v>
      </c>
      <c r="S23" s="76" t="str">
        <f t="shared" si="11"/>
        <v/>
      </c>
      <c r="T23" s="76" t="str">
        <f t="shared" si="12"/>
        <v>-- ICD10区分</v>
      </c>
      <c r="U23" s="4"/>
      <c r="AA23" s="4"/>
      <c r="AB23" s="4"/>
      <c r="AC23" s="4"/>
      <c r="AD23" s="4"/>
      <c r="AE23" s="4"/>
      <c r="AF23" s="4"/>
      <c r="AG23" s="4"/>
      <c r="AH23" s="4"/>
      <c r="AI23" s="4"/>
      <c r="AJ23" s="76" t="str">
        <f>IF(E23="○",IF(COUNTA(E$13:E23)=1,"",",")&amp;D23,"")</f>
        <v>,icd10_kubun</v>
      </c>
      <c r="AK23" s="4"/>
      <c r="AL23" s="4"/>
      <c r="AM23" s="4"/>
      <c r="AN23" s="4"/>
      <c r="AO23" s="4"/>
      <c r="AP23" s="4"/>
      <c r="AQ23" s="4"/>
      <c r="AR23" s="4"/>
      <c r="AS23" s="76" t="str">
        <f>"COMMENT ON COLUMN "&amp;エンティティ一覧!$O$2&amp;"."&amp;D$8&amp;"."&amp;D23&amp;" IS '"&amp;C23&amp;"';"</f>
        <v>COMMENT ON COLUMN milscm_2023_009.sny_202310_backup_mt2_shikkan_kanren.icd10_kubun IS 'ICD10区分';</v>
      </c>
    </row>
    <row r="24" spans="1:52" s="25" customFormat="1" ht="34.799999999999997">
      <c r="A24" s="4"/>
      <c r="B24" s="21">
        <f t="shared" si="2"/>
        <v>12</v>
      </c>
      <c r="C24" s="6" t="s">
        <v>2673</v>
      </c>
      <c r="D24" s="6" t="s">
        <v>1918</v>
      </c>
      <c r="E24" s="8" t="s">
        <v>127</v>
      </c>
      <c r="F24" s="7" t="s">
        <v>737</v>
      </c>
      <c r="G24" s="7" t="str">
        <f t="shared" si="7"/>
        <v>text</v>
      </c>
      <c r="H24" s="26">
        <v>99999999</v>
      </c>
      <c r="I24" s="10" t="s">
        <v>127</v>
      </c>
      <c r="J24" s="11" t="s">
        <v>2681</v>
      </c>
      <c r="M24" s="4"/>
      <c r="N24" s="76"/>
      <c r="O24" s="76"/>
      <c r="P24" s="76" t="str">
        <f t="shared" si="8"/>
        <v>,siko_ymd</v>
      </c>
      <c r="Q24" s="76" t="str">
        <f t="shared" si="9"/>
        <v>TEXT</v>
      </c>
      <c r="R24" s="76" t="str">
        <f t="shared" si="10"/>
        <v>default '99999999'</v>
      </c>
      <c r="S24" s="76" t="str">
        <f t="shared" si="11"/>
        <v>NOT NULL</v>
      </c>
      <c r="T24" s="76" t="str">
        <f t="shared" si="12"/>
        <v>-- 施行年月日</v>
      </c>
      <c r="U24" s="4"/>
      <c r="AA24" s="4"/>
      <c r="AB24" s="4"/>
      <c r="AC24" s="4"/>
      <c r="AD24" s="4"/>
      <c r="AE24" s="4"/>
      <c r="AF24" s="4"/>
      <c r="AG24" s="4"/>
      <c r="AH24" s="4"/>
      <c r="AI24" s="4"/>
      <c r="AJ24" s="76" t="str">
        <f>IF(E24="○",IF(COUNTA(E$13:E24)=1,"",",")&amp;D24,"")</f>
        <v>,siko_ymd</v>
      </c>
      <c r="AK24" s="4"/>
      <c r="AL24" s="4"/>
      <c r="AM24" s="4"/>
      <c r="AN24" s="4"/>
      <c r="AO24" s="4"/>
      <c r="AP24" s="4"/>
      <c r="AQ24" s="4"/>
      <c r="AR24" s="4"/>
      <c r="AS24" s="76" t="str">
        <f>"COMMENT ON COLUMN "&amp;エンティティ一覧!$O$2&amp;"."&amp;D$8&amp;"."&amp;D24&amp;" IS '"&amp;C24&amp;"';"</f>
        <v>COMMENT ON COLUMN milscm_2023_009.sny_202310_backup_mt2_shikkan_kanren.siko_ymd IS '施行年月日';</v>
      </c>
    </row>
    <row r="25" spans="1:52" s="25" customFormat="1" ht="52.2">
      <c r="A25" s="4"/>
      <c r="B25" s="21">
        <f t="shared" si="2"/>
        <v>13</v>
      </c>
      <c r="C25" s="6" t="s">
        <v>2511</v>
      </c>
      <c r="D25" s="6" t="s">
        <v>2512</v>
      </c>
      <c r="E25" s="8"/>
      <c r="F25" s="7" t="s">
        <v>737</v>
      </c>
      <c r="G25" s="7" t="str">
        <f t="shared" si="7"/>
        <v>text</v>
      </c>
      <c r="H25" s="26">
        <v>0</v>
      </c>
      <c r="I25" s="10" t="s">
        <v>127</v>
      </c>
      <c r="J25" s="11" t="s">
        <v>2682</v>
      </c>
      <c r="M25" s="4"/>
      <c r="N25" s="76"/>
      <c r="O25" s="76"/>
      <c r="P25" s="76" t="str">
        <f t="shared" si="8"/>
        <v>,new_f</v>
      </c>
      <c r="Q25" s="76" t="str">
        <f t="shared" si="9"/>
        <v>TEXT</v>
      </c>
      <c r="R25" s="76" t="str">
        <f t="shared" si="10"/>
        <v>default '0'</v>
      </c>
      <c r="S25" s="76" t="str">
        <f t="shared" si="11"/>
        <v>NOT NULL</v>
      </c>
      <c r="T25" s="76" t="str">
        <f t="shared" si="12"/>
        <v>-- 最新フラグ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milscm_2023_009.sny_202310_backup_mt2_shikkan_kanren.new_f IS '最新フラグ';</v>
      </c>
    </row>
    <row r="26" spans="1:52" s="25" customFormat="1">
      <c r="A26" s="4"/>
      <c r="B26" s="21">
        <f t="shared" si="2"/>
        <v>14</v>
      </c>
      <c r="C26" s="6" t="s">
        <v>2538</v>
      </c>
      <c r="D26" s="6" t="s">
        <v>1908</v>
      </c>
      <c r="E26" s="8"/>
      <c r="F26" s="7" t="s">
        <v>737</v>
      </c>
      <c r="G26" s="7" t="str">
        <f t="shared" si="7"/>
        <v>text</v>
      </c>
      <c r="H26" s="26">
        <v>0</v>
      </c>
      <c r="I26" s="10" t="s">
        <v>127</v>
      </c>
      <c r="J26" s="11"/>
      <c r="M26" s="4"/>
      <c r="N26" s="76"/>
      <c r="O26" s="76"/>
      <c r="P26" s="76" t="str">
        <f t="shared" si="8"/>
        <v>,del_f</v>
      </c>
      <c r="Q26" s="76" t="str">
        <f t="shared" si="9"/>
        <v>TEXT</v>
      </c>
      <c r="R26" s="76" t="str">
        <f t="shared" si="10"/>
        <v>default '0'</v>
      </c>
      <c r="S26" s="76" t="str">
        <f t="shared" si="11"/>
        <v>NOT NULL</v>
      </c>
      <c r="T26" s="76" t="str">
        <f t="shared" si="12"/>
        <v>-- 削除フラグ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milscm_2023_009.sny_202310_backup_mt2_shikkan_kanren.del_f IS '削除フラグ';</v>
      </c>
    </row>
    <row r="27" spans="1:52" s="25" customFormat="1" ht="34.799999999999997">
      <c r="A27" s="4"/>
      <c r="B27" s="21">
        <f t="shared" si="2"/>
        <v>15</v>
      </c>
      <c r="C27" s="6" t="s">
        <v>2674</v>
      </c>
      <c r="D27" s="6" t="s">
        <v>1910</v>
      </c>
      <c r="E27" s="8"/>
      <c r="F27" s="7" t="s">
        <v>737</v>
      </c>
      <c r="G27" s="7" t="str">
        <f t="shared" si="3"/>
        <v>text</v>
      </c>
      <c r="H27" s="26">
        <v>99999999</v>
      </c>
      <c r="I27" s="10" t="s">
        <v>127</v>
      </c>
      <c r="J27" s="11" t="s">
        <v>2681</v>
      </c>
      <c r="M27" s="4"/>
      <c r="N27" s="76"/>
      <c r="O27" s="76"/>
      <c r="P27" s="76" t="str">
        <f t="shared" si="4"/>
        <v>,henkou_ymd</v>
      </c>
      <c r="Q27" s="76" t="str">
        <f t="shared" si="0"/>
        <v>TEXT</v>
      </c>
      <c r="R27" s="76" t="str">
        <f t="shared" si="1"/>
        <v>default '99999999'</v>
      </c>
      <c r="S27" s="76" t="str">
        <f t="shared" si="5"/>
        <v>NOT NULL</v>
      </c>
      <c r="T27" s="76" t="str">
        <f t="shared" si="6"/>
        <v>-- 変更年月日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milscm_2023_009.sny_202310_backup_mt2_shikkan_kanren.henkou_ymd IS '変更年月日';</v>
      </c>
    </row>
    <row r="28" spans="1:52" s="25" customFormat="1" ht="35.4" thickBot="1">
      <c r="A28" s="4"/>
      <c r="B28" s="27">
        <f>ROW()-12</f>
        <v>16</v>
      </c>
      <c r="C28" s="57" t="s">
        <v>1911</v>
      </c>
      <c r="D28" s="57" t="s">
        <v>1912</v>
      </c>
      <c r="E28" s="56"/>
      <c r="F28" s="56" t="s">
        <v>737</v>
      </c>
      <c r="G28" s="56" t="str">
        <f t="shared" si="3"/>
        <v>text</v>
      </c>
      <c r="H28" s="59">
        <v>99999999</v>
      </c>
      <c r="I28" s="60" t="s">
        <v>127</v>
      </c>
      <c r="J28" s="64" t="s">
        <v>2681</v>
      </c>
      <c r="N28" s="76"/>
      <c r="O28" s="76"/>
      <c r="P28" s="76" t="str">
        <f t="shared" si="4"/>
        <v>,del_ymd</v>
      </c>
      <c r="Q28" s="76" t="str">
        <f t="shared" si="0"/>
        <v>TEXT</v>
      </c>
      <c r="R28" s="76" t="str">
        <f t="shared" si="1"/>
        <v>default '99999999'</v>
      </c>
      <c r="S28" s="76" t="str">
        <f t="shared" si="5"/>
        <v>NOT NULL</v>
      </c>
      <c r="T28" s="76" t="str">
        <f t="shared" si="6"/>
        <v>-- 廃止年月日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milscm_2023_009.sny_202310_backup_mt2_shikkan_kanren.del_ymd IS '廃止年月日';</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ENT_01_A4-13</v>
      </c>
      <c r="E6" s="234"/>
      <c r="F6" s="234"/>
      <c r="G6" s="234"/>
      <c r="H6" s="234"/>
      <c r="I6" s="234"/>
      <c r="J6" s="235"/>
    </row>
    <row r="7" spans="1:45">
      <c r="B7" s="223" t="s">
        <v>115</v>
      </c>
      <c r="C7" s="224"/>
      <c r="D7" s="225" t="s">
        <v>2683</v>
      </c>
      <c r="E7" s="226"/>
      <c r="F7" s="226"/>
      <c r="G7" s="226"/>
      <c r="H7" s="226"/>
      <c r="I7" s="226"/>
      <c r="J7" s="227"/>
    </row>
    <row r="8" spans="1:45">
      <c r="B8" s="223" t="s">
        <v>116</v>
      </c>
      <c r="C8" s="224"/>
      <c r="D8" s="225" t="str">
        <f>エンティティ一覧!AE2&amp;"_"&amp;D5&amp;"_mt2_iyakuhin_seibun_kanren"</f>
        <v>sny_202310_backup_mt2_iyakuhin_seibun_kanren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milscm_2023_009.sny_202310_backup_mt2_iyakuhin_seibun_kanren;</v>
      </c>
      <c r="O10" s="76"/>
      <c r="P10" s="76"/>
      <c r="Q10" s="76"/>
      <c r="R10" s="76"/>
      <c r="S10" s="76"/>
      <c r="T10" s="76"/>
      <c r="AJ10" s="76" t="str">
        <f>"ALTER TABLE ONLY "&amp;エンティティ一覧!$O$2&amp;"."&amp;D$8</f>
        <v>ALTER TABLE ONLY milscm_2023_009.sny_202310_backup_mt2_iyakuhin_seibun_kanren</v>
      </c>
      <c r="AS10" s="76" t="str">
        <f>"ALTER TABLE "&amp;エンティティ一覧!$O$2&amp;"."&amp;D$8&amp;" OWNER TO pgmisgrp1;"</f>
        <v>ALTER TABLE milscm_2023_009.sny_202310_backup_mt2_iyakuhin_seibun_kanren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milscm_2023_009.sny_202310_backup_mt2_iyakuhin_seibun_kanren</v>
      </c>
      <c r="O11" s="76"/>
      <c r="P11" s="76"/>
      <c r="Q11" s="76"/>
      <c r="R11" s="76"/>
      <c r="S11" s="76"/>
      <c r="T11" s="76"/>
      <c r="AJ11" s="76" t="str">
        <f>"ADD CONSTRAINT "&amp;D$8&amp;"_pkey PRIMARY KEY"</f>
        <v>ADD CONSTRAINT sny_202310_backup_mt2_iyakuhin_seibun_kanren_pkey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6"/>
      <c r="O13" s="76"/>
      <c r="P13" s="76" t="str">
        <f>IF(B13&lt;&gt;1,","&amp;D13,D13)</f>
        <v>yj_cd</v>
      </c>
      <c r="Q13" s="76" t="str">
        <f t="shared" ref="Q13:Q32" si="0">UPPER(G13)</f>
        <v>TEXT</v>
      </c>
      <c r="R13" s="76" t="str">
        <f t="shared" ref="R13:R32"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milscm_2023_009.sny_202310_backup_mt2_iyakuhin_seibun_kanren.yj_cd IS 'ＹＪコード';</v>
      </c>
    </row>
    <row r="14" spans="1:45" s="25" customFormat="1" ht="34.799999999999997">
      <c r="A14" s="4"/>
      <c r="B14" s="21">
        <f t="shared" ref="B14:B31" si="2">ROW()-12</f>
        <v>2</v>
      </c>
      <c r="C14" s="6" t="s">
        <v>1161</v>
      </c>
      <c r="D14" s="6" t="s">
        <v>2551</v>
      </c>
      <c r="E14" s="8"/>
      <c r="F14" s="7" t="s">
        <v>737</v>
      </c>
      <c r="G14" s="7" t="str">
        <f t="shared" ref="G14:G32" si="3">IF(F14="フラグ","boolean",IF(F14="文字列","text",IF(F14="整数","integer",IF(F14="実数","numeric",""))))</f>
        <v>text</v>
      </c>
      <c r="H14" s="26"/>
      <c r="I14" s="10"/>
      <c r="J14" s="11" t="s">
        <v>2694</v>
      </c>
      <c r="M14" s="4"/>
      <c r="N14" s="76"/>
      <c r="O14" s="76"/>
      <c r="P14" s="76" t="str">
        <f t="shared" ref="P14:P32" si="4">IF(B14&lt;&gt;1,","&amp;D14,D14)</f>
        <v>,iyakuhin_cd</v>
      </c>
      <c r="Q14" s="76" t="str">
        <f t="shared" si="0"/>
        <v>TEXT</v>
      </c>
      <c r="R14" s="76" t="str">
        <f t="shared" si="1"/>
        <v/>
      </c>
      <c r="S14" s="76" t="str">
        <f t="shared" ref="S14:S32" si="5">IF(I14="○","NOT NULL","")</f>
        <v/>
      </c>
      <c r="T14" s="76" t="str">
        <f t="shared" ref="T14:T32"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6"/>
      <c r="O16" s="76"/>
      <c r="P16" s="76" t="str">
        <f t="shared" si="4"/>
        <v>,haigozai_f</v>
      </c>
      <c r="Q16" s="76" t="str">
        <f t="shared" si="0"/>
        <v>TEXT</v>
      </c>
      <c r="R16" s="76" t="str">
        <f t="shared" si="1"/>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6"/>
      <c r="O17" s="76"/>
      <c r="P17" s="76" t="str">
        <f t="shared" si="4"/>
        <v>,seibun_group_cd</v>
      </c>
      <c r="Q17" s="76" t="str">
        <f t="shared" si="0"/>
        <v>TEXT</v>
      </c>
      <c r="R17" s="76" t="str">
        <f t="shared" si="1"/>
        <v/>
      </c>
      <c r="S17" s="76" t="str">
        <f t="shared" si="5"/>
        <v>NOT NULL</v>
      </c>
      <c r="T17" s="76" t="str">
        <f t="shared" si="6"/>
        <v>-- 成分グループコード</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6"/>
      <c r="O18" s="76"/>
      <c r="P18" s="76" t="str">
        <f t="shared" si="4"/>
        <v>,seibun_cd</v>
      </c>
      <c r="Q18" s="76" t="str">
        <f t="shared" si="0"/>
        <v>TEXT</v>
      </c>
      <c r="R18" s="76" t="str">
        <f t="shared" si="1"/>
        <v/>
      </c>
      <c r="S18" s="76" t="str">
        <f t="shared" si="5"/>
        <v>NOT NULL</v>
      </c>
      <c r="T18" s="76" t="str">
        <f t="shared" si="6"/>
        <v>-- 成分コード</v>
      </c>
      <c r="U18" s="4"/>
      <c r="AA18" s="4"/>
      <c r="AB18" s="4"/>
      <c r="AC18" s="4"/>
      <c r="AD18" s="4"/>
      <c r="AE18" s="4"/>
      <c r="AF18" s="4"/>
      <c r="AG18" s="4"/>
      <c r="AH18" s="4"/>
      <c r="AI18" s="4"/>
      <c r="AJ18" s="76" t="str">
        <f>IF(E18="○",IF(COUNTA(E$13:E18)=1,"",",")&amp;D18,"")</f>
        <v>,seibun_cd</v>
      </c>
      <c r="AK18" s="4"/>
      <c r="AL18" s="4"/>
      <c r="AM18" s="4"/>
      <c r="AN18" s="4"/>
      <c r="AO18" s="4"/>
      <c r="AP18" s="4"/>
      <c r="AQ18" s="4"/>
      <c r="AR18" s="4"/>
      <c r="AS18" s="76" t="str">
        <f>"COMMENT ON COLUMN "&amp;エンティティ一覧!$O$2&amp;"."&amp;D$8&amp;"."&amp;D18&amp;" IS '"&amp;C18&amp;"';"</f>
        <v>COMMENT ON COLUMN milscm_2023_009.sny_202310_backup_mt2_iyakuhin_seibun_kanren.seibun_cd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6"/>
      <c r="O19" s="76"/>
      <c r="P19" s="76" t="str">
        <f t="shared" si="4"/>
        <v>,seibun_name</v>
      </c>
      <c r="Q19" s="76" t="str">
        <f t="shared" si="0"/>
        <v>TEXT</v>
      </c>
      <c r="R19" s="76" t="str">
        <f t="shared" si="1"/>
        <v/>
      </c>
      <c r="S19" s="76" t="str">
        <f t="shared" si="5"/>
        <v>NOT NULL</v>
      </c>
      <c r="T19" s="76" t="str">
        <f t="shared" si="6"/>
        <v>-- 成分名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6"/>
      <c r="O20" s="76"/>
      <c r="P20" s="76" t="str">
        <f t="shared" si="4"/>
        <v>,seibunryo</v>
      </c>
      <c r="Q20" s="76" t="str">
        <f t="shared" si="0"/>
        <v>NUMERIC</v>
      </c>
      <c r="R20" s="76" t="str">
        <f t="shared" si="1"/>
        <v/>
      </c>
      <c r="S20" s="76" t="str">
        <f t="shared" si="5"/>
        <v/>
      </c>
      <c r="T20" s="76" t="str">
        <f t="shared" si="6"/>
        <v>-- 成分量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6"/>
      <c r="O21" s="76"/>
      <c r="P21" s="76" t="str">
        <f t="shared" si="4"/>
        <v>,seibun_unit_cd</v>
      </c>
      <c r="Q21" s="76" t="str">
        <f t="shared" si="0"/>
        <v>TEXT</v>
      </c>
      <c r="R21" s="76" t="str">
        <f t="shared" si="1"/>
        <v/>
      </c>
      <c r="S21" s="76" t="str">
        <f t="shared" si="5"/>
        <v/>
      </c>
      <c r="T21" s="76" t="str">
        <f t="shared" si="6"/>
        <v>-- 成分単位コード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6"/>
      <c r="O22" s="76"/>
      <c r="P22" s="76" t="str">
        <f t="shared" si="4"/>
        <v>,seibun_unit_name</v>
      </c>
      <c r="Q22" s="76" t="str">
        <f t="shared" si="0"/>
        <v>TEXT</v>
      </c>
      <c r="R22" s="76" t="str">
        <f t="shared" si="1"/>
        <v/>
      </c>
      <c r="S22" s="76" t="str">
        <f t="shared" si="5"/>
        <v/>
      </c>
      <c r="T22" s="76" t="str">
        <f t="shared" si="6"/>
        <v>-- 成分単位名称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6"/>
      <c r="O23" s="76"/>
      <c r="P23" s="76" t="str">
        <f t="shared" si="4"/>
        <v>,kokuji_kikakuryo</v>
      </c>
      <c r="Q23" s="76" t="str">
        <f t="shared" si="0"/>
        <v>NUMERIC</v>
      </c>
      <c r="R23" s="76" t="str">
        <f t="shared" si="1"/>
        <v/>
      </c>
      <c r="S23" s="76" t="str">
        <f t="shared" si="5"/>
        <v/>
      </c>
      <c r="T23" s="76" t="str">
        <f t="shared" si="6"/>
        <v>-- 告示規格量</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6"/>
      <c r="O24" s="76"/>
      <c r="P24" s="76" t="str">
        <f t="shared" si="4"/>
        <v>,kokuji_kikaku_unit_cd</v>
      </c>
      <c r="Q24" s="76" t="str">
        <f t="shared" si="0"/>
        <v>TEXT</v>
      </c>
      <c r="R24" s="76" t="str">
        <f t="shared" si="1"/>
        <v/>
      </c>
      <c r="S24" s="76" t="str">
        <f t="shared" si="5"/>
        <v/>
      </c>
      <c r="T24" s="76" t="str">
        <f t="shared" si="6"/>
        <v>-- 告示規格単位コード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6"/>
      <c r="O25" s="76"/>
      <c r="P25" s="76" t="str">
        <f t="shared" si="4"/>
        <v>,kokuji_kikaku_unit_name</v>
      </c>
      <c r="Q25" s="76" t="str">
        <f t="shared" si="0"/>
        <v>TEXT</v>
      </c>
      <c r="R25" s="76" t="str">
        <f t="shared" si="1"/>
        <v/>
      </c>
      <c r="S25" s="76" t="str">
        <f t="shared" si="5"/>
        <v/>
      </c>
      <c r="T25" s="76" t="str">
        <f t="shared" si="6"/>
        <v>-- 告示規格単位名称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6"/>
      <c r="O26" s="76"/>
      <c r="P26" s="76" t="str">
        <f t="shared" si="4"/>
        <v>,kikaku_naiyou</v>
      </c>
      <c r="Q26" s="76" t="str">
        <f t="shared" si="0"/>
        <v>TEXT</v>
      </c>
      <c r="R26" s="76" t="str">
        <f t="shared" si="1"/>
        <v/>
      </c>
      <c r="S26" s="76" t="str">
        <f t="shared" si="5"/>
        <v/>
      </c>
      <c r="T26" s="76" t="str">
        <f t="shared" si="6"/>
        <v>-- 規格内容</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6"/>
      <c r="O27" s="76"/>
      <c r="P27" s="76" t="str">
        <f t="shared" ref="P27:P30" si="8">IF(B27&lt;&gt;1,","&amp;D27,D27)</f>
        <v>,bikou</v>
      </c>
      <c r="Q27" s="76" t="str">
        <f t="shared" ref="Q27:Q30" si="9">UPPER(G27)</f>
        <v>TEXT</v>
      </c>
      <c r="R27" s="76" t="str">
        <f t="shared" ref="R27:R30" si="10">IF(H27&lt;&gt;"","default "&amp;IF(G27="text","'"&amp;H27&amp;"'",H27),"")</f>
        <v/>
      </c>
      <c r="S27" s="76" t="str">
        <f t="shared" ref="S27:S30" si="11">IF(I27="○","NOT NULL","")</f>
        <v/>
      </c>
      <c r="T27" s="76" t="str">
        <f t="shared" ref="T27:T30" si="12">"-- "&amp;C27</f>
        <v>-- 備考</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milscm_2023_009.sny_202310_backup_mt2_iyakuhin_seibun_kanren.bikou IS '備考';</v>
      </c>
    </row>
    <row r="28" spans="1:45" s="25" customFormat="1" ht="34.799999999999997">
      <c r="A28" s="4"/>
      <c r="B28" s="21">
        <f t="shared" si="2"/>
        <v>16</v>
      </c>
      <c r="C28" s="6" t="s">
        <v>2403</v>
      </c>
      <c r="D28" s="6" t="s">
        <v>1885</v>
      </c>
      <c r="E28" s="8" t="s">
        <v>127</v>
      </c>
      <c r="F28" s="7" t="s">
        <v>737</v>
      </c>
      <c r="G28" s="7" t="str">
        <f t="shared" si="7"/>
        <v>text</v>
      </c>
      <c r="H28" s="26" t="s">
        <v>1924</v>
      </c>
      <c r="I28" s="10" t="s">
        <v>127</v>
      </c>
      <c r="J28" s="11" t="s">
        <v>2699</v>
      </c>
      <c r="M28" s="4"/>
      <c r="N28" s="76"/>
      <c r="O28" s="76"/>
      <c r="P28" s="76" t="str">
        <f t="shared" si="8"/>
        <v>,update_ymd</v>
      </c>
      <c r="Q28" s="76" t="str">
        <f t="shared" si="9"/>
        <v>TEXT</v>
      </c>
      <c r="R28" s="76" t="str">
        <f t="shared" si="10"/>
        <v>default '99999999'</v>
      </c>
      <c r="S28" s="76" t="str">
        <f t="shared" si="11"/>
        <v>NOT NULL</v>
      </c>
      <c r="T28" s="76" t="str">
        <f t="shared" si="12"/>
        <v>-- データ登録日</v>
      </c>
      <c r="U28" s="4"/>
      <c r="AA28" s="4"/>
      <c r="AB28" s="4"/>
      <c r="AC28" s="4"/>
      <c r="AD28" s="4"/>
      <c r="AE28" s="4"/>
      <c r="AF28" s="4"/>
      <c r="AG28" s="4"/>
      <c r="AH28" s="4"/>
      <c r="AI28" s="4"/>
      <c r="AJ28" s="76" t="str">
        <f>IF(E28="○",IF(COUNTA(E$13:E28)=1,"",",")&amp;D28,"")</f>
        <v>,update_ymd</v>
      </c>
      <c r="AK28" s="4"/>
      <c r="AL28" s="4"/>
      <c r="AM28" s="4"/>
      <c r="AN28" s="4"/>
      <c r="AO28" s="4"/>
      <c r="AP28" s="4"/>
      <c r="AQ28" s="4"/>
      <c r="AR28" s="4"/>
      <c r="AS28" s="76" t="str">
        <f>"COMMENT ON COLUMN "&amp;エンティティ一覧!$O$2&amp;"."&amp;D$8&amp;"."&amp;D28&amp;" IS '"&amp;C28&amp;"';"</f>
        <v>COMMENT ON COLUMN milscm_2023_009.sny_202310_backup_mt2_iyakuhin_seibun_kanren.update_ymd IS 'データ登録日';</v>
      </c>
    </row>
    <row r="29" spans="1:45" s="25" customFormat="1" ht="52.2">
      <c r="A29" s="4"/>
      <c r="B29" s="21">
        <f t="shared" si="2"/>
        <v>17</v>
      </c>
      <c r="C29" s="6" t="s">
        <v>2511</v>
      </c>
      <c r="D29" s="6" t="s">
        <v>2512</v>
      </c>
      <c r="E29" s="8"/>
      <c r="F29" s="7" t="s">
        <v>737</v>
      </c>
      <c r="G29" s="7" t="str">
        <f t="shared" si="7"/>
        <v>text</v>
      </c>
      <c r="H29" s="26">
        <v>0</v>
      </c>
      <c r="I29" s="10" t="s">
        <v>127</v>
      </c>
      <c r="J29" s="11" t="s">
        <v>2700</v>
      </c>
      <c r="M29" s="4"/>
      <c r="N29" s="76"/>
      <c r="O29" s="76"/>
      <c r="P29" s="76" t="str">
        <f t="shared" si="8"/>
        <v>,new_f</v>
      </c>
      <c r="Q29" s="76" t="str">
        <f t="shared" si="9"/>
        <v>TEXT</v>
      </c>
      <c r="R29" s="76" t="str">
        <f t="shared" si="10"/>
        <v>default '0'</v>
      </c>
      <c r="S29" s="76" t="str">
        <f t="shared" si="11"/>
        <v>NOT NULL</v>
      </c>
      <c r="T29" s="76" t="str">
        <f t="shared" si="12"/>
        <v>-- 最新フラグ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milscm_2023_009.sny_202310_backup_mt2_iyakuhin_seibun_kanren.new_f IS '最新フラグ';</v>
      </c>
    </row>
    <row r="30" spans="1:45" s="25" customFormat="1" ht="52.2">
      <c r="A30" s="4"/>
      <c r="B30" s="21">
        <f t="shared" si="2"/>
        <v>18</v>
      </c>
      <c r="C30" s="6" t="s">
        <v>2538</v>
      </c>
      <c r="D30" s="6" t="s">
        <v>1908</v>
      </c>
      <c r="E30" s="8"/>
      <c r="F30" s="7" t="s">
        <v>737</v>
      </c>
      <c r="G30" s="7" t="str">
        <f t="shared" si="7"/>
        <v>text</v>
      </c>
      <c r="H30" s="26">
        <v>0</v>
      </c>
      <c r="I30" s="10" t="s">
        <v>127</v>
      </c>
      <c r="J30" s="11" t="s">
        <v>2701</v>
      </c>
      <c r="M30" s="4"/>
      <c r="N30" s="76"/>
      <c r="O30" s="76"/>
      <c r="P30" s="76" t="str">
        <f t="shared" si="8"/>
        <v>,del_f</v>
      </c>
      <c r="Q30" s="76" t="str">
        <f t="shared" si="9"/>
        <v>TEXT</v>
      </c>
      <c r="R30" s="76" t="str">
        <f t="shared" si="10"/>
        <v>default '0'</v>
      </c>
      <c r="S30" s="76" t="str">
        <f t="shared" si="11"/>
        <v>NOT NULL</v>
      </c>
      <c r="T30" s="76" t="str">
        <f t="shared" si="12"/>
        <v>-- 削除フラグ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milscm_2023_009.sny_202310_backup_mt2_iyakuhin_seibun_kanren.del_f IS '削除フラグ';</v>
      </c>
    </row>
    <row r="31" spans="1:45" s="25" customFormat="1" ht="121.8">
      <c r="A31" s="4"/>
      <c r="B31" s="21">
        <f t="shared" si="2"/>
        <v>19</v>
      </c>
      <c r="C31" s="6" t="s">
        <v>1971</v>
      </c>
      <c r="D31" s="6" t="s">
        <v>1910</v>
      </c>
      <c r="E31" s="8"/>
      <c r="F31" s="7" t="s">
        <v>737</v>
      </c>
      <c r="G31" s="7" t="str">
        <f t="shared" si="3"/>
        <v>text</v>
      </c>
      <c r="H31" s="26" t="s">
        <v>1924</v>
      </c>
      <c r="I31" s="10" t="s">
        <v>127</v>
      </c>
      <c r="J31" s="11" t="s">
        <v>2702</v>
      </c>
      <c r="M31" s="4"/>
      <c r="N31" s="76"/>
      <c r="O31" s="76"/>
      <c r="P31" s="76" t="str">
        <f t="shared" si="4"/>
        <v>,henkou_ymd</v>
      </c>
      <c r="Q31" s="76" t="str">
        <f t="shared" si="0"/>
        <v>TEXT</v>
      </c>
      <c r="R31" s="76" t="str">
        <f t="shared" si="1"/>
        <v>default '99999999'</v>
      </c>
      <c r="S31" s="76" t="str">
        <f t="shared" si="5"/>
        <v>NOT NULL</v>
      </c>
      <c r="T31" s="76" t="str">
        <f t="shared" si="6"/>
        <v>-- 変更年月日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milscm_2023_009.sny_202310_backup_mt2_iyakuhin_seibun_kanren.henkou_ymd IS '変更年月日';</v>
      </c>
    </row>
    <row r="32" spans="1:45" s="25" customFormat="1" ht="70.2" thickBot="1">
      <c r="A32" s="4"/>
      <c r="B32" s="27">
        <f>ROW()-12</f>
        <v>20</v>
      </c>
      <c r="C32" s="57" t="s">
        <v>1911</v>
      </c>
      <c r="D32" s="57" t="s">
        <v>1912</v>
      </c>
      <c r="E32" s="56"/>
      <c r="F32" s="56" t="s">
        <v>737</v>
      </c>
      <c r="G32" s="56" t="str">
        <f t="shared" si="3"/>
        <v>text</v>
      </c>
      <c r="H32" s="59" t="s">
        <v>1924</v>
      </c>
      <c r="I32" s="60" t="s">
        <v>127</v>
      </c>
      <c r="J32" s="64" t="s">
        <v>2703</v>
      </c>
      <c r="N32" s="76"/>
      <c r="O32" s="76"/>
      <c r="P32" s="76" t="str">
        <f t="shared" si="4"/>
        <v>,del_ymd</v>
      </c>
      <c r="Q32" s="76" t="str">
        <f t="shared" si="0"/>
        <v>TEXT</v>
      </c>
      <c r="R32" s="76" t="str">
        <f t="shared" si="1"/>
        <v>default '99999999'</v>
      </c>
      <c r="S32" s="76" t="str">
        <f t="shared" si="5"/>
        <v>NOT NULL</v>
      </c>
      <c r="T32" s="76" t="str">
        <f t="shared" si="6"/>
        <v>-- 廃止年月日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milscm_2023_009.sny_202310_backup_mt2_iyakuhin_seibun_kanren.del_ymd IS '廃止年月日';</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ENT_01_A4-14</v>
      </c>
      <c r="E6" s="234"/>
      <c r="F6" s="234"/>
      <c r="G6" s="234"/>
      <c r="H6" s="234"/>
      <c r="I6" s="234"/>
      <c r="J6" s="235"/>
    </row>
    <row r="7" spans="1:45">
      <c r="B7" s="223" t="s">
        <v>115</v>
      </c>
      <c r="C7" s="224"/>
      <c r="D7" s="225" t="s">
        <v>2704</v>
      </c>
      <c r="E7" s="226"/>
      <c r="F7" s="226"/>
      <c r="G7" s="226"/>
      <c r="H7" s="226"/>
      <c r="I7" s="226"/>
      <c r="J7" s="227"/>
    </row>
    <row r="8" spans="1:45">
      <c r="B8" s="223" t="s">
        <v>116</v>
      </c>
      <c r="C8" s="224"/>
      <c r="D8" s="225" t="str">
        <f>エンティティ一覧!AE2&amp;"_"&amp;D5&amp;"_mt2_iyakuhin_tekiyou_byomei_kanren"</f>
        <v>sny_202310_backup_mt2_iyakuhin_tekiyou_byomei_kanren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milscm_2023_009.sny_202310_backup_mt2_iyakuhin_tekiyou_byomei_kanren;</v>
      </c>
      <c r="O10" s="76"/>
      <c r="P10" s="76"/>
      <c r="Q10" s="76"/>
      <c r="R10" s="76"/>
      <c r="S10" s="76"/>
      <c r="T10" s="76"/>
      <c r="AJ10" s="76" t="str">
        <f>"ALTER TABLE ONLY "&amp;エンティティ一覧!$O$2&amp;"."&amp;D$8</f>
        <v>ALTER TABLE ONLY milscm_2023_009.sny_202310_backup_mt2_iyakuhin_tekiyou_byomei_kanren</v>
      </c>
      <c r="AS10" s="76" t="str">
        <f>"ALTER TABLE "&amp;エンティティ一覧!$O$2&amp;"."&amp;D$8&amp;" OWNER TO pgmisgrp1;"</f>
        <v>ALTER TABLE milscm_2023_009.sny_202310_backup_mt2_iyakuhin_tekiyou_byomei_kanren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milscm_2023_009.sny_202310_backup_mt2_iyakuhin_tekiyou_byomei_kanren</v>
      </c>
      <c r="O11" s="76"/>
      <c r="P11" s="76"/>
      <c r="Q11" s="76"/>
      <c r="R11" s="76"/>
      <c r="S11" s="76"/>
      <c r="T11" s="76"/>
      <c r="AJ11" s="76" t="str">
        <f>"ADD CONSTRAINT "&amp;D$8&amp;"_pkey PRIMARY KEY"</f>
        <v>ADD CONSTRAINT sny_202310_backup_mt2_iyakuhin_tekiyou_byomei_kanren_pkey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6"/>
      <c r="O13" s="76"/>
      <c r="P13" s="76" t="str">
        <f>IF(B13&lt;&gt;1,","&amp;D13,D13)</f>
        <v>yj_cd</v>
      </c>
      <c r="Q13" s="76" t="str">
        <f t="shared" ref="Q13:Q26" si="0">UPPER(G13)</f>
        <v>TEXT</v>
      </c>
      <c r="R13" s="76" t="str">
        <f t="shared" ref="R13:R26" si="1">IF(H13&lt;&gt;"","default "&amp;IF(G13="text","'"&amp;H13&amp;"'",H13),"")</f>
        <v/>
      </c>
      <c r="S13" s="76" t="str">
        <f>IF(I13="○","NOT NULL","")</f>
        <v>NOT NULL</v>
      </c>
      <c r="T13" s="76" t="str">
        <f>"-- "&amp;C13</f>
        <v>-- ＹＪコード</v>
      </c>
      <c r="U13" s="4"/>
      <c r="AA13" s="4"/>
      <c r="AB13" s="4"/>
      <c r="AC13" s="4"/>
      <c r="AD13" s="4"/>
      <c r="AE13" s="4"/>
      <c r="AF13" s="4"/>
      <c r="AG13" s="4"/>
      <c r="AH13" s="4"/>
      <c r="AI13" s="4"/>
      <c r="AJ13" s="76" t="str">
        <f>IF(E13="○",IF(COUNTA(E$13:E13)=1,"",",")&amp;D13,"")</f>
        <v>yj_cd</v>
      </c>
      <c r="AK13" s="4"/>
      <c r="AL13" s="4"/>
      <c r="AM13" s="4"/>
      <c r="AN13" s="4"/>
      <c r="AO13" s="4"/>
      <c r="AP13" s="4"/>
      <c r="AQ13" s="4"/>
      <c r="AR13" s="4"/>
      <c r="AS13" s="76" t="str">
        <f>"COMMENT ON COLUMN "&amp;エンティティ一覧!$O$2&amp;"."&amp;D$8&amp;"."&amp;D13&amp;" IS '"&amp;C13&amp;"';"</f>
        <v>COMMENT ON COLUMN milscm_2023_009.sny_202310_backup_mt2_iyakuhin_tekiyou_byomei_kanren.yj_cd IS 'ＹＪコード';</v>
      </c>
    </row>
    <row r="14" spans="1:45" s="25" customFormat="1" ht="34.799999999999997">
      <c r="A14" s="4"/>
      <c r="B14" s="21">
        <f t="shared" ref="B14:B25" si="2">ROW()-12</f>
        <v>2</v>
      </c>
      <c r="C14" s="6" t="s">
        <v>1161</v>
      </c>
      <c r="D14" s="6" t="s">
        <v>2551</v>
      </c>
      <c r="E14" s="8"/>
      <c r="F14" s="7" t="s">
        <v>737</v>
      </c>
      <c r="G14" s="7" t="str">
        <f t="shared" ref="G14:G26" si="3">IF(F14="フラグ","boolean",IF(F14="文字列","text",IF(F14="整数","integer",IF(F14="実数","numeric",""))))</f>
        <v>text</v>
      </c>
      <c r="H14" s="26"/>
      <c r="I14" s="10"/>
      <c r="J14" s="11" t="s">
        <v>2709</v>
      </c>
      <c r="M14" s="4"/>
      <c r="N14" s="76"/>
      <c r="O14" s="76"/>
      <c r="P14" s="76" t="str">
        <f t="shared" ref="P14:P26" si="4">IF(B14&lt;&gt;1,","&amp;D14,D14)</f>
        <v>,iyakuhin_cd</v>
      </c>
      <c r="Q14" s="76" t="str">
        <f t="shared" si="0"/>
        <v>TEXT</v>
      </c>
      <c r="R14" s="76" t="str">
        <f t="shared" si="1"/>
        <v/>
      </c>
      <c r="S14" s="76" t="str">
        <f t="shared" ref="S14:S26" si="5">IF(I14="○","NOT NULL","")</f>
        <v/>
      </c>
      <c r="T14" s="76" t="str">
        <f t="shared" ref="T14:T26" si="6">"-- "&amp;C14</f>
        <v>-- 医薬品コード</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6"/>
      <c r="O15" s="76"/>
      <c r="P15" s="76" t="str">
        <f t="shared" si="4"/>
        <v>,iyakuhin_name</v>
      </c>
      <c r="Q15" s="76" t="str">
        <f t="shared" si="0"/>
        <v>TEXT</v>
      </c>
      <c r="R15" s="76" t="str">
        <f t="shared" si="1"/>
        <v/>
      </c>
      <c r="S15" s="76" t="str">
        <f t="shared" si="5"/>
        <v/>
      </c>
      <c r="T15" s="76" t="str">
        <f t="shared" si="6"/>
        <v>-- 医薬品名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6"/>
      <c r="O16" s="76"/>
      <c r="P16" s="76" t="str">
        <f t="shared" si="4"/>
        <v>,tekiyou_byoumei_cd</v>
      </c>
      <c r="Q16" s="76" t="str">
        <f t="shared" si="0"/>
        <v>TEXT</v>
      </c>
      <c r="R16" s="76" t="str">
        <f t="shared" si="1"/>
        <v/>
      </c>
      <c r="S16" s="76" t="str">
        <f t="shared" si="5"/>
        <v>NOT NULL</v>
      </c>
      <c r="T16" s="76" t="str">
        <f t="shared" si="6"/>
        <v>-- 適用病名コード</v>
      </c>
      <c r="U16" s="4"/>
      <c r="AA16" s="4"/>
      <c r="AB16" s="4"/>
      <c r="AC16" s="4"/>
      <c r="AD16" s="4"/>
      <c r="AE16" s="4"/>
      <c r="AF16" s="4"/>
      <c r="AG16" s="4"/>
      <c r="AH16" s="4"/>
      <c r="AI16" s="4"/>
      <c r="AJ16" s="76" t="str">
        <f>IF(E16="○",IF(COUNTA(E$13:E16)=1,"",",")&amp;D16,"")</f>
        <v>,tekiyou_byoumei_cd</v>
      </c>
      <c r="AK16" s="4"/>
      <c r="AL16" s="4"/>
      <c r="AM16" s="4"/>
      <c r="AN16" s="4"/>
      <c r="AO16" s="4"/>
      <c r="AP16" s="4"/>
      <c r="AQ16" s="4"/>
      <c r="AR16" s="4"/>
      <c r="AS16" s="76" t="str">
        <f>"COMMENT ON COLUMN "&amp;エンティティ一覧!$O$2&amp;"."&amp;D$8&amp;"."&amp;D16&amp;" IS '"&amp;C16&amp;"';"</f>
        <v>COMMENT ON COLUMN milscm_2023_009.sny_202310_backup_mt2_iyakuhin_tekiyou_byomei_kanren.tekiyou_byoumei_cd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6"/>
      <c r="O17" s="76"/>
      <c r="P17" s="76" t="str">
        <f t="shared" si="4"/>
        <v>,tekiyou_byoumei_name</v>
      </c>
      <c r="Q17" s="76" t="str">
        <f t="shared" si="0"/>
        <v>TEXT</v>
      </c>
      <c r="R17" s="76" t="str">
        <f t="shared" si="1"/>
        <v/>
      </c>
      <c r="S17" s="76" t="str">
        <f t="shared" si="5"/>
        <v>NOT NULL</v>
      </c>
      <c r="T17" s="76" t="str">
        <f t="shared" si="6"/>
        <v>-- 適用病名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6"/>
      <c r="O18" s="76"/>
      <c r="P18" s="76" t="str">
        <f t="shared" si="4"/>
        <v>,shikkan_cd</v>
      </c>
      <c r="Q18" s="76" t="str">
        <f t="shared" si="0"/>
        <v>TEXT</v>
      </c>
      <c r="R18" s="76" t="str">
        <f t="shared" si="1"/>
        <v/>
      </c>
      <c r="S18" s="76" t="str">
        <f t="shared" si="5"/>
        <v>NOT NULL</v>
      </c>
      <c r="T18" s="76" t="str">
        <f t="shared" si="6"/>
        <v>-- 疾患コード</v>
      </c>
      <c r="U18" s="4"/>
      <c r="AA18" s="4"/>
      <c r="AB18" s="4"/>
      <c r="AC18" s="4"/>
      <c r="AD18" s="4"/>
      <c r="AE18" s="4"/>
      <c r="AF18" s="4"/>
      <c r="AG18" s="4"/>
      <c r="AH18" s="4"/>
      <c r="AI18" s="4"/>
      <c r="AJ18" s="76" t="str">
        <f>IF(E18="○",IF(COUNTA(E$13:E18)=1,"",",")&amp;D18,"")</f>
        <v>,shikkan_cd</v>
      </c>
      <c r="AK18" s="4"/>
      <c r="AL18" s="4"/>
      <c r="AM18" s="4"/>
      <c r="AN18" s="4"/>
      <c r="AO18" s="4"/>
      <c r="AP18" s="4"/>
      <c r="AQ18" s="4"/>
      <c r="AR18" s="4"/>
      <c r="AS18" s="76" t="str">
        <f>"COMMENT ON COLUMN "&amp;エンティティ一覧!$O$2&amp;"."&amp;D$8&amp;"."&amp;D18&amp;" IS '"&amp;C18&amp;"';"</f>
        <v>COMMENT ON COLUMN milscm_2023_009.sny_202310_backup_mt2_iyakuhin_tekiyou_byomei_kanren.shikkan_cd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6"/>
      <c r="O19" s="76"/>
      <c r="P19" s="76" t="str">
        <f t="shared" si="4"/>
        <v>,shikkan_name</v>
      </c>
      <c r="Q19" s="76" t="str">
        <f t="shared" si="0"/>
        <v>TEXT</v>
      </c>
      <c r="R19" s="76" t="str">
        <f t="shared" si="1"/>
        <v/>
      </c>
      <c r="S19" s="76" t="str">
        <f t="shared" si="5"/>
        <v/>
      </c>
      <c r="T19" s="76" t="str">
        <f t="shared" si="6"/>
        <v>-- 疾患名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6"/>
      <c r="O20" s="76"/>
      <c r="P20" s="76" t="str">
        <f t="shared" si="4"/>
        <v>,kumiawase_cd</v>
      </c>
      <c r="Q20" s="76" t="str">
        <f t="shared" si="0"/>
        <v>TEXT</v>
      </c>
      <c r="R20" s="76" t="str">
        <f t="shared" si="1"/>
        <v/>
      </c>
      <c r="S20" s="76" t="str">
        <f t="shared" si="5"/>
        <v/>
      </c>
      <c r="T20" s="76" t="str">
        <f t="shared" si="6"/>
        <v>-- 組み合わせコード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6"/>
      <c r="O21" s="76"/>
      <c r="P21" s="76" t="str">
        <f t="shared" si="4"/>
        <v>,kankeisei_cd</v>
      </c>
      <c r="Q21" s="76" t="str">
        <f t="shared" si="0"/>
        <v>TEXT</v>
      </c>
      <c r="R21" s="76" t="str">
        <f t="shared" si="1"/>
        <v/>
      </c>
      <c r="S21" s="76" t="str">
        <f t="shared" si="5"/>
        <v/>
      </c>
      <c r="T21" s="76" t="str">
        <f t="shared" si="6"/>
        <v>-- 関係性レベルコード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milscm_2023_009.sny_202310_backup_mt2_iyakuhin_tekiyou_byomei_kanren.kankeisei_cd IS '関係性レベルコード';</v>
      </c>
    </row>
    <row r="22" spans="1:52" s="25" customFormat="1" ht="34.799999999999997">
      <c r="A22" s="4"/>
      <c r="B22" s="21">
        <f t="shared" si="2"/>
        <v>10</v>
      </c>
      <c r="C22" s="6" t="s">
        <v>2403</v>
      </c>
      <c r="D22" s="6" t="s">
        <v>1885</v>
      </c>
      <c r="E22" s="8" t="s">
        <v>127</v>
      </c>
      <c r="F22" s="7" t="s">
        <v>737</v>
      </c>
      <c r="G22" s="7" t="str">
        <f t="shared" si="3"/>
        <v>text</v>
      </c>
      <c r="H22" s="26" t="s">
        <v>1924</v>
      </c>
      <c r="I22" s="10" t="s">
        <v>127</v>
      </c>
      <c r="J22" s="11" t="s">
        <v>2714</v>
      </c>
      <c r="M22" s="4"/>
      <c r="N22" s="76"/>
      <c r="O22" s="76"/>
      <c r="P22" s="76" t="str">
        <f t="shared" si="4"/>
        <v>,update_ymd</v>
      </c>
      <c r="Q22" s="76" t="str">
        <f t="shared" si="0"/>
        <v>TEXT</v>
      </c>
      <c r="R22" s="76" t="str">
        <f t="shared" si="1"/>
        <v>default '99999999'</v>
      </c>
      <c r="S22" s="76" t="str">
        <f t="shared" si="5"/>
        <v>NOT NULL</v>
      </c>
      <c r="T22" s="76" t="str">
        <f t="shared" si="6"/>
        <v>-- データ登録日</v>
      </c>
      <c r="U22" s="4"/>
      <c r="AA22" s="4"/>
      <c r="AB22" s="4"/>
      <c r="AC22" s="4"/>
      <c r="AD22" s="4"/>
      <c r="AE22" s="4"/>
      <c r="AF22" s="4"/>
      <c r="AG22" s="4"/>
      <c r="AH22" s="4"/>
      <c r="AI22" s="4"/>
      <c r="AJ22" s="76" t="str">
        <f>IF(E22="○",IF(COUNTA(E$13:E22)=1,"",",")&amp;D22,"")</f>
        <v>,update_ymd</v>
      </c>
      <c r="AK22" s="4"/>
      <c r="AL22" s="4"/>
      <c r="AM22" s="4"/>
      <c r="AN22" s="4"/>
      <c r="AO22" s="4"/>
      <c r="AP22" s="4"/>
      <c r="AQ22" s="4"/>
      <c r="AR22" s="4"/>
      <c r="AS22" s="76" t="str">
        <f>"COMMENT ON COLUMN "&amp;エンティティ一覧!$O$2&amp;"."&amp;D$8&amp;"."&amp;D22&amp;" IS '"&amp;C22&amp;"';"</f>
        <v>COMMENT ON COLUMN milscm_2023_009.sny_202310_backup_mt2_iyakuhin_tekiyou_byomei_kanren.update_ymd IS 'データ登録日';</v>
      </c>
    </row>
    <row r="23" spans="1:52" s="25" customFormat="1" ht="52.2">
      <c r="A23" s="4"/>
      <c r="B23" s="21">
        <f t="shared" si="2"/>
        <v>11</v>
      </c>
      <c r="C23" s="6" t="s">
        <v>2511</v>
      </c>
      <c r="D23" s="6" t="s">
        <v>2512</v>
      </c>
      <c r="E23" s="8"/>
      <c r="F23" s="7" t="s">
        <v>737</v>
      </c>
      <c r="G23" s="7" t="str">
        <f t="shared" si="3"/>
        <v>text</v>
      </c>
      <c r="H23" s="26">
        <v>0</v>
      </c>
      <c r="I23" s="10" t="s">
        <v>127</v>
      </c>
      <c r="J23" s="11" t="s">
        <v>2700</v>
      </c>
      <c r="M23" s="4"/>
      <c r="N23" s="76"/>
      <c r="O23" s="76"/>
      <c r="P23" s="76" t="str">
        <f t="shared" si="4"/>
        <v>,new_f</v>
      </c>
      <c r="Q23" s="76" t="str">
        <f t="shared" si="0"/>
        <v>TEXT</v>
      </c>
      <c r="R23" s="76" t="str">
        <f t="shared" si="1"/>
        <v>default '0'</v>
      </c>
      <c r="S23" s="76" t="str">
        <f t="shared" si="5"/>
        <v>NOT NULL</v>
      </c>
      <c r="T23" s="76" t="str">
        <f t="shared" si="6"/>
        <v>-- 最新フラグ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milscm_2023_009.sny_202310_backup_mt2_iyakuhin_tekiyou_byomei_kanren.new_f IS '最新フラグ';</v>
      </c>
    </row>
    <row r="24" spans="1:52" s="25" customFormat="1" ht="69.599999999999994">
      <c r="A24" s="4"/>
      <c r="B24" s="21">
        <f t="shared" si="2"/>
        <v>12</v>
      </c>
      <c r="C24" s="6" t="s">
        <v>2538</v>
      </c>
      <c r="D24" s="6" t="s">
        <v>1908</v>
      </c>
      <c r="E24" s="8"/>
      <c r="F24" s="7" t="s">
        <v>737</v>
      </c>
      <c r="G24" s="7" t="str">
        <f t="shared" si="3"/>
        <v>text</v>
      </c>
      <c r="H24" s="26">
        <v>0</v>
      </c>
      <c r="I24" s="10" t="s">
        <v>127</v>
      </c>
      <c r="J24" s="11" t="s">
        <v>2715</v>
      </c>
      <c r="M24" s="4"/>
      <c r="N24" s="76"/>
      <c r="O24" s="76"/>
      <c r="P24" s="76" t="str">
        <f t="shared" si="4"/>
        <v>,del_f</v>
      </c>
      <c r="Q24" s="76" t="str">
        <f t="shared" si="0"/>
        <v>TEXT</v>
      </c>
      <c r="R24" s="76" t="str">
        <f t="shared" si="1"/>
        <v>default '0'</v>
      </c>
      <c r="S24" s="76" t="str">
        <f t="shared" si="5"/>
        <v>NOT NULL</v>
      </c>
      <c r="T24" s="76" t="str">
        <f t="shared" si="6"/>
        <v>-- 削除フラグ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milscm_2023_009.sny_202310_backup_mt2_iyakuhin_tekiyou_byomei_kanren.del_f IS '削除フラグ';</v>
      </c>
    </row>
    <row r="25" spans="1:52" s="25" customFormat="1" ht="139.19999999999999">
      <c r="A25" s="4"/>
      <c r="B25" s="21">
        <f t="shared" si="2"/>
        <v>13</v>
      </c>
      <c r="C25" s="6" t="s">
        <v>1971</v>
      </c>
      <c r="D25" s="6" t="s">
        <v>1910</v>
      </c>
      <c r="E25" s="8"/>
      <c r="F25" s="7" t="s">
        <v>737</v>
      </c>
      <c r="G25" s="7" t="str">
        <f t="shared" si="3"/>
        <v>text</v>
      </c>
      <c r="H25" s="26" t="s">
        <v>1924</v>
      </c>
      <c r="I25" s="10" t="s">
        <v>127</v>
      </c>
      <c r="J25" s="11" t="s">
        <v>2716</v>
      </c>
      <c r="M25" s="4"/>
      <c r="N25" s="76"/>
      <c r="O25" s="76"/>
      <c r="P25" s="76" t="str">
        <f t="shared" si="4"/>
        <v>,henkou_ymd</v>
      </c>
      <c r="Q25" s="76" t="str">
        <f t="shared" si="0"/>
        <v>TEXT</v>
      </c>
      <c r="R25" s="76" t="str">
        <f t="shared" si="1"/>
        <v>default '99999999'</v>
      </c>
      <c r="S25" s="76" t="str">
        <f t="shared" si="5"/>
        <v>NOT NULL</v>
      </c>
      <c r="T25" s="76" t="str">
        <f t="shared" si="6"/>
        <v>-- 変更年月日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milscm_2023_009.sny_202310_backup_mt2_iyakuhin_tekiyou_byomei_kanren.henkou_ymd IS '変更年月日';</v>
      </c>
    </row>
    <row r="26" spans="1:52" s="25" customFormat="1" ht="87.6" thickBot="1">
      <c r="A26" s="4"/>
      <c r="B26" s="27">
        <f>ROW()-12</f>
        <v>14</v>
      </c>
      <c r="C26" s="57" t="s">
        <v>1911</v>
      </c>
      <c r="D26" s="57" t="s">
        <v>1912</v>
      </c>
      <c r="E26" s="56"/>
      <c r="F26" s="56" t="s">
        <v>737</v>
      </c>
      <c r="G26" s="56" t="str">
        <f t="shared" si="3"/>
        <v>text</v>
      </c>
      <c r="H26" s="59" t="s">
        <v>1924</v>
      </c>
      <c r="I26" s="60" t="s">
        <v>127</v>
      </c>
      <c r="J26" s="64" t="s">
        <v>2717</v>
      </c>
      <c r="N26" s="76"/>
      <c r="O26" s="76"/>
      <c r="P26" s="76" t="str">
        <f t="shared" si="4"/>
        <v>,del_ymd</v>
      </c>
      <c r="Q26" s="76" t="str">
        <f t="shared" si="0"/>
        <v>TEXT</v>
      </c>
      <c r="R26" s="76" t="str">
        <f t="shared" si="1"/>
        <v>default '99999999'</v>
      </c>
      <c r="S26" s="76" t="str">
        <f t="shared" si="5"/>
        <v>NOT NULL</v>
      </c>
      <c r="T26" s="76" t="str">
        <f t="shared" si="6"/>
        <v>-- 廃止年月日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milscm_2023_009.sny_202310_backup_mt2_iyakuhin_tekiyou_byomei_kanren.del_ymd IS '廃止年月日';</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1" t="s">
        <v>2718</v>
      </c>
      <c r="C30" s="85"/>
      <c r="D30" s="82"/>
      <c r="E30" s="82"/>
      <c r="F30" s="82"/>
      <c r="G30" s="82"/>
      <c r="H30" s="82"/>
      <c r="I30" s="82"/>
      <c r="J30" s="82"/>
      <c r="K30" s="82"/>
      <c r="L30" s="82"/>
      <c r="M30" s="86"/>
    </row>
    <row r="31" spans="1:52" s="25" customFormat="1">
      <c r="A31" s="4"/>
      <c r="C31" s="25" t="s">
        <v>2719</v>
      </c>
      <c r="M31" s="12"/>
      <c r="W31" s="4"/>
    </row>
    <row r="32" spans="1:52">
      <c r="B32" s="82" t="s">
        <v>2720</v>
      </c>
      <c r="C32" s="82"/>
      <c r="D32" s="82"/>
      <c r="E32" s="82"/>
      <c r="F32" s="82"/>
      <c r="G32" s="82"/>
      <c r="H32" s="82"/>
      <c r="I32" s="82"/>
      <c r="J32" s="82"/>
      <c r="K32" s="82"/>
      <c r="L32" s="82"/>
      <c r="M32" s="86"/>
    </row>
    <row r="33" spans="1:23">
      <c r="B33" s="82"/>
      <c r="C33" s="83" t="s">
        <v>2721</v>
      </c>
      <c r="D33" s="255" t="s">
        <v>2722</v>
      </c>
      <c r="E33" s="256"/>
      <c r="F33" s="256"/>
      <c r="G33" s="256"/>
      <c r="H33" s="257"/>
      <c r="I33" s="255" t="s">
        <v>2723</v>
      </c>
      <c r="J33" s="257"/>
    </row>
    <row r="34" spans="1:23" ht="18.75" customHeight="1">
      <c r="B34" s="82"/>
      <c r="C34" s="84" t="s">
        <v>2724</v>
      </c>
      <c r="D34" s="252" t="s">
        <v>2725</v>
      </c>
      <c r="E34" s="253"/>
      <c r="F34" s="253"/>
      <c r="G34" s="253"/>
      <c r="H34" s="254"/>
      <c r="I34" s="252" t="s">
        <v>2726</v>
      </c>
      <c r="J34" s="254"/>
    </row>
    <row r="35" spans="1:23" ht="18.75" customHeight="1">
      <c r="B35" s="82"/>
      <c r="C35" s="84" t="s">
        <v>2727</v>
      </c>
      <c r="D35" s="252" t="s">
        <v>2782</v>
      </c>
      <c r="E35" s="253"/>
      <c r="F35" s="253"/>
      <c r="G35" s="253"/>
      <c r="H35" s="254"/>
      <c r="I35" s="252" t="s">
        <v>2772</v>
      </c>
      <c r="J35" s="254"/>
    </row>
    <row r="36" spans="1:23" ht="18.75" customHeight="1">
      <c r="B36" s="82"/>
      <c r="C36" s="84" t="s">
        <v>2728</v>
      </c>
      <c r="D36" s="252" t="s">
        <v>2729</v>
      </c>
      <c r="E36" s="253"/>
      <c r="F36" s="253"/>
      <c r="G36" s="253"/>
      <c r="H36" s="254"/>
      <c r="I36" s="252" t="s">
        <v>2773</v>
      </c>
      <c r="J36" s="254"/>
    </row>
    <row r="37" spans="1:23" ht="18.75" customHeight="1">
      <c r="B37" s="82"/>
      <c r="C37" s="84" t="s">
        <v>2730</v>
      </c>
      <c r="D37" s="252" t="s">
        <v>2731</v>
      </c>
      <c r="E37" s="253"/>
      <c r="F37" s="253"/>
      <c r="G37" s="253"/>
      <c r="H37" s="254"/>
      <c r="I37" s="252" t="s">
        <v>2774</v>
      </c>
      <c r="J37" s="254"/>
    </row>
    <row r="38" spans="1:23" ht="18.75" customHeight="1">
      <c r="B38" s="82"/>
      <c r="C38" s="84" t="s">
        <v>2732</v>
      </c>
      <c r="D38" s="252" t="s">
        <v>2733</v>
      </c>
      <c r="E38" s="253"/>
      <c r="F38" s="253"/>
      <c r="G38" s="253"/>
      <c r="H38" s="254"/>
      <c r="I38" s="252" t="s">
        <v>2775</v>
      </c>
      <c r="J38" s="254"/>
    </row>
    <row r="39" spans="1:23" ht="18.75" customHeight="1">
      <c r="B39" s="82"/>
      <c r="C39" s="84" t="s">
        <v>2734</v>
      </c>
      <c r="D39" s="252" t="s">
        <v>2735</v>
      </c>
      <c r="E39" s="253"/>
      <c r="F39" s="253"/>
      <c r="G39" s="253"/>
      <c r="H39" s="254"/>
      <c r="I39" s="252" t="s">
        <v>2776</v>
      </c>
      <c r="J39" s="254"/>
    </row>
    <row r="40" spans="1:23" ht="18.75" customHeight="1">
      <c r="B40" s="82"/>
      <c r="C40" s="84" t="s">
        <v>2736</v>
      </c>
      <c r="D40" s="252" t="s">
        <v>2737</v>
      </c>
      <c r="E40" s="253"/>
      <c r="F40" s="253"/>
      <c r="G40" s="253"/>
      <c r="H40" s="254"/>
      <c r="I40" s="252" t="s">
        <v>2777</v>
      </c>
      <c r="J40" s="254"/>
    </row>
    <row r="41" spans="1:23" ht="18.75" customHeight="1">
      <c r="B41" s="82"/>
      <c r="C41" s="84" t="s">
        <v>2738</v>
      </c>
      <c r="D41" s="252" t="s">
        <v>2739</v>
      </c>
      <c r="E41" s="253"/>
      <c r="F41" s="253"/>
      <c r="G41" s="253"/>
      <c r="H41" s="254"/>
      <c r="I41" s="252" t="s">
        <v>2777</v>
      </c>
      <c r="J41" s="254"/>
    </row>
    <row r="42" spans="1:23" ht="18.75" customHeight="1">
      <c r="B42" s="82"/>
      <c r="C42" s="84" t="s">
        <v>2740</v>
      </c>
      <c r="D42" s="252" t="s">
        <v>2741</v>
      </c>
      <c r="E42" s="253"/>
      <c r="F42" s="253"/>
      <c r="G42" s="253"/>
      <c r="H42" s="254"/>
      <c r="I42" s="252" t="s">
        <v>2778</v>
      </c>
      <c r="J42" s="254"/>
    </row>
    <row r="43" spans="1:23" ht="18.75" customHeight="1">
      <c r="B43" s="82"/>
      <c r="C43" s="84" t="s">
        <v>2742</v>
      </c>
      <c r="D43" s="252" t="s">
        <v>2743</v>
      </c>
      <c r="E43" s="253"/>
      <c r="F43" s="253"/>
      <c r="G43" s="253"/>
      <c r="H43" s="254"/>
      <c r="I43" s="252" t="s">
        <v>2779</v>
      </c>
      <c r="J43" s="254"/>
    </row>
    <row r="44" spans="1:23" ht="18.75" customHeight="1">
      <c r="B44" s="82"/>
      <c r="C44" s="84" t="s">
        <v>2744</v>
      </c>
      <c r="D44" s="252" t="s">
        <v>2745</v>
      </c>
      <c r="E44" s="253"/>
      <c r="F44" s="253"/>
      <c r="G44" s="253"/>
      <c r="H44" s="254"/>
      <c r="I44" s="252" t="s">
        <v>2779</v>
      </c>
      <c r="J44" s="254"/>
    </row>
    <row r="45" spans="1:23" ht="18.75" customHeight="1">
      <c r="B45" s="82"/>
      <c r="C45" s="84" t="s">
        <v>2746</v>
      </c>
      <c r="D45" s="252" t="s">
        <v>2747</v>
      </c>
      <c r="E45" s="253"/>
      <c r="F45" s="253"/>
      <c r="G45" s="253"/>
      <c r="H45" s="254"/>
      <c r="I45" s="252" t="s">
        <v>2780</v>
      </c>
      <c r="J45" s="254"/>
    </row>
    <row r="46" spans="1:23" ht="18.75" customHeight="1">
      <c r="B46" s="82"/>
      <c r="C46" s="84" t="s">
        <v>2748</v>
      </c>
      <c r="D46" s="252" t="s">
        <v>2749</v>
      </c>
      <c r="E46" s="253"/>
      <c r="F46" s="253"/>
      <c r="G46" s="253"/>
      <c r="H46" s="254"/>
      <c r="I46" s="252" t="s">
        <v>2781</v>
      </c>
      <c r="J46" s="254"/>
    </row>
    <row r="47" spans="1:23" s="25" customFormat="1">
      <c r="A47" s="4"/>
      <c r="M47" s="12"/>
      <c r="W47" s="4"/>
    </row>
    <row r="48" spans="1:23" s="25" customFormat="1">
      <c r="A48" s="4"/>
      <c r="B48" s="82" t="s">
        <v>2750</v>
      </c>
      <c r="C48" s="82"/>
      <c r="D48" s="82"/>
      <c r="E48" s="82"/>
      <c r="F48" s="82"/>
      <c r="G48" s="82"/>
      <c r="H48" s="82"/>
      <c r="I48" s="82"/>
      <c r="J48" s="82"/>
      <c r="K48" s="82"/>
      <c r="L48" s="82"/>
      <c r="M48" s="86"/>
      <c r="W48" s="4"/>
    </row>
    <row r="49" spans="1:52" s="25" customFormat="1">
      <c r="A49" s="4"/>
      <c r="B49" s="82"/>
      <c r="C49" s="83" t="s">
        <v>2751</v>
      </c>
      <c r="D49" s="259" t="s">
        <v>2722</v>
      </c>
      <c r="E49" s="259"/>
      <c r="F49" s="259"/>
      <c r="G49" s="259"/>
      <c r="H49" s="259"/>
      <c r="N49" s="4"/>
    </row>
    <row r="50" spans="1:52" s="25" customFormat="1">
      <c r="A50" s="4"/>
      <c r="B50" s="82"/>
      <c r="C50" s="87" t="s">
        <v>2752</v>
      </c>
      <c r="D50" s="258" t="s">
        <v>2753</v>
      </c>
      <c r="E50" s="258"/>
      <c r="F50" s="258"/>
      <c r="G50" s="258"/>
      <c r="H50" s="258"/>
      <c r="N50" s="4"/>
    </row>
    <row r="51" spans="1:52" s="25" customFormat="1">
      <c r="A51" s="4"/>
      <c r="B51" s="82"/>
      <c r="C51" s="87" t="s">
        <v>2754</v>
      </c>
      <c r="D51" s="258" t="s">
        <v>2755</v>
      </c>
      <c r="E51" s="258"/>
      <c r="F51" s="258"/>
      <c r="G51" s="258"/>
      <c r="H51" s="258"/>
      <c r="N51" s="4"/>
    </row>
    <row r="52" spans="1:52" s="25" customFormat="1">
      <c r="A52" s="4"/>
      <c r="B52" s="82"/>
      <c r="C52" s="87" t="s">
        <v>2756</v>
      </c>
      <c r="D52" s="258" t="s">
        <v>2757</v>
      </c>
      <c r="E52" s="258"/>
      <c r="F52" s="258"/>
      <c r="G52" s="258"/>
      <c r="H52" s="258"/>
      <c r="J52" s="25" t="s">
        <v>2758</v>
      </c>
      <c r="N52" s="4"/>
    </row>
    <row r="53" spans="1:52" s="25" customFormat="1">
      <c r="A53" s="4"/>
      <c r="B53" s="82"/>
      <c r="C53" s="87" t="s">
        <v>2759</v>
      </c>
      <c r="D53" s="258" t="s">
        <v>2760</v>
      </c>
      <c r="E53" s="258"/>
      <c r="F53" s="258"/>
      <c r="G53" s="258"/>
      <c r="H53" s="258"/>
      <c r="J53" s="25" t="s">
        <v>2761</v>
      </c>
      <c r="N53" s="4"/>
    </row>
    <row r="54" spans="1:52" s="25" customFormat="1" ht="18.75" customHeight="1">
      <c r="A54" s="4"/>
      <c r="B54" s="82"/>
      <c r="C54" s="87" t="s">
        <v>2762</v>
      </c>
      <c r="D54" s="258" t="s">
        <v>2763</v>
      </c>
      <c r="E54" s="258"/>
      <c r="F54" s="258"/>
      <c r="G54" s="258"/>
      <c r="H54" s="258"/>
      <c r="N54" s="4"/>
    </row>
    <row r="55" spans="1:52" s="25" customFormat="1">
      <c r="A55" s="4"/>
      <c r="B55" s="82"/>
      <c r="C55" s="84" t="s">
        <v>2748</v>
      </c>
      <c r="D55" s="258" t="s">
        <v>2764</v>
      </c>
      <c r="E55" s="258"/>
      <c r="F55" s="258"/>
      <c r="G55" s="258"/>
      <c r="H55" s="258"/>
      <c r="N55" s="4"/>
    </row>
    <row r="56" spans="1:52" s="25" customFormat="1">
      <c r="A56" s="4"/>
      <c r="M56" s="12"/>
      <c r="W56" s="4"/>
    </row>
    <row r="57" spans="1:52" s="25" customFormat="1">
      <c r="A57" s="4"/>
      <c r="C57" s="25" t="s">
        <v>2765</v>
      </c>
      <c r="M57" s="12"/>
      <c r="W57" s="4"/>
    </row>
    <row r="58" spans="1:52" s="25" customFormat="1">
      <c r="A58" s="4"/>
      <c r="C58" s="83" t="s">
        <v>2751</v>
      </c>
      <c r="D58" s="259" t="s">
        <v>2722</v>
      </c>
      <c r="E58" s="259"/>
      <c r="F58" s="259"/>
      <c r="G58" s="259"/>
      <c r="H58" s="259"/>
      <c r="M58" s="12"/>
      <c r="W58" s="4"/>
    </row>
    <row r="59" spans="1:52" s="25" customFormat="1">
      <c r="A59" s="4"/>
      <c r="C59" s="87" t="s">
        <v>2766</v>
      </c>
      <c r="D59" s="258" t="s">
        <v>2767</v>
      </c>
      <c r="E59" s="258"/>
      <c r="F59" s="258"/>
      <c r="G59" s="258"/>
      <c r="H59" s="258"/>
      <c r="M59" s="12"/>
      <c r="W59" s="4"/>
    </row>
    <row r="60" spans="1:52" s="25" customFormat="1">
      <c r="A60" s="4"/>
      <c r="C60" s="87" t="s">
        <v>2768</v>
      </c>
      <c r="D60" s="258" t="s">
        <v>2769</v>
      </c>
      <c r="E60" s="258"/>
      <c r="F60" s="258"/>
      <c r="G60" s="258"/>
      <c r="H60" s="258"/>
      <c r="M60" s="12"/>
      <c r="W60" s="4"/>
    </row>
    <row r="61" spans="1:52" s="25" customFormat="1">
      <c r="A61" s="4"/>
      <c r="C61" s="87" t="s">
        <v>2770</v>
      </c>
      <c r="D61" s="258" t="s">
        <v>2771</v>
      </c>
      <c r="E61" s="258"/>
      <c r="F61" s="258"/>
      <c r="G61" s="258"/>
      <c r="H61" s="258"/>
      <c r="M61" s="12"/>
      <c r="W61" s="4"/>
    </row>
    <row r="62" spans="1:52" s="25" customFormat="1">
      <c r="A62" s="4"/>
      <c r="C62" s="84" t="s">
        <v>2748</v>
      </c>
      <c r="D62" s="258" t="s">
        <v>2764</v>
      </c>
      <c r="E62" s="258"/>
      <c r="F62" s="258"/>
      <c r="G62" s="258"/>
      <c r="H62" s="258"/>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ENT_01_A6-02</v>
      </c>
      <c r="E6" s="234"/>
      <c r="F6" s="234"/>
      <c r="G6" s="234"/>
      <c r="H6" s="234"/>
      <c r="I6" s="234"/>
      <c r="J6" s="235"/>
    </row>
    <row r="7" spans="1:45">
      <c r="B7" s="223" t="s">
        <v>115</v>
      </c>
      <c r="C7" s="224"/>
      <c r="D7" s="225" t="s">
        <v>3188</v>
      </c>
      <c r="E7" s="226"/>
      <c r="F7" s="226"/>
      <c r="G7" s="226"/>
      <c r="H7" s="226"/>
      <c r="I7" s="226"/>
      <c r="J7" s="227"/>
    </row>
    <row r="8" spans="1:45">
      <c r="B8" s="223" t="s">
        <v>116</v>
      </c>
      <c r="C8" s="224"/>
      <c r="D8" s="225" t="str">
        <f>エンティティ一覧!AE2&amp;"_"&amp;D5&amp;"_text_mml_common"</f>
        <v>sny_202310_backup_text_mml_common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MML共通テーブルから組入れ条件の第一条件で絞り込んだ結果を格納するテーブル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milscm_2023_009.sny_202310_backup_text_mml_common;</v>
      </c>
      <c r="O10" s="76"/>
      <c r="P10" s="76"/>
      <c r="Q10" s="76"/>
      <c r="R10" s="76"/>
      <c r="S10" s="76"/>
      <c r="T10" s="76"/>
      <c r="AJ10" s="76" t="str">
        <f>"ALTER TABLE ONLY "&amp;エンティティ一覧!$O$2&amp;"."&amp;D$8</f>
        <v>ALTER TABLE ONLY milscm_2023_009.sny_202310_backup_text_mml_common</v>
      </c>
      <c r="AS10" s="76" t="str">
        <f>"ALTER TABLE "&amp;エンティティ一覧!$O$2&amp;"."&amp;D$8&amp;" OWNER TO pgmisgrp1;"</f>
        <v>ALTER TABLE milscm_2023_009.sny_202310_backup_text_mml_common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milscm_2023_009.sny_202310_backup_text_mml_common</v>
      </c>
      <c r="O11" s="76"/>
      <c r="P11" s="76"/>
      <c r="Q11" s="76"/>
      <c r="R11" s="76"/>
      <c r="S11" s="76"/>
      <c r="T11" s="76"/>
      <c r="AJ11" s="76" t="str">
        <f>"ADD CONSTRAINT "&amp;D$8&amp;"_pkey PRIMARY KEY"</f>
        <v>ADD CONSTRAINT sny_202310_backup_text_mml_common_pkey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milscm_2023_009.sny_202310_backup_text_mml_common IS 'バックアップ_MML共通';</v>
      </c>
    </row>
    <row r="13" spans="1:45" s="25" customFormat="1">
      <c r="A13" s="4"/>
      <c r="B13" s="21">
        <f>ROW()-12</f>
        <v>1</v>
      </c>
      <c r="C13" s="6" t="s">
        <v>2784</v>
      </c>
      <c r="D13" s="6" t="s">
        <v>2785</v>
      </c>
      <c r="E13" s="8" t="s">
        <v>127</v>
      </c>
      <c r="F13" s="8" t="s">
        <v>3273</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milscm_2023_009.sny_202310_backup_text_mml_common.zip_no IS 'ZipファイルNo';</v>
      </c>
    </row>
    <row r="14" spans="1:45" s="25" customFormat="1">
      <c r="A14" s="4"/>
      <c r="B14" s="21">
        <f t="shared" ref="B14:B22" si="2">ROW()-12</f>
        <v>2</v>
      </c>
      <c r="C14" s="6" t="s">
        <v>2787</v>
      </c>
      <c r="D14" s="6" t="s">
        <v>2788</v>
      </c>
      <c r="E14" s="8" t="s">
        <v>127</v>
      </c>
      <c r="F14" s="7" t="s">
        <v>3273</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milscm_2023_009.sny_202310_backup_text_mml_common.file_no IS 'ファイルNo';</v>
      </c>
    </row>
    <row r="15" spans="1:45" s="25" customFormat="1">
      <c r="A15" s="4"/>
      <c r="B15" s="21">
        <f t="shared" si="2"/>
        <v>3</v>
      </c>
      <c r="C15" s="6" t="s">
        <v>3262</v>
      </c>
      <c r="D15" s="6" t="s">
        <v>2790</v>
      </c>
      <c r="E15" s="8" t="s">
        <v>127</v>
      </c>
      <c r="F15" s="7" t="s">
        <v>3273</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milscm_2023_009.sny_202310_backup_text_mml_common.body_no IS '本文No';</v>
      </c>
    </row>
    <row r="16" spans="1:45" s="25" customFormat="1">
      <c r="A16" s="4"/>
      <c r="B16" s="21">
        <f t="shared" si="2"/>
        <v>4</v>
      </c>
      <c r="C16" s="6" t="s">
        <v>3263</v>
      </c>
      <c r="D16" s="6" t="s">
        <v>2407</v>
      </c>
      <c r="E16" s="8"/>
      <c r="F16" s="7" t="s">
        <v>317</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milscm_2023_009.sny_202310_backup_text_mml_common.facility_id_mml IS '施設ID（MML）';</v>
      </c>
    </row>
    <row r="17" spans="1:52" s="25" customFormat="1">
      <c r="A17" s="4"/>
      <c r="B17" s="21">
        <f t="shared" si="2"/>
        <v>5</v>
      </c>
      <c r="C17" s="6" t="s">
        <v>2792</v>
      </c>
      <c r="D17" s="6" t="s">
        <v>1250</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milscm_2023_009.sny_202310_backup_text_mml_common.master_id IS '患者ID';</v>
      </c>
    </row>
    <row r="18" spans="1:52" s="25" customFormat="1">
      <c r="A18" s="4"/>
      <c r="B18" s="21">
        <f t="shared" si="2"/>
        <v>6</v>
      </c>
      <c r="C18" s="6" t="s">
        <v>3264</v>
      </c>
      <c r="D18" s="6" t="s">
        <v>1252</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milscm_2023_009.sny_202310_backup_text_mml_common.uid IS 'UID';</v>
      </c>
    </row>
    <row r="19" spans="1:52" s="25" customFormat="1">
      <c r="A19" s="4"/>
      <c r="B19" s="21">
        <f t="shared" si="2"/>
        <v>7</v>
      </c>
      <c r="C19" s="6" t="s">
        <v>3265</v>
      </c>
      <c r="D19" s="6" t="s">
        <v>3266</v>
      </c>
      <c r="E19" s="8"/>
      <c r="F19" s="7" t="s">
        <v>317</v>
      </c>
      <c r="G19" s="7" t="str">
        <f t="shared" si="3"/>
        <v>text</v>
      </c>
      <c r="H19" s="26"/>
      <c r="I19" s="10" t="s">
        <v>127</v>
      </c>
      <c r="J19" s="11" t="s">
        <v>2798</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milscm_2023_009.sny_202310_backup_text_mml_common.comfirm_date IS '記載確定日';</v>
      </c>
    </row>
    <row r="20" spans="1:52" s="25" customFormat="1">
      <c r="A20" s="4"/>
      <c r="B20" s="21">
        <f t="shared" si="2"/>
        <v>8</v>
      </c>
      <c r="C20" s="6" t="s">
        <v>3267</v>
      </c>
      <c r="D20" s="6" t="s">
        <v>3268</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milscm_2023_009.sny_202310_backup_text_mml_common.mml_type IS 'MMLモジュール種別';</v>
      </c>
    </row>
    <row r="21" spans="1:52" s="25" customFormat="1">
      <c r="A21" s="4"/>
      <c r="B21" s="21">
        <f t="shared" si="2"/>
        <v>9</v>
      </c>
      <c r="C21" s="6" t="s">
        <v>3269</v>
      </c>
      <c r="D21" s="6" t="s">
        <v>3270</v>
      </c>
      <c r="E21" s="8"/>
      <c r="F21" s="7" t="s">
        <v>317</v>
      </c>
      <c r="G21" s="7" t="str">
        <f t="shared" si="3"/>
        <v>text</v>
      </c>
      <c r="H21" s="26"/>
      <c r="I21" s="10" t="s">
        <v>127</v>
      </c>
      <c r="J21" s="11" t="s">
        <v>3275</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milscm_2023_009.sny_202310_backup_text_mml_common.file_name IS 'ファイル名';</v>
      </c>
    </row>
    <row r="22" spans="1:52" s="25" customFormat="1">
      <c r="A22" s="4"/>
      <c r="B22" s="21">
        <f t="shared" si="2"/>
        <v>10</v>
      </c>
      <c r="C22" s="6" t="s">
        <v>3271</v>
      </c>
      <c r="D22" s="6" t="s">
        <v>2512</v>
      </c>
      <c r="E22" s="8"/>
      <c r="F22" s="7" t="s">
        <v>2422</v>
      </c>
      <c r="G22" s="7" t="str">
        <f t="shared" si="3"/>
        <v>boolean</v>
      </c>
      <c r="H22" s="26" t="b">
        <v>1</v>
      </c>
      <c r="I22" s="10" t="s">
        <v>127</v>
      </c>
      <c r="J22" s="11" t="s">
        <v>3276</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milscm_2023_009.sny_202310_backup_text_mml_common.new_f IS '最新フラグ';</v>
      </c>
    </row>
    <row r="23" spans="1:52" s="25" customFormat="1" ht="18" thickBot="1">
      <c r="A23" s="4"/>
      <c r="B23" s="27">
        <f>ROW()-12</f>
        <v>11</v>
      </c>
      <c r="C23" s="57" t="s">
        <v>3272</v>
      </c>
      <c r="D23" s="57" t="s">
        <v>1908</v>
      </c>
      <c r="E23" s="56"/>
      <c r="F23" s="56" t="s">
        <v>2422</v>
      </c>
      <c r="G23" s="56" t="str">
        <f t="shared" si="3"/>
        <v>boolean</v>
      </c>
      <c r="H23" s="59" t="b">
        <v>0</v>
      </c>
      <c r="I23" s="60" t="s">
        <v>127</v>
      </c>
      <c r="J23" s="64" t="s">
        <v>3277</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ENT_01_A6-03</v>
      </c>
      <c r="E6" s="234"/>
      <c r="F6" s="234"/>
      <c r="G6" s="234"/>
      <c r="H6" s="234"/>
      <c r="I6" s="234"/>
      <c r="J6" s="235"/>
    </row>
    <row r="7" spans="1:45">
      <c r="B7" s="223" t="s">
        <v>115</v>
      </c>
      <c r="C7" s="224"/>
      <c r="D7" s="225" t="s">
        <v>2783</v>
      </c>
      <c r="E7" s="226"/>
      <c r="F7" s="226"/>
      <c r="G7" s="226"/>
      <c r="H7" s="226"/>
      <c r="I7" s="226"/>
      <c r="J7" s="227"/>
    </row>
    <row r="8" spans="1:45">
      <c r="B8" s="223" t="s">
        <v>116</v>
      </c>
      <c r="C8" s="224"/>
      <c r="D8" s="225" t="str">
        <f>エンティティ一覧!AE2&amp;"_"&amp;D5&amp;"_text_mml_mmlrd_body"</f>
        <v>sny_202310_backup_text_mml_mmlrd_body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milscm_2023_009.sny_202310_backup_text_mml_mmlrd_body;</v>
      </c>
      <c r="O10" s="76"/>
      <c r="P10" s="76"/>
      <c r="Q10" s="76"/>
      <c r="R10" s="76"/>
      <c r="S10" s="76"/>
      <c r="T10" s="76"/>
      <c r="AJ10" s="76" t="str">
        <f>"ALTER TABLE ONLY "&amp;エンティティ一覧!$O$2&amp;"."&amp;D$8</f>
        <v>ALTER TABLE ONLY milscm_2023_009.sny_202310_backup_text_mml_mmlrd_body</v>
      </c>
      <c r="AS10" s="76" t="str">
        <f>"ALTER TABLE "&amp;エンティティ一覧!$O$2&amp;"."&amp;D$8&amp;" OWNER TO pgmisgrp1;"</f>
        <v>ALTER TABLE milscm_2023_009.sny_202310_backup_text_mml_mmlrd_body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milscm_2023_009.sny_202310_backup_text_mml_mmlrd_body</v>
      </c>
      <c r="O11" s="76"/>
      <c r="P11" s="76"/>
      <c r="Q11" s="76"/>
      <c r="R11" s="76"/>
      <c r="S11" s="76"/>
      <c r="T11" s="76"/>
      <c r="AJ11" s="76" t="str">
        <f>"ADD CONSTRAINT "&amp;D$8&amp;"_pkey PRIMARY KEY"</f>
        <v>ADD CONSTRAINT sny_202310_backup_text_mml_mmlrd_body_pkey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ENT_01_A6-04</v>
      </c>
      <c r="E6" s="234"/>
      <c r="F6" s="234"/>
      <c r="G6" s="234"/>
      <c r="H6" s="234"/>
      <c r="I6" s="234"/>
      <c r="J6" s="235"/>
    </row>
    <row r="7" spans="1:45">
      <c r="B7" s="223" t="s">
        <v>115</v>
      </c>
      <c r="C7" s="224"/>
      <c r="D7" s="225" t="s">
        <v>2799</v>
      </c>
      <c r="E7" s="226"/>
      <c r="F7" s="226"/>
      <c r="G7" s="226"/>
      <c r="H7" s="226"/>
      <c r="I7" s="226"/>
      <c r="J7" s="227"/>
    </row>
    <row r="8" spans="1:45">
      <c r="B8" s="223" t="s">
        <v>116</v>
      </c>
      <c r="C8" s="224"/>
      <c r="D8" s="225" t="str">
        <f>エンティティ一覧!AE2&amp;"_"&amp;D5&amp;"_text_mml_mmlrd_byomei"</f>
        <v>sny_202310_backup_text_mml_mmlrd_byomei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milscm_2023_009.sny_202310_backup_text_mml_mmlrd_byomei;</v>
      </c>
      <c r="O10" s="76"/>
      <c r="P10" s="76"/>
      <c r="Q10" s="76"/>
      <c r="R10" s="76"/>
      <c r="S10" s="76"/>
      <c r="T10" s="76"/>
      <c r="AJ10" s="76" t="str">
        <f>"ALTER TABLE ONLY "&amp;エンティティ一覧!$O$2&amp;"."&amp;D$8</f>
        <v>ALTER TABLE ONLY milscm_2023_009.sny_202310_backup_text_mml_mmlrd_byomei</v>
      </c>
      <c r="AS10" s="76" t="str">
        <f>"ALTER TABLE "&amp;エンティティ一覧!$O$2&amp;"."&amp;D$8&amp;" OWNER TO pgmisgrp1;"</f>
        <v>ALTER TABLE milscm_2023_009.sny_202310_backup_text_mml_mmlrd_byomei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milscm_2023_009.sny_202310_backup_text_mml_mmlrd_byomei</v>
      </c>
      <c r="O11" s="76"/>
      <c r="P11" s="76"/>
      <c r="Q11" s="76"/>
      <c r="R11" s="76"/>
      <c r="S11" s="76"/>
      <c r="T11" s="76"/>
      <c r="AJ11" s="76" t="str">
        <f>"ADD CONSTRAINT "&amp;D$8&amp;"_pkey PRIMARY KEY"</f>
        <v>ADD CONSTRAINT sny_202310_backup_text_mml_mmlrd_byomei_pkey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6"/>
      <c r="O20" s="76"/>
      <c r="P20" s="76" t="str">
        <f t="shared" ref="P20" si="8">IF(B20&lt;&gt;1,","&amp;D20,D20)</f>
        <v>,diagnosis</v>
      </c>
      <c r="Q20" s="76" t="str">
        <f t="shared" ref="Q20" si="9">UPPER(G20)</f>
        <v>TEXT</v>
      </c>
      <c r="R20" s="76" t="str">
        <f t="shared" ref="R20" si="10">IF(H20&lt;&gt;"","default "&amp;IF(G20="text","'"&amp;H20&amp;"'",H20),"")</f>
        <v/>
      </c>
      <c r="S20" s="76" t="str">
        <f t="shared" ref="S20" si="11">IF(I20="○","NOT NULL","")</f>
        <v/>
      </c>
      <c r="T20" s="76" t="str">
        <f t="shared" ref="T20" si="12">"-- "&amp;C20</f>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milscm_2023_009.sny_202310_backup_text_mml_mmlrd_byomei.diagnosis IS '病名';</v>
      </c>
    </row>
    <row r="21" spans="1:52" s="25" customFormat="1">
      <c r="A21" s="4"/>
      <c r="B21" s="21">
        <f t="shared" si="2"/>
        <v>9</v>
      </c>
      <c r="C21" s="6" t="s">
        <v>2805</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ENT_01_A6-05</v>
      </c>
      <c r="E6" s="234"/>
      <c r="F6" s="234"/>
      <c r="G6" s="234"/>
      <c r="H6" s="234"/>
      <c r="I6" s="234"/>
      <c r="J6" s="235"/>
    </row>
    <row r="7" spans="1:45">
      <c r="B7" s="223" t="s">
        <v>115</v>
      </c>
      <c r="C7" s="224"/>
      <c r="D7" s="225" t="s">
        <v>2810</v>
      </c>
      <c r="E7" s="226"/>
      <c r="F7" s="226"/>
      <c r="G7" s="226"/>
      <c r="H7" s="226"/>
      <c r="I7" s="226"/>
      <c r="J7" s="227"/>
    </row>
    <row r="8" spans="1:45">
      <c r="B8" s="223" t="s">
        <v>116</v>
      </c>
      <c r="C8" s="224"/>
      <c r="D8" s="225" t="str">
        <f>エンティティ一覧!AE2&amp;"_"&amp;D5&amp;"_text_mml_mmlrd_category"</f>
        <v>sny_202310_backup_text_mml_mmlrd_category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milscm_2023_009.sny_202310_backup_text_mml_mmlrd_category;</v>
      </c>
      <c r="O10" s="76"/>
      <c r="P10" s="76"/>
      <c r="Q10" s="76"/>
      <c r="R10" s="76"/>
      <c r="S10" s="76"/>
      <c r="T10" s="76"/>
      <c r="AJ10" s="76" t="str">
        <f>"ALTER TABLE ONLY "&amp;エンティティ一覧!$O$2&amp;"."&amp;D$8</f>
        <v>ALTER TABLE ONLY milscm_2023_009.sny_202310_backup_text_mml_mmlrd_category</v>
      </c>
      <c r="AS10" s="76" t="str">
        <f>"ALTER TABLE "&amp;エンティティ一覧!$O$2&amp;"."&amp;D$8&amp;" OWNER TO pgmisgrp1;"</f>
        <v>ALTER TABLE milscm_2023_009.sny_202310_backup_text_mml_mmlrd_category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milscm_2023_009.sny_202310_backup_text_mml_mmlrd_category</v>
      </c>
      <c r="O11" s="76"/>
      <c r="P11" s="76"/>
      <c r="Q11" s="76"/>
      <c r="R11" s="76"/>
      <c r="S11" s="76"/>
      <c r="T11" s="76"/>
      <c r="AJ11" s="76" t="str">
        <f>"ADD CONSTRAINT "&amp;D$8&amp;"_pkey PRIMARY KEY"</f>
        <v>ADD CONSTRAINT sny_202310_backup_text_mml_mmlrd_category_pkey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6"/>
      <c r="O18" s="76"/>
      <c r="P18" s="76" t="str">
        <f t="shared" si="4"/>
        <v>,category_no</v>
      </c>
      <c r="Q18" s="76" t="str">
        <f t="shared" si="0"/>
        <v>INTEGER</v>
      </c>
      <c r="R18" s="76" t="str">
        <f t="shared" si="1"/>
        <v/>
      </c>
      <c r="S18" s="76" t="str">
        <f t="shared" si="5"/>
        <v>NOT NULL</v>
      </c>
      <c r="T18" s="76" t="str">
        <f t="shared" si="6"/>
        <v>-- カテゴリ名No</v>
      </c>
      <c r="U18" s="4"/>
      <c r="AA18" s="4"/>
      <c r="AB18" s="4"/>
      <c r="AC18" s="4"/>
      <c r="AD18" s="4"/>
      <c r="AE18" s="4"/>
      <c r="AF18" s="4"/>
      <c r="AG18" s="4"/>
      <c r="AH18" s="4"/>
      <c r="AI18" s="4"/>
      <c r="AJ18" s="76" t="str">
        <f>IF(E18="○",IF(COUNTA(E$13:E18)=1,"",",")&amp;D18,"")</f>
        <v>,category_no</v>
      </c>
      <c r="AK18" s="4"/>
      <c r="AL18" s="4"/>
      <c r="AM18" s="4"/>
      <c r="AN18" s="4"/>
      <c r="AO18" s="4"/>
      <c r="AP18" s="4"/>
      <c r="AQ18" s="4"/>
      <c r="AR18" s="4"/>
      <c r="AS18" s="76" t="str">
        <f>"COMMENT ON COLUMN "&amp;エンティティ一覧!$O$2&amp;"."&amp;D$8&amp;"."&amp;D18&amp;" IS '"&amp;C18&amp;"';"</f>
        <v>COMMENT ON COLUMN milscm_2023_009.sny_202310_backup_text_mml_mmlrd_category.category_no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6"/>
      <c r="O19" s="76"/>
      <c r="P19" s="76" t="str">
        <f t="shared" si="4"/>
        <v>,category</v>
      </c>
      <c r="Q19" s="76" t="str">
        <f t="shared" si="0"/>
        <v>TEXT</v>
      </c>
      <c r="R19" s="76" t="str">
        <f t="shared" si="1"/>
        <v/>
      </c>
      <c r="S19" s="76" t="str">
        <f t="shared" si="5"/>
        <v/>
      </c>
      <c r="T19" s="76" t="str">
        <f t="shared" si="6"/>
        <v>-- 分類名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4"/>
      <c r="N20" s="76"/>
      <c r="O20" s="76"/>
      <c r="P20" s="76" t="str">
        <f t="shared" si="4"/>
        <v>,table_id</v>
      </c>
      <c r="Q20" s="76" t="str">
        <f t="shared" si="0"/>
        <v>TEXT</v>
      </c>
      <c r="R20" s="76" t="str">
        <f t="shared" si="1"/>
        <v/>
      </c>
      <c r="S20" s="76" t="str">
        <f t="shared" si="5"/>
        <v/>
      </c>
      <c r="T20" s="76" t="str">
        <f t="shared" si="6"/>
        <v>-- 分類コード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milscm_2023_009.sny_202310_backup_text_mml_mmlrd_category.table_id IS '分類コード';</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ENT_01_A6-18</v>
      </c>
      <c r="E6" s="234"/>
      <c r="F6" s="234"/>
      <c r="G6" s="234"/>
      <c r="H6" s="234"/>
      <c r="I6" s="234"/>
      <c r="J6" s="235"/>
    </row>
    <row r="7" spans="1:45">
      <c r="B7" s="223" t="s">
        <v>115</v>
      </c>
      <c r="C7" s="224"/>
      <c r="D7" s="225" t="s">
        <v>3863</v>
      </c>
      <c r="E7" s="226"/>
      <c r="F7" s="226"/>
      <c r="G7" s="226"/>
      <c r="H7" s="226"/>
      <c r="I7" s="226"/>
      <c r="J7" s="227"/>
    </row>
    <row r="8" spans="1:45">
      <c r="B8" s="223" t="s">
        <v>116</v>
      </c>
      <c r="C8" s="224"/>
      <c r="D8" s="225" t="str">
        <f>エンティティ一覧!AE2&amp;"_"&amp;D5&amp;"_text_mml_mmllb_body"</f>
        <v>sny_202310_backup_text_mml_mmllb_body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milscm_2023_009.sny_202310_backup_text_mml_mmllb_body;</v>
      </c>
      <c r="O10" s="76"/>
      <c r="P10" s="76"/>
      <c r="Q10" s="76"/>
      <c r="R10" s="76"/>
      <c r="S10" s="76"/>
      <c r="T10" s="76"/>
      <c r="AJ10" s="76" t="str">
        <f>"ALTER TABLE ONLY "&amp;エンティティ一覧!$O$2&amp;"."&amp;D$8</f>
        <v>ALTER TABLE ONLY milscm_2023_009.sny_202310_backup_text_mml_mmllb_body</v>
      </c>
      <c r="AS10" s="76" t="str">
        <f>"ALTER TABLE "&amp;エンティティ一覧!$O$2&amp;"."&amp;D$8&amp;" OWNER TO pgmisgrp1;"</f>
        <v>ALTER TABLE milscm_2023_009.sny_202310_backup_text_mml_mmllb_body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milscm_2023_009.sny_202310_backup_text_mml_mmllb_body</v>
      </c>
      <c r="O11" s="76"/>
      <c r="P11" s="76"/>
      <c r="Q11" s="76"/>
      <c r="R11" s="76"/>
      <c r="S11" s="76"/>
      <c r="T11" s="76"/>
      <c r="AJ11" s="76" t="str">
        <f>"ADD CONSTRAINT "&amp;D$8&amp;"_pkey PRIMARY KEY"</f>
        <v>ADD CONSTRAINT sny_202310_backup_text_mml_mmllb_body_pkey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milscm_2023_009.sny_202310_backup_text_mml_mmllb_body IS 'バックアップ_MML_検歴情報モジュール_本文';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milscm_2023_009.sny_202310_backup_text_mml_mmllb_body.zip_no IS 'ZipファイルNo';</v>
      </c>
    </row>
    <row r="14" spans="1:45" s="25" customFormat="1">
      <c r="A14" s="4"/>
      <c r="B14" s="21">
        <f t="shared" ref="B14:B45" si="2">ROW()-12</f>
        <v>2</v>
      </c>
      <c r="C14" s="6" t="s">
        <v>2787</v>
      </c>
      <c r="D14" s="6" t="s">
        <v>2788</v>
      </c>
      <c r="E14" s="8" t="s">
        <v>127</v>
      </c>
      <c r="F14" s="7" t="s">
        <v>3278</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milscm_2023_009.sny_202310_backup_text_mml_mmllb_body.facility_id_mml IS '施設ID（MML）';</v>
      </c>
    </row>
    <row r="17" spans="1:45" s="25" customFormat="1">
      <c r="A17" s="4"/>
      <c r="B17" s="21">
        <f t="shared" si="2"/>
        <v>5</v>
      </c>
      <c r="C17" s="6" t="s">
        <v>2792</v>
      </c>
      <c r="D17" s="6" t="s">
        <v>1250</v>
      </c>
      <c r="E17" s="8"/>
      <c r="F17" s="7" t="s">
        <v>3280</v>
      </c>
      <c r="G17" s="7" t="str">
        <f t="shared" ref="G17:G44" si="7">IF(F17="フラグ","boolean",IF(F17="文字列","text",IF(F17="整数","integer",IF(F17="実数","numeric",""))))</f>
        <v>text</v>
      </c>
      <c r="H17" s="26"/>
      <c r="I17" s="10" t="s">
        <v>127</v>
      </c>
      <c r="J17" s="11"/>
      <c r="M17" s="4"/>
      <c r="N17" s="76"/>
      <c r="O17" s="76"/>
      <c r="P17" s="76" t="str">
        <f t="shared" ref="P17:P44" si="8">IF(B17&lt;&gt;1,","&amp;D17,D17)</f>
        <v>,master_id</v>
      </c>
      <c r="Q17" s="76" t="str">
        <f t="shared" ref="Q17:Q44" si="9">UPPER(G17)</f>
        <v>TEXT</v>
      </c>
      <c r="R17" s="76" t="str">
        <f t="shared" ref="R17:R44" si="10">IF(H17&lt;&gt;"","default "&amp;IF(G17="text","'"&amp;H17&amp;"'",H17),"")</f>
        <v/>
      </c>
      <c r="S17" s="76" t="str">
        <f t="shared" ref="S17:S44" si="11">IF(I17="○","NOT NULL","")</f>
        <v>NOT NULL</v>
      </c>
      <c r="T17" s="76" t="str">
        <f t="shared" ref="T17:T44" si="12">"-- "&amp;C17</f>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milscm_2023_009.sny_202310_backup_text_mml_mmllb_body.master_id IS '患者ID';</v>
      </c>
    </row>
    <row r="18" spans="1:45" s="25" customFormat="1">
      <c r="A18" s="4"/>
      <c r="B18" s="21">
        <f t="shared" si="2"/>
        <v>6</v>
      </c>
      <c r="C18" s="6" t="s">
        <v>1550</v>
      </c>
      <c r="D18" s="6" t="s">
        <v>3873</v>
      </c>
      <c r="E18" s="8"/>
      <c r="F18" s="7" t="s">
        <v>3280</v>
      </c>
      <c r="G18" s="7" t="str">
        <f t="shared" si="7"/>
        <v>text</v>
      </c>
      <c r="H18" s="26"/>
      <c r="I18" s="10"/>
      <c r="J18" s="11"/>
      <c r="M18" s="4"/>
      <c r="N18" s="76"/>
      <c r="O18" s="76"/>
      <c r="P18" s="76" t="str">
        <f t="shared" si="8"/>
        <v>,regist_id</v>
      </c>
      <c r="Q18" s="76" t="str">
        <f t="shared" si="9"/>
        <v>TEXT</v>
      </c>
      <c r="R18" s="76" t="str">
        <f t="shared" si="10"/>
        <v/>
      </c>
      <c r="S18" s="76" t="str">
        <f t="shared" si="11"/>
        <v/>
      </c>
      <c r="T18" s="76" t="str">
        <f t="shared" si="12"/>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milscm_2023_009.sny_202310_backup_text_mml_mmllb_body.regist_id IS '依頼ID';</v>
      </c>
    </row>
    <row r="19" spans="1:45" s="25" customFormat="1">
      <c r="A19" s="4"/>
      <c r="B19" s="21">
        <f t="shared" si="2"/>
        <v>7</v>
      </c>
      <c r="C19" s="6" t="s">
        <v>1552</v>
      </c>
      <c r="D19" s="6" t="s">
        <v>1553</v>
      </c>
      <c r="E19" s="8"/>
      <c r="F19" s="7" t="s">
        <v>3280</v>
      </c>
      <c r="G19" s="7" t="str">
        <f t="shared" si="7"/>
        <v>text</v>
      </c>
      <c r="H19" s="26"/>
      <c r="I19" s="10"/>
      <c r="J19" s="11" t="s">
        <v>2798</v>
      </c>
      <c r="M19" s="4"/>
      <c r="N19" s="76"/>
      <c r="O19" s="76"/>
      <c r="P19" s="76" t="str">
        <f t="shared" si="8"/>
        <v>,sample_time</v>
      </c>
      <c r="Q19" s="76" t="str">
        <f t="shared" si="9"/>
        <v>TEXT</v>
      </c>
      <c r="R19" s="76" t="str">
        <f t="shared" si="10"/>
        <v/>
      </c>
      <c r="S19" s="76" t="str">
        <f t="shared" si="11"/>
        <v/>
      </c>
      <c r="T19" s="76" t="str">
        <f t="shared" si="12"/>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milscm_2023_009.sny_202310_backup_text_mml_mmllb_body.sample_time IS '採取日時';</v>
      </c>
    </row>
    <row r="20" spans="1:45" s="25" customFormat="1">
      <c r="A20" s="4"/>
      <c r="B20" s="21">
        <f t="shared" si="2"/>
        <v>8</v>
      </c>
      <c r="C20" s="6" t="s">
        <v>1554</v>
      </c>
      <c r="D20" s="6" t="s">
        <v>3874</v>
      </c>
      <c r="E20" s="8"/>
      <c r="F20" s="7" t="s">
        <v>3280</v>
      </c>
      <c r="G20" s="7" t="str">
        <f t="shared" si="7"/>
        <v>text</v>
      </c>
      <c r="H20" s="26"/>
      <c r="I20" s="10"/>
      <c r="J20" s="11" t="s">
        <v>2798</v>
      </c>
      <c r="M20" s="4"/>
      <c r="N20" s="76"/>
      <c r="O20" s="76"/>
      <c r="P20" s="76" t="str">
        <f t="shared" si="8"/>
        <v>,regist_time</v>
      </c>
      <c r="Q20" s="76" t="str">
        <f t="shared" si="9"/>
        <v>TEXT</v>
      </c>
      <c r="R20" s="76" t="str">
        <f t="shared" si="10"/>
        <v/>
      </c>
      <c r="S20" s="76" t="str">
        <f t="shared" si="11"/>
        <v/>
      </c>
      <c r="T20" s="76" t="str">
        <f t="shared" si="12"/>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milscm_2023_009.sny_202310_backup_text_mml_mmllb_body.regist_time IS '受付日時';</v>
      </c>
    </row>
    <row r="21" spans="1:45" s="25" customFormat="1">
      <c r="A21" s="4"/>
      <c r="B21" s="21">
        <f t="shared" si="2"/>
        <v>9</v>
      </c>
      <c r="C21" s="6" t="s">
        <v>1556</v>
      </c>
      <c r="D21" s="6" t="s">
        <v>1557</v>
      </c>
      <c r="E21" s="8"/>
      <c r="F21" s="7" t="s">
        <v>3280</v>
      </c>
      <c r="G21" s="7" t="str">
        <f t="shared" si="7"/>
        <v>text</v>
      </c>
      <c r="H21" s="26"/>
      <c r="I21" s="10"/>
      <c r="J21" s="11" t="s">
        <v>2798</v>
      </c>
      <c r="M21" s="4"/>
      <c r="N21" s="76"/>
      <c r="O21" s="76"/>
      <c r="P21" s="76" t="str">
        <f t="shared" si="8"/>
        <v>,report_time</v>
      </c>
      <c r="Q21" s="76" t="str">
        <f t="shared" si="9"/>
        <v>TEXT</v>
      </c>
      <c r="R21" s="76" t="str">
        <f t="shared" si="10"/>
        <v/>
      </c>
      <c r="S21" s="76" t="str">
        <f t="shared" si="11"/>
        <v/>
      </c>
      <c r="T21" s="76" t="str">
        <f t="shared" si="12"/>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milscm_2023_009.sny_202310_backup_text_mml_mmllb_body.report_time IS '報告日時';</v>
      </c>
    </row>
    <row r="22" spans="1:45" s="25" customFormat="1">
      <c r="A22" s="4"/>
      <c r="B22" s="21">
        <f t="shared" si="2"/>
        <v>10</v>
      </c>
      <c r="C22" s="6" t="s">
        <v>1558</v>
      </c>
      <c r="D22" s="6" t="s">
        <v>2947</v>
      </c>
      <c r="E22" s="8"/>
      <c r="F22" s="7" t="s">
        <v>3280</v>
      </c>
      <c r="G22" s="7" t="str">
        <f t="shared" si="7"/>
        <v>text</v>
      </c>
      <c r="H22" s="26"/>
      <c r="I22" s="10"/>
      <c r="J22" s="11"/>
      <c r="M22" s="4"/>
      <c r="N22" s="76"/>
      <c r="O22" s="76"/>
      <c r="P22" s="76" t="str">
        <f t="shared" si="8"/>
        <v>,report_status</v>
      </c>
      <c r="Q22" s="76" t="str">
        <f t="shared" si="9"/>
        <v>TEXT</v>
      </c>
      <c r="R22" s="76" t="str">
        <f t="shared" si="10"/>
        <v/>
      </c>
      <c r="S22" s="76" t="str">
        <f t="shared" si="11"/>
        <v/>
      </c>
      <c r="T22" s="76" t="str">
        <f t="shared" si="12"/>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milscm_2023_009.sny_202310_backup_text_mml_mmllb_body.report_status IS '報告状態';</v>
      </c>
    </row>
    <row r="23" spans="1:45" s="25" customFormat="1">
      <c r="A23" s="4"/>
      <c r="B23" s="21">
        <f t="shared" si="2"/>
        <v>11</v>
      </c>
      <c r="C23" s="6" t="s">
        <v>1560</v>
      </c>
      <c r="D23" s="6" t="s">
        <v>1561</v>
      </c>
      <c r="E23" s="8"/>
      <c r="F23" s="7" t="s">
        <v>3280</v>
      </c>
      <c r="G23" s="7" t="str">
        <f t="shared" si="7"/>
        <v>text</v>
      </c>
      <c r="H23" s="26"/>
      <c r="I23" s="10"/>
      <c r="J23" s="11"/>
      <c r="M23" s="4"/>
      <c r="N23" s="76"/>
      <c r="O23" s="76"/>
      <c r="P23" s="76" t="str">
        <f t="shared" si="8"/>
        <v>,status_code</v>
      </c>
      <c r="Q23" s="76" t="str">
        <f t="shared" si="9"/>
        <v>TEXT</v>
      </c>
      <c r="R23" s="76" t="str">
        <f t="shared" si="10"/>
        <v/>
      </c>
      <c r="S23" s="76" t="str">
        <f t="shared" si="11"/>
        <v/>
      </c>
      <c r="T23" s="76" t="str">
        <f t="shared" si="12"/>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milscm_2023_009.sny_202310_backup_text_mml_mmllb_body.status_code IS '報告状態コード';</v>
      </c>
    </row>
    <row r="24" spans="1:45" s="25" customFormat="1">
      <c r="A24" s="4"/>
      <c r="B24" s="21">
        <f t="shared" si="2"/>
        <v>12</v>
      </c>
      <c r="C24" s="6" t="s">
        <v>2949</v>
      </c>
      <c r="D24" s="6" t="s">
        <v>3875</v>
      </c>
      <c r="E24" s="8"/>
      <c r="F24" s="7" t="s">
        <v>3280</v>
      </c>
      <c r="G24" s="7" t="str">
        <f t="shared" si="7"/>
        <v>text</v>
      </c>
      <c r="H24" s="26"/>
      <c r="I24" s="10"/>
      <c r="J24" s="11"/>
      <c r="M24" s="4"/>
      <c r="N24" s="76"/>
      <c r="O24" s="76"/>
      <c r="P24" s="76" t="str">
        <f t="shared" si="8"/>
        <v>,status_code_id</v>
      </c>
      <c r="Q24" s="76" t="str">
        <f t="shared" si="9"/>
        <v>TEXT</v>
      </c>
      <c r="R24" s="76" t="str">
        <f t="shared" si="10"/>
        <v/>
      </c>
      <c r="S24" s="76" t="str">
        <f t="shared" si="11"/>
        <v/>
      </c>
      <c r="T24" s="76" t="str">
        <f t="shared" si="12"/>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milscm_2023_009.sny_202310_backup_text_mml_mmllb_body.status_code_id IS '報告状態コードID';</v>
      </c>
    </row>
    <row r="25" spans="1:45" s="25" customFormat="1">
      <c r="A25" s="4"/>
      <c r="B25" s="21">
        <f t="shared" si="2"/>
        <v>13</v>
      </c>
      <c r="C25" s="6" t="s">
        <v>1562</v>
      </c>
      <c r="D25" s="6" t="s">
        <v>3876</v>
      </c>
      <c r="E25" s="8"/>
      <c r="F25" s="7" t="s">
        <v>3280</v>
      </c>
      <c r="G25" s="7" t="str">
        <f t="shared" si="7"/>
        <v>text</v>
      </c>
      <c r="H25" s="26"/>
      <c r="I25" s="10"/>
      <c r="J25" s="11"/>
      <c r="M25" s="4"/>
      <c r="N25" s="76"/>
      <c r="O25" s="76"/>
      <c r="P25" s="76" t="str">
        <f t="shared" si="8"/>
        <v>,set</v>
      </c>
      <c r="Q25" s="76" t="str">
        <f t="shared" si="9"/>
        <v>TEXT</v>
      </c>
      <c r="R25" s="76" t="str">
        <f t="shared" si="10"/>
        <v/>
      </c>
      <c r="S25" s="76" t="str">
        <f t="shared" si="11"/>
        <v/>
      </c>
      <c r="T25" s="76" t="str">
        <f t="shared" si="12"/>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milscm_2023_009.sny_202310_backup_text_mml_mmllb_body.set IS 'セット名';</v>
      </c>
    </row>
    <row r="26" spans="1:45" s="25" customFormat="1">
      <c r="A26" s="4"/>
      <c r="B26" s="21">
        <f t="shared" si="2"/>
        <v>14</v>
      </c>
      <c r="C26" s="6" t="s">
        <v>1564</v>
      </c>
      <c r="D26" s="6" t="s">
        <v>3877</v>
      </c>
      <c r="E26" s="8"/>
      <c r="F26" s="7" t="s">
        <v>3280</v>
      </c>
      <c r="G26" s="7" t="str">
        <f t="shared" si="7"/>
        <v>text</v>
      </c>
      <c r="H26" s="26"/>
      <c r="I26" s="10"/>
      <c r="J26" s="11"/>
      <c r="M26" s="4"/>
      <c r="N26" s="76"/>
      <c r="O26" s="76"/>
      <c r="P26" s="76" t="str">
        <f t="shared" si="8"/>
        <v>,set_code</v>
      </c>
      <c r="Q26" s="76" t="str">
        <f t="shared" si="9"/>
        <v>TEXT</v>
      </c>
      <c r="R26" s="76" t="str">
        <f t="shared" si="10"/>
        <v/>
      </c>
      <c r="S26" s="76" t="str">
        <f t="shared" si="11"/>
        <v/>
      </c>
      <c r="T26" s="76" t="str">
        <f t="shared" si="12"/>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milscm_2023_009.sny_202310_backup_text_mml_mmllb_body.set_code IS 'セット名コード';</v>
      </c>
    </row>
    <row r="27" spans="1:45" s="25" customFormat="1">
      <c r="A27" s="4"/>
      <c r="B27" s="21">
        <f t="shared" si="2"/>
        <v>15</v>
      </c>
      <c r="C27" s="6" t="s">
        <v>1566</v>
      </c>
      <c r="D27" s="6" t="s">
        <v>3878</v>
      </c>
      <c r="E27" s="8"/>
      <c r="F27" s="7" t="s">
        <v>3280</v>
      </c>
      <c r="G27" s="7" t="str">
        <f t="shared" si="7"/>
        <v>text</v>
      </c>
      <c r="H27" s="26"/>
      <c r="I27" s="10"/>
      <c r="J27" s="11"/>
      <c r="M27" s="4"/>
      <c r="N27" s="76"/>
      <c r="O27" s="76"/>
      <c r="P27" s="76" t="str">
        <f t="shared" si="8"/>
        <v>,set_code_id</v>
      </c>
      <c r="Q27" s="76" t="str">
        <f t="shared" si="9"/>
        <v>TEXT</v>
      </c>
      <c r="R27" s="76" t="str">
        <f t="shared" si="10"/>
        <v/>
      </c>
      <c r="S27" s="76" t="str">
        <f t="shared" si="11"/>
        <v/>
      </c>
      <c r="T27" s="76" t="str">
        <f t="shared" si="12"/>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milscm_2023_009.sny_202310_backup_text_mml_mmllb_body.set_code_id IS 'セット名コードID';</v>
      </c>
    </row>
    <row r="28" spans="1:45" s="25" customFormat="1">
      <c r="A28" s="4"/>
      <c r="B28" s="21">
        <f t="shared" si="2"/>
        <v>16</v>
      </c>
      <c r="C28" s="6" t="s">
        <v>2965</v>
      </c>
      <c r="D28" s="6" t="s">
        <v>3879</v>
      </c>
      <c r="E28" s="8"/>
      <c r="F28" s="7" t="s">
        <v>3280</v>
      </c>
      <c r="G28" s="7" t="str">
        <f t="shared" si="7"/>
        <v>text</v>
      </c>
      <c r="H28" s="26"/>
      <c r="I28" s="10"/>
      <c r="J28" s="11"/>
      <c r="M28" s="4"/>
      <c r="N28" s="76"/>
      <c r="O28" s="76"/>
      <c r="P28" s="76" t="str">
        <f t="shared" si="8"/>
        <v>,facility</v>
      </c>
      <c r="Q28" s="76" t="str">
        <f t="shared" si="9"/>
        <v>TEXT</v>
      </c>
      <c r="R28" s="76" t="str">
        <f t="shared" si="10"/>
        <v/>
      </c>
      <c r="S28" s="76" t="str">
        <f t="shared" si="11"/>
        <v/>
      </c>
      <c r="T28" s="76" t="str">
        <f t="shared" si="12"/>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milscm_2023_009.sny_202310_backup_text_mml_mmllb_body.facility IS '依頼施設';</v>
      </c>
    </row>
    <row r="29" spans="1:45" s="25" customFormat="1">
      <c r="A29" s="4"/>
      <c r="B29" s="21">
        <f t="shared" si="2"/>
        <v>17</v>
      </c>
      <c r="C29" s="6" t="s">
        <v>1570</v>
      </c>
      <c r="D29" s="6" t="s">
        <v>3880</v>
      </c>
      <c r="E29" s="8"/>
      <c r="F29" s="7" t="s">
        <v>3280</v>
      </c>
      <c r="G29" s="7" t="str">
        <f t="shared" si="7"/>
        <v>text</v>
      </c>
      <c r="H29" s="26"/>
      <c r="I29" s="10"/>
      <c r="J29" s="11"/>
      <c r="M29" s="4"/>
      <c r="N29" s="76"/>
      <c r="O29" s="76"/>
      <c r="P29" s="76" t="str">
        <f t="shared" si="8"/>
        <v>,facility_code</v>
      </c>
      <c r="Q29" s="76" t="str">
        <f t="shared" si="9"/>
        <v>TEXT</v>
      </c>
      <c r="R29" s="76" t="str">
        <f t="shared" si="10"/>
        <v/>
      </c>
      <c r="S29" s="76" t="str">
        <f t="shared" si="11"/>
        <v/>
      </c>
      <c r="T29" s="76" t="str">
        <f t="shared" si="12"/>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milscm_2023_009.sny_202310_backup_text_mml_mmllb_body.facility_code IS '依頼施設コード';</v>
      </c>
    </row>
    <row r="30" spans="1:45" s="25" customFormat="1">
      <c r="A30" s="4"/>
      <c r="B30" s="21">
        <f t="shared" si="2"/>
        <v>18</v>
      </c>
      <c r="C30" s="6" t="s">
        <v>1572</v>
      </c>
      <c r="D30" s="6" t="s">
        <v>3881</v>
      </c>
      <c r="E30" s="8"/>
      <c r="F30" s="7" t="s">
        <v>3280</v>
      </c>
      <c r="G30" s="7" t="str">
        <f t="shared" si="7"/>
        <v>text</v>
      </c>
      <c r="H30" s="26"/>
      <c r="I30" s="10"/>
      <c r="J30" s="11"/>
      <c r="M30" s="4"/>
      <c r="N30" s="76"/>
      <c r="O30" s="76"/>
      <c r="P30" s="76" t="str">
        <f t="shared" si="8"/>
        <v>,facility_code_id</v>
      </c>
      <c r="Q30" s="76" t="str">
        <f t="shared" si="9"/>
        <v>TEXT</v>
      </c>
      <c r="R30" s="76" t="str">
        <f t="shared" si="10"/>
        <v/>
      </c>
      <c r="S30" s="76" t="str">
        <f t="shared" si="11"/>
        <v/>
      </c>
      <c r="T30" s="76" t="str">
        <f t="shared" si="12"/>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milscm_2023_009.sny_202310_backup_text_mml_mmllb_body.facility_code_id IS '依頼施設コードID';</v>
      </c>
    </row>
    <row r="31" spans="1:45" s="25" customFormat="1">
      <c r="A31" s="4"/>
      <c r="B31" s="21">
        <f t="shared" si="2"/>
        <v>19</v>
      </c>
      <c r="C31" s="6" t="s">
        <v>1574</v>
      </c>
      <c r="D31" s="6" t="s">
        <v>3882</v>
      </c>
      <c r="E31" s="8"/>
      <c r="F31" s="7" t="s">
        <v>3280</v>
      </c>
      <c r="G31" s="7" t="str">
        <f t="shared" si="7"/>
        <v>text</v>
      </c>
      <c r="H31" s="26"/>
      <c r="I31" s="10"/>
      <c r="J31" s="11"/>
      <c r="M31" s="4"/>
      <c r="N31" s="76"/>
      <c r="O31" s="76"/>
      <c r="P31" s="76" t="str">
        <f t="shared" si="8"/>
        <v>,department</v>
      </c>
      <c r="Q31" s="76" t="str">
        <f t="shared" si="9"/>
        <v>TEXT</v>
      </c>
      <c r="R31" s="76" t="str">
        <f t="shared" si="10"/>
        <v/>
      </c>
      <c r="S31" s="76" t="str">
        <f t="shared" si="11"/>
        <v/>
      </c>
      <c r="T31" s="76" t="str">
        <f t="shared" si="12"/>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milscm_2023_009.sny_202310_backup_text_mml_mmllb_body.department IS '依頼診療科';</v>
      </c>
    </row>
    <row r="32" spans="1:45" s="25" customFormat="1">
      <c r="A32" s="4"/>
      <c r="B32" s="21">
        <f t="shared" si="2"/>
        <v>20</v>
      </c>
      <c r="C32" s="6" t="s">
        <v>1576</v>
      </c>
      <c r="D32" s="6" t="s">
        <v>1687</v>
      </c>
      <c r="E32" s="8"/>
      <c r="F32" s="7" t="s">
        <v>3280</v>
      </c>
      <c r="G32" s="7" t="str">
        <f t="shared" si="7"/>
        <v>text</v>
      </c>
      <c r="H32" s="26"/>
      <c r="I32" s="10"/>
      <c r="J32" s="11"/>
      <c r="M32" s="4"/>
      <c r="N32" s="76"/>
      <c r="O32" s="76"/>
      <c r="P32" s="76" t="str">
        <f t="shared" si="8"/>
        <v>,department_code</v>
      </c>
      <c r="Q32" s="76" t="str">
        <f t="shared" si="9"/>
        <v>TEXT</v>
      </c>
      <c r="R32" s="76" t="str">
        <f t="shared" si="10"/>
        <v/>
      </c>
      <c r="S32" s="76" t="str">
        <f t="shared" si="11"/>
        <v/>
      </c>
      <c r="T32" s="76" t="str">
        <f t="shared" si="12"/>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milscm_2023_009.sny_202310_backup_text_mml_mmllb_body.department_code IS '依頼診療科コード';</v>
      </c>
    </row>
    <row r="33" spans="1:52" s="25" customFormat="1">
      <c r="A33" s="4"/>
      <c r="B33" s="21">
        <f t="shared" si="2"/>
        <v>21</v>
      </c>
      <c r="C33" s="6" t="s">
        <v>2971</v>
      </c>
      <c r="D33" s="6" t="s">
        <v>3883</v>
      </c>
      <c r="E33" s="8"/>
      <c r="F33" s="7" t="s">
        <v>3280</v>
      </c>
      <c r="G33" s="7" t="str">
        <f t="shared" si="7"/>
        <v>text</v>
      </c>
      <c r="H33" s="26"/>
      <c r="I33" s="10"/>
      <c r="J33" s="11"/>
      <c r="M33" s="4"/>
      <c r="N33" s="76"/>
      <c r="O33" s="76"/>
      <c r="P33" s="76" t="str">
        <f t="shared" si="8"/>
        <v>,department_code_id</v>
      </c>
      <c r="Q33" s="76" t="str">
        <f t="shared" si="9"/>
        <v>TEXT</v>
      </c>
      <c r="R33" s="76" t="str">
        <f t="shared" si="10"/>
        <v/>
      </c>
      <c r="S33" s="76" t="str">
        <f t="shared" si="11"/>
        <v/>
      </c>
      <c r="T33" s="76" t="str">
        <f t="shared" si="12"/>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milscm_2023_009.sny_202310_backup_text_mml_mmllb_body.department_code_id IS '依頼診療科コードID';</v>
      </c>
    </row>
    <row r="34" spans="1:52" s="25" customFormat="1">
      <c r="A34" s="4"/>
      <c r="B34" s="21">
        <f t="shared" si="2"/>
        <v>22</v>
      </c>
      <c r="C34" s="6" t="s">
        <v>1578</v>
      </c>
      <c r="D34" s="6" t="s">
        <v>1689</v>
      </c>
      <c r="E34" s="8"/>
      <c r="F34" s="7" t="s">
        <v>3280</v>
      </c>
      <c r="G34" s="7" t="str">
        <f t="shared" si="7"/>
        <v>text</v>
      </c>
      <c r="H34" s="26"/>
      <c r="I34" s="10"/>
      <c r="J34" s="11"/>
      <c r="M34" s="4"/>
      <c r="N34" s="76"/>
      <c r="O34" s="76"/>
      <c r="P34" s="76" t="str">
        <f t="shared" si="8"/>
        <v>,ward</v>
      </c>
      <c r="Q34" s="76" t="str">
        <f t="shared" si="9"/>
        <v>TEXT</v>
      </c>
      <c r="R34" s="76" t="str">
        <f t="shared" si="10"/>
        <v/>
      </c>
      <c r="S34" s="76" t="str">
        <f t="shared" si="11"/>
        <v/>
      </c>
      <c r="T34" s="76" t="str">
        <f t="shared" si="12"/>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milscm_2023_009.sny_202310_backup_text_mml_mmllb_body.ward IS '依頼病棟';</v>
      </c>
    </row>
    <row r="35" spans="1:52" s="25" customFormat="1">
      <c r="A35" s="4"/>
      <c r="B35" s="21">
        <f t="shared" si="2"/>
        <v>23</v>
      </c>
      <c r="C35" s="6" t="s">
        <v>1580</v>
      </c>
      <c r="D35" s="6" t="s">
        <v>239</v>
      </c>
      <c r="E35" s="8"/>
      <c r="F35" s="7" t="s">
        <v>3280</v>
      </c>
      <c r="G35" s="7" t="str">
        <f t="shared" si="7"/>
        <v>text</v>
      </c>
      <c r="H35" s="26"/>
      <c r="I35" s="10"/>
      <c r="J35" s="11"/>
      <c r="M35" s="4"/>
      <c r="N35" s="76"/>
      <c r="O35" s="76"/>
      <c r="P35" s="76" t="str">
        <f t="shared" si="8"/>
        <v>,ward_code</v>
      </c>
      <c r="Q35" s="76" t="str">
        <f t="shared" si="9"/>
        <v>TEXT</v>
      </c>
      <c r="R35" s="76" t="str">
        <f t="shared" si="10"/>
        <v/>
      </c>
      <c r="S35" s="76" t="str">
        <f t="shared" si="11"/>
        <v/>
      </c>
      <c r="T35" s="76" t="str">
        <f t="shared" si="12"/>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milscm_2023_009.sny_202310_backup_text_mml_mmllb_body.ward_code IS '依頼病棟コード';</v>
      </c>
    </row>
    <row r="36" spans="1:52" s="25" customFormat="1">
      <c r="A36" s="4"/>
      <c r="B36" s="21">
        <f t="shared" si="2"/>
        <v>24</v>
      </c>
      <c r="C36" s="6" t="s">
        <v>1582</v>
      </c>
      <c r="D36" s="6" t="s">
        <v>1691</v>
      </c>
      <c r="E36" s="8"/>
      <c r="F36" s="7" t="s">
        <v>3280</v>
      </c>
      <c r="G36" s="7" t="str">
        <f t="shared" si="7"/>
        <v>text</v>
      </c>
      <c r="H36" s="26"/>
      <c r="I36" s="10"/>
      <c r="J36" s="11"/>
      <c r="M36" s="4"/>
      <c r="N36" s="76"/>
      <c r="O36" s="76"/>
      <c r="P36" s="76" t="str">
        <f t="shared" si="8"/>
        <v>,ward_code_id</v>
      </c>
      <c r="Q36" s="76" t="str">
        <f t="shared" si="9"/>
        <v>TEXT</v>
      </c>
      <c r="R36" s="76" t="str">
        <f t="shared" si="10"/>
        <v/>
      </c>
      <c r="S36" s="76" t="str">
        <f t="shared" si="11"/>
        <v/>
      </c>
      <c r="T36" s="76" t="str">
        <f t="shared" si="12"/>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milscm_2023_009.sny_202310_backup_text_mml_mmllb_body.ward_code_id IS '依頼病棟コードID';</v>
      </c>
    </row>
    <row r="37" spans="1:52" s="25" customFormat="1">
      <c r="A37" s="4"/>
      <c r="B37" s="21">
        <f t="shared" si="2"/>
        <v>25</v>
      </c>
      <c r="C37" s="6" t="s">
        <v>3884</v>
      </c>
      <c r="D37" s="6" t="s">
        <v>3885</v>
      </c>
      <c r="E37" s="8"/>
      <c r="F37" s="7" t="s">
        <v>3280</v>
      </c>
      <c r="G37" s="7" t="str">
        <f t="shared" si="7"/>
        <v>text</v>
      </c>
      <c r="H37" s="26"/>
      <c r="I37" s="10"/>
      <c r="J37" s="11"/>
      <c r="M37" s="4"/>
      <c r="N37" s="76"/>
      <c r="O37" s="76"/>
      <c r="P37" s="76" t="str">
        <f t="shared" si="8"/>
        <v>,client</v>
      </c>
      <c r="Q37" s="76" t="str">
        <f t="shared" si="9"/>
        <v>TEXT</v>
      </c>
      <c r="R37" s="76" t="str">
        <f t="shared" si="10"/>
        <v/>
      </c>
      <c r="S37" s="76" t="str">
        <f t="shared" si="11"/>
        <v/>
      </c>
      <c r="T37" s="76" t="str">
        <f t="shared" si="12"/>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milscm_2023_009.sny_202310_backup_text_mml_mmllb_body.client IS '依頼者';</v>
      </c>
    </row>
    <row r="38" spans="1:52" s="25" customFormat="1">
      <c r="A38" s="4"/>
      <c r="B38" s="21">
        <f t="shared" si="2"/>
        <v>26</v>
      </c>
      <c r="C38" s="6" t="s">
        <v>3886</v>
      </c>
      <c r="D38" s="6" t="s">
        <v>3887</v>
      </c>
      <c r="E38" s="8"/>
      <c r="F38" s="7" t="s">
        <v>3280</v>
      </c>
      <c r="G38" s="7" t="str">
        <f t="shared" si="7"/>
        <v>text</v>
      </c>
      <c r="H38" s="26"/>
      <c r="I38" s="10"/>
      <c r="J38" s="11"/>
      <c r="M38" s="4"/>
      <c r="N38" s="76"/>
      <c r="O38" s="76"/>
      <c r="P38" s="76" t="str">
        <f t="shared" si="8"/>
        <v>,client_code</v>
      </c>
      <c r="Q38" s="76" t="str">
        <f t="shared" si="9"/>
        <v>TEXT</v>
      </c>
      <c r="R38" s="76" t="str">
        <f t="shared" si="10"/>
        <v/>
      </c>
      <c r="S38" s="76" t="str">
        <f t="shared" si="11"/>
        <v/>
      </c>
      <c r="T38" s="76" t="str">
        <f t="shared" si="12"/>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milscm_2023_009.sny_202310_backup_text_mml_mmllb_body.client_code IS '依頼者コード';</v>
      </c>
    </row>
    <row r="39" spans="1:52" s="25" customFormat="1">
      <c r="A39" s="4"/>
      <c r="B39" s="21">
        <f t="shared" si="2"/>
        <v>27</v>
      </c>
      <c r="C39" s="6" t="s">
        <v>3888</v>
      </c>
      <c r="D39" s="6" t="s">
        <v>3889</v>
      </c>
      <c r="E39" s="8"/>
      <c r="F39" s="7" t="s">
        <v>3280</v>
      </c>
      <c r="G39" s="7" t="str">
        <f t="shared" si="7"/>
        <v>text</v>
      </c>
      <c r="H39" s="26"/>
      <c r="I39" s="10"/>
      <c r="J39" s="11"/>
      <c r="M39" s="4"/>
      <c r="N39" s="76"/>
      <c r="O39" s="76"/>
      <c r="P39" s="76" t="str">
        <f t="shared" si="8"/>
        <v>,client_code_id</v>
      </c>
      <c r="Q39" s="76" t="str">
        <f t="shared" si="9"/>
        <v>TEXT</v>
      </c>
      <c r="R39" s="76" t="str">
        <f t="shared" si="10"/>
        <v/>
      </c>
      <c r="S39" s="76" t="str">
        <f t="shared" si="11"/>
        <v/>
      </c>
      <c r="T39" s="76" t="str">
        <f t="shared" si="12"/>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milscm_2023_009.sny_202310_backup_text_mml_mmllb_body.client_code_id IS '依頼者コードID';</v>
      </c>
    </row>
    <row r="40" spans="1:52" s="25" customFormat="1">
      <c r="A40" s="4"/>
      <c r="B40" s="21">
        <f t="shared" si="2"/>
        <v>28</v>
      </c>
      <c r="C40" s="6" t="s">
        <v>3890</v>
      </c>
      <c r="D40" s="6" t="s">
        <v>3891</v>
      </c>
      <c r="E40" s="8"/>
      <c r="F40" s="7" t="s">
        <v>3280</v>
      </c>
      <c r="G40" s="7" t="str">
        <f t="shared" si="7"/>
        <v>text</v>
      </c>
      <c r="H40" s="26"/>
      <c r="I40" s="10"/>
      <c r="J40" s="11"/>
      <c r="M40" s="4"/>
      <c r="N40" s="76"/>
      <c r="O40" s="76"/>
      <c r="P40" s="76" t="str">
        <f t="shared" si="8"/>
        <v>,laboratory_center</v>
      </c>
      <c r="Q40" s="76" t="str">
        <f t="shared" si="9"/>
        <v>TEXT</v>
      </c>
      <c r="R40" s="76" t="str">
        <f t="shared" si="10"/>
        <v/>
      </c>
      <c r="S40" s="76" t="str">
        <f t="shared" si="11"/>
        <v/>
      </c>
      <c r="T40" s="76" t="str">
        <f t="shared" si="12"/>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milscm_2023_009.sny_202310_backup_text_mml_mmllb_body.laboratory_center IS '検査実施施設';</v>
      </c>
    </row>
    <row r="41" spans="1:52" s="25" customFormat="1">
      <c r="A41" s="4"/>
      <c r="B41" s="21">
        <f t="shared" si="2"/>
        <v>29</v>
      </c>
      <c r="C41" s="6" t="s">
        <v>3892</v>
      </c>
      <c r="D41" s="6" t="s">
        <v>3893</v>
      </c>
      <c r="E41" s="8"/>
      <c r="F41" s="7" t="s">
        <v>3280</v>
      </c>
      <c r="G41" s="7" t="str">
        <f t="shared" si="7"/>
        <v>text</v>
      </c>
      <c r="H41" s="26"/>
      <c r="I41" s="10"/>
      <c r="J41" s="11"/>
      <c r="M41" s="4"/>
      <c r="N41" s="76"/>
      <c r="O41" s="76"/>
      <c r="P41" s="76" t="str">
        <f t="shared" si="8"/>
        <v>,laboratory_center_code</v>
      </c>
      <c r="Q41" s="76" t="str">
        <f t="shared" si="9"/>
        <v>TEXT</v>
      </c>
      <c r="R41" s="76" t="str">
        <f t="shared" si="10"/>
        <v/>
      </c>
      <c r="S41" s="76" t="str">
        <f t="shared" si="11"/>
        <v/>
      </c>
      <c r="T41" s="76" t="str">
        <f t="shared" si="12"/>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milscm_2023_009.sny_202310_backup_text_mml_mmllb_body.laboratory_center_code IS '検査実施施設コード';</v>
      </c>
    </row>
    <row r="42" spans="1:52" s="25" customFormat="1" ht="30">
      <c r="A42" s="4"/>
      <c r="B42" s="21">
        <f t="shared" si="2"/>
        <v>30</v>
      </c>
      <c r="C42" s="6" t="s">
        <v>3894</v>
      </c>
      <c r="D42" s="6" t="s">
        <v>3895</v>
      </c>
      <c r="E42" s="8"/>
      <c r="F42" s="7" t="s">
        <v>3280</v>
      </c>
      <c r="G42" s="7" t="str">
        <f t="shared" si="7"/>
        <v>text</v>
      </c>
      <c r="H42" s="26"/>
      <c r="I42" s="10"/>
      <c r="J42" s="11"/>
      <c r="M42" s="4"/>
      <c r="N42" s="76"/>
      <c r="O42" s="76"/>
      <c r="P42" s="76" t="str">
        <f t="shared" si="8"/>
        <v>,laboratory_center_code_id</v>
      </c>
      <c r="Q42" s="76" t="str">
        <f t="shared" si="9"/>
        <v>TEXT</v>
      </c>
      <c r="R42" s="76" t="str">
        <f t="shared" si="10"/>
        <v/>
      </c>
      <c r="S42" s="76" t="str">
        <f t="shared" si="11"/>
        <v/>
      </c>
      <c r="T42" s="76" t="str">
        <f t="shared" si="12"/>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milscm_2023_009.sny_202310_backup_text_mml_mmllb_body.laboratory_center_code_id IS '検査実施施設コードID';</v>
      </c>
    </row>
    <row r="43" spans="1:52" s="25" customFormat="1">
      <c r="A43" s="4"/>
      <c r="B43" s="21">
        <f t="shared" si="2"/>
        <v>31</v>
      </c>
      <c r="C43" s="6" t="s">
        <v>3896</v>
      </c>
      <c r="D43" s="6" t="s">
        <v>3897</v>
      </c>
      <c r="E43" s="8"/>
      <c r="F43" s="7" t="s">
        <v>3280</v>
      </c>
      <c r="G43" s="7" t="str">
        <f t="shared" si="7"/>
        <v>text</v>
      </c>
      <c r="H43" s="26"/>
      <c r="I43" s="10"/>
      <c r="J43" s="11"/>
      <c r="M43" s="4"/>
      <c r="N43" s="76"/>
      <c r="O43" s="76"/>
      <c r="P43" s="76" t="str">
        <f t="shared" si="8"/>
        <v>,technician</v>
      </c>
      <c r="Q43" s="76" t="str">
        <f t="shared" si="9"/>
        <v>TEXT</v>
      </c>
      <c r="R43" s="76" t="str">
        <f t="shared" si="10"/>
        <v/>
      </c>
      <c r="S43" s="76" t="str">
        <f t="shared" si="11"/>
        <v/>
      </c>
      <c r="T43" s="76" t="str">
        <f t="shared" si="12"/>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milscm_2023_009.sny_202310_backup_text_mml_mmllb_body.technician IS '検査実施者';</v>
      </c>
    </row>
    <row r="44" spans="1:52" s="25" customFormat="1">
      <c r="A44" s="4"/>
      <c r="B44" s="21">
        <f t="shared" si="2"/>
        <v>32</v>
      </c>
      <c r="C44" s="6" t="s">
        <v>3898</v>
      </c>
      <c r="D44" s="6" t="s">
        <v>3899</v>
      </c>
      <c r="E44" s="8"/>
      <c r="F44" s="7" t="s">
        <v>3280</v>
      </c>
      <c r="G44" s="7" t="str">
        <f t="shared" si="7"/>
        <v>text</v>
      </c>
      <c r="H44" s="26"/>
      <c r="I44" s="10"/>
      <c r="J44" s="11"/>
      <c r="M44" s="4"/>
      <c r="N44" s="76"/>
      <c r="O44" s="76"/>
      <c r="P44" s="76" t="str">
        <f t="shared" si="8"/>
        <v>,technician_code</v>
      </c>
      <c r="Q44" s="76" t="str">
        <f t="shared" si="9"/>
        <v>TEXT</v>
      </c>
      <c r="R44" s="76" t="str">
        <f t="shared" si="10"/>
        <v/>
      </c>
      <c r="S44" s="76" t="str">
        <f t="shared" si="11"/>
        <v/>
      </c>
      <c r="T44" s="76" t="str">
        <f t="shared" si="12"/>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milscm_2023_009.sny_202310_backup_text_mml_mmllb_body.technician_code IS '検査実施者コード';</v>
      </c>
    </row>
    <row r="45" spans="1:52" s="25" customFormat="1">
      <c r="A45" s="4"/>
      <c r="B45" s="21">
        <f t="shared" si="2"/>
        <v>33</v>
      </c>
      <c r="C45" s="6" t="s">
        <v>3900</v>
      </c>
      <c r="D45" s="6" t="s">
        <v>3901</v>
      </c>
      <c r="E45" s="8"/>
      <c r="F45" s="7" t="s">
        <v>3280</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milscm_2023_009.sny_202310_backup_text_mml_mmllb_body.technician_code_id IS '検査実施者コードID';</v>
      </c>
    </row>
    <row r="46" spans="1:52" s="25" customFormat="1" ht="18" thickBot="1">
      <c r="A46" s="4"/>
      <c r="B46" s="27">
        <f>ROW()-12</f>
        <v>34</v>
      </c>
      <c r="C46" s="57" t="s">
        <v>1584</v>
      </c>
      <c r="D46" s="57" t="s">
        <v>3902</v>
      </c>
      <c r="E46" s="56"/>
      <c r="F46" s="56" t="s">
        <v>3280</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ENT_01_A6-19</v>
      </c>
      <c r="E6" s="234"/>
      <c r="F6" s="234"/>
      <c r="G6" s="234"/>
      <c r="H6" s="234"/>
      <c r="I6" s="234"/>
      <c r="J6" s="235"/>
    </row>
    <row r="7" spans="1:45">
      <c r="B7" s="223" t="s">
        <v>115</v>
      </c>
      <c r="C7" s="224"/>
      <c r="D7" s="225" t="s">
        <v>3864</v>
      </c>
      <c r="E7" s="226"/>
      <c r="F7" s="226"/>
      <c r="G7" s="226"/>
      <c r="H7" s="226"/>
      <c r="I7" s="226"/>
      <c r="J7" s="227"/>
    </row>
    <row r="8" spans="1:45">
      <c r="B8" s="223" t="s">
        <v>116</v>
      </c>
      <c r="C8" s="224"/>
      <c r="D8" s="225" t="str">
        <f>エンティティ一覧!AE2&amp;"_"&amp;D5&amp;"_text_mml_mmllb_memo"</f>
        <v>sny_202310_backup_text_mml_mmllb_memo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milscm_2023_009.sny_202310_backup_text_mml_mmllb_memo;</v>
      </c>
      <c r="O10" s="76"/>
      <c r="P10" s="76"/>
      <c r="Q10" s="76"/>
      <c r="R10" s="76"/>
      <c r="S10" s="76"/>
      <c r="T10" s="76"/>
      <c r="AJ10" s="76" t="str">
        <f>"ALTER TABLE ONLY "&amp;エンティティ一覧!$O$2&amp;"."&amp;D$8</f>
        <v>ALTER TABLE ONLY milscm_2023_009.sny_202310_backup_text_mml_mmllb_memo</v>
      </c>
      <c r="AS10" s="76" t="str">
        <f>"ALTER TABLE "&amp;エンティティ一覧!$O$2&amp;"."&amp;D$8&amp;" OWNER TO pgmisgrp1;"</f>
        <v>ALTER TABLE milscm_2023_009.sny_202310_backup_text_mml_mmllb_memo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milscm_2023_009.sny_202310_backup_text_mml_mmllb_memo</v>
      </c>
      <c r="O11" s="76"/>
      <c r="P11" s="76"/>
      <c r="Q11" s="76"/>
      <c r="R11" s="76"/>
      <c r="S11" s="76"/>
      <c r="T11" s="76"/>
      <c r="AJ11" s="76" t="str">
        <f>"ADD CONSTRAINT "&amp;D$8&amp;"_pkey PRIMARY KEY"</f>
        <v>ADD CONSTRAINT sny_202310_backup_text_mml_mmllb_memo_pkey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milscm_2023_009.sny_202310_backup_text_mml_mmllb_memo IS 'バックアップ_MML_検歴情報モジュール_報告コメント';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milscm_2023_009.sny_202310_backup_text_mml_mmllb_memo.zip_no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milscm_2023_009.sny_202310_backup_text_mml_mmllb_memo.master_id IS '患者ID';</v>
      </c>
    </row>
    <row r="18" spans="1:52" s="25" customFormat="1">
      <c r="A18" s="4"/>
      <c r="B18" s="21">
        <f t="shared" si="2"/>
        <v>6</v>
      </c>
      <c r="C18" s="6" t="s">
        <v>3903</v>
      </c>
      <c r="D18" s="6" t="s">
        <v>3904</v>
      </c>
      <c r="E18" s="8" t="s">
        <v>127</v>
      </c>
      <c r="F18" s="7" t="s">
        <v>3278</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milscm_2023_009.sny_202310_backup_text_mml_mmllb_memo.memo_no IS 'メモNo';</v>
      </c>
    </row>
    <row r="19" spans="1:52" s="25" customFormat="1">
      <c r="A19" s="4"/>
      <c r="B19" s="21">
        <f t="shared" si="2"/>
        <v>7</v>
      </c>
      <c r="C19" s="6" t="s">
        <v>3905</v>
      </c>
      <c r="D19" s="6" t="s">
        <v>3902</v>
      </c>
      <c r="E19" s="8"/>
      <c r="F19" s="7" t="s">
        <v>3280</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milscm_2023_009.sny_202310_backup_text_mml_mmllb_memo.rep_memo IS '報告コメント';</v>
      </c>
    </row>
    <row r="20" spans="1:52" s="25" customFormat="1">
      <c r="A20" s="4"/>
      <c r="B20" s="21">
        <f t="shared" si="2"/>
        <v>8</v>
      </c>
      <c r="C20" s="6" t="s">
        <v>3906</v>
      </c>
      <c r="D20" s="6" t="s">
        <v>3907</v>
      </c>
      <c r="E20" s="8"/>
      <c r="F20" s="7" t="s">
        <v>3280</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milscm_2023_009.sny_202310_backup_text_mml_mmllb_memo.rep_code_name IS '報告コメントコード名';</v>
      </c>
    </row>
    <row r="21" spans="1:52" s="25" customFormat="1">
      <c r="A21" s="4"/>
      <c r="B21" s="21">
        <f t="shared" si="2"/>
        <v>9</v>
      </c>
      <c r="C21" s="6" t="s">
        <v>3908</v>
      </c>
      <c r="D21" s="6" t="s">
        <v>3061</v>
      </c>
      <c r="E21" s="8"/>
      <c r="F21" s="7" t="s">
        <v>3280</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milscm_2023_009.sny_202310_backup_text_mml_mmllb_memo.rep_code IS '報告コメントコード';</v>
      </c>
    </row>
    <row r="22" spans="1:52" s="25" customFormat="1" ht="18" thickBot="1">
      <c r="A22" s="4"/>
      <c r="B22" s="27">
        <f>ROW()-12</f>
        <v>10</v>
      </c>
      <c r="C22" s="57" t="s">
        <v>3909</v>
      </c>
      <c r="D22" s="57" t="s">
        <v>3910</v>
      </c>
      <c r="E22" s="56"/>
      <c r="F22" s="56" t="s">
        <v>3280</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ENT_01_A6-20</v>
      </c>
      <c r="E6" s="234"/>
      <c r="F6" s="234"/>
      <c r="G6" s="234"/>
      <c r="H6" s="234"/>
      <c r="I6" s="234"/>
      <c r="J6" s="235"/>
    </row>
    <row r="7" spans="1:45">
      <c r="B7" s="223" t="s">
        <v>115</v>
      </c>
      <c r="C7" s="224"/>
      <c r="D7" s="225" t="s">
        <v>3865</v>
      </c>
      <c r="E7" s="226"/>
      <c r="F7" s="226"/>
      <c r="G7" s="226"/>
      <c r="H7" s="226"/>
      <c r="I7" s="226"/>
      <c r="J7" s="227"/>
    </row>
    <row r="8" spans="1:45">
      <c r="B8" s="223" t="s">
        <v>116</v>
      </c>
      <c r="C8" s="224"/>
      <c r="D8" s="225" t="str">
        <f>エンティティ一覧!AE2&amp;"_"&amp;D5&amp;"_text_mml_mmllb_labo_test"</f>
        <v>sny_202310_backup_text_mml_mmllb_labo_test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milscm_2023_009.sny_202310_backup_text_mml_mmllb_labo_test;</v>
      </c>
      <c r="O10" s="76"/>
      <c r="P10" s="76"/>
      <c r="Q10" s="76"/>
      <c r="R10" s="76"/>
      <c r="S10" s="76"/>
      <c r="T10" s="76"/>
      <c r="AJ10" s="76" t="str">
        <f>"ALTER TABLE ONLY "&amp;エンティティ一覧!$O$2&amp;"."&amp;D$8</f>
        <v>ALTER TABLE ONLY milscm_2023_009.sny_202310_backup_text_mml_mmllb_labo_test</v>
      </c>
      <c r="AS10" s="76" t="str">
        <f>"ALTER TABLE "&amp;エンティティ一覧!$O$2&amp;"."&amp;D$8&amp;" OWNER TO pgmisgrp1;"</f>
        <v>ALTER TABLE milscm_2023_009.sny_202310_backup_text_mml_mmllb_labo_test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milscm_2023_009.sny_202310_backup_text_mml_mmllb_labo_test</v>
      </c>
      <c r="O11" s="76"/>
      <c r="P11" s="76"/>
      <c r="Q11" s="76"/>
      <c r="R11" s="76"/>
      <c r="S11" s="76"/>
      <c r="T11" s="76"/>
      <c r="AJ11" s="76" t="str">
        <f>"ADD CONSTRAINT "&amp;D$8&amp;"_pkey PRIMARY KEY"</f>
        <v>ADD CONSTRAINT sny_202310_backup_text_mml_mmllb_labo_test_pkey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milscm_2023_009.sny_202310_backup_text_mml_mmllb_labo_test IS 'バックアップ_MML_検歴情報モジュール_検体検査結果情報';</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milscm_2023_009.sny_202310_backup_text_mml_mmllb_labo_test.zip_no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milscm_2023_009.sny_202310_backup_text_mml_mmllb_labo_test.file_no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milscm_2023_009.sny_202310_backup_text_mml_mmllb_labo_test.body_no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milscm_2023_009.sny_202310_backup_text_mml_mmllb_labo_test.facility_id_mml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milscm_2023_009.sny_202310_backup_text_mml_mmllb_labo_test.master_id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milscm_2023_009.sny_202310_backup_text_mml_mmllb_labo_test.labo_test_no IS '検体検査結果情報No';</v>
      </c>
    </row>
    <row r="19" spans="1:52" s="25" customFormat="1">
      <c r="A19" s="4"/>
      <c r="B19" s="21">
        <f t="shared" si="2"/>
        <v>7</v>
      </c>
      <c r="C19" s="6" t="s">
        <v>1610</v>
      </c>
      <c r="D19" s="6" t="s">
        <v>3991</v>
      </c>
      <c r="E19" s="8"/>
      <c r="F19" s="7" t="s">
        <v>3280</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milscm_2023_009.sny_202310_backup_text_mml_mmllb_labo_test.specimen_name IS '検体材料';</v>
      </c>
    </row>
    <row r="20" spans="1:52" s="25" customFormat="1">
      <c r="A20" s="4"/>
      <c r="B20" s="21">
        <f t="shared" si="2"/>
        <v>8</v>
      </c>
      <c r="C20" s="6" t="s">
        <v>1612</v>
      </c>
      <c r="D20" s="6" t="s">
        <v>1613</v>
      </c>
      <c r="E20" s="8"/>
      <c r="F20" s="7" t="s">
        <v>3280</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milscm_2023_009.sny_202310_backup_text_mml_mmllb_labo_test.sp_code IS '検体材料コード';</v>
      </c>
    </row>
    <row r="21" spans="1:52" s="25" customFormat="1">
      <c r="A21" s="4"/>
      <c r="B21" s="21">
        <f t="shared" si="2"/>
        <v>9</v>
      </c>
      <c r="C21" s="6" t="s">
        <v>3913</v>
      </c>
      <c r="D21" s="6" t="s">
        <v>1615</v>
      </c>
      <c r="E21" s="8"/>
      <c r="F21" s="7" t="s">
        <v>3280</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milscm_2023_009.sny_202310_backup_text_mml_mmllb_labo_test.sp_code_id IS '検体材料コードID';</v>
      </c>
    </row>
    <row r="22" spans="1:52" s="25" customFormat="1" ht="18" thickBot="1">
      <c r="A22" s="4"/>
      <c r="B22" s="27">
        <f>ROW()-12</f>
        <v>10</v>
      </c>
      <c r="C22" s="57" t="s">
        <v>1616</v>
      </c>
      <c r="D22" s="57" t="s">
        <v>3914</v>
      </c>
      <c r="E22" s="56"/>
      <c r="F22" s="56" t="s">
        <v>3280</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ENT_01_A6-21</v>
      </c>
      <c r="E6" s="234"/>
      <c r="F6" s="234"/>
      <c r="G6" s="234"/>
      <c r="H6" s="234"/>
      <c r="I6" s="234"/>
      <c r="J6" s="235"/>
    </row>
    <row r="7" spans="1:45">
      <c r="B7" s="223" t="s">
        <v>115</v>
      </c>
      <c r="C7" s="224"/>
      <c r="D7" s="225" t="s">
        <v>3866</v>
      </c>
      <c r="E7" s="226"/>
      <c r="F7" s="226"/>
      <c r="G7" s="226"/>
      <c r="H7" s="226"/>
      <c r="I7" s="226"/>
      <c r="J7" s="227"/>
    </row>
    <row r="8" spans="1:45">
      <c r="B8" s="223" t="s">
        <v>116</v>
      </c>
      <c r="C8" s="224"/>
      <c r="D8" s="225" t="str">
        <f>エンティティ一覧!AE2&amp;"_"&amp;D5&amp;"_text_mml_mmllb_spc_memo"</f>
        <v>sny_202310_backup_text_mml_mmllb_spc_memo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milscm_2023_009.sny_202310_backup_text_mml_mmllb_spc_memo;</v>
      </c>
      <c r="O10" s="76"/>
      <c r="P10" s="76"/>
      <c r="Q10" s="76"/>
      <c r="R10" s="76"/>
      <c r="S10" s="76"/>
      <c r="T10" s="76"/>
      <c r="AJ10" s="76" t="str">
        <f>"ALTER TABLE ONLY "&amp;エンティティ一覧!$O$2&amp;"."&amp;D$8</f>
        <v>ALTER TABLE ONLY milscm_2023_009.sny_202310_backup_text_mml_mmllb_spc_memo</v>
      </c>
      <c r="AS10" s="76" t="str">
        <f>"ALTER TABLE "&amp;エンティティ一覧!$O$2&amp;"."&amp;D$8&amp;" OWNER TO pgmisgrp1;"</f>
        <v>ALTER TABLE milscm_2023_009.sny_202310_backup_text_mml_mmllb_spc_memo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milscm_2023_009.sny_202310_backup_text_mml_mmllb_spc_memo</v>
      </c>
      <c r="O11" s="76"/>
      <c r="P11" s="76"/>
      <c r="Q11" s="76"/>
      <c r="R11" s="76"/>
      <c r="S11" s="76"/>
      <c r="T11" s="76"/>
      <c r="AJ11" s="76" t="str">
        <f>"ADD CONSTRAINT "&amp;D$8&amp;"_pkey PRIMARY KEY"</f>
        <v>ADD CONSTRAINT sny_202310_backup_text_mml_mmllb_spc_memo_pkey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milscm_2023_009.sny_202310_backup_text_mml_mmllb_spc_memo IS 'バックアップ_MML_検歴情報モジュール_検体コメント';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milscm_2023_009.sny_202310_backup_text_mml_mmllb_spc_memo.zip_no IS 'ZipファイルNo';</v>
      </c>
    </row>
    <row r="14" spans="1:45" s="25" customFormat="1">
      <c r="A14" s="4"/>
      <c r="B14" s="21">
        <f t="shared" ref="B14:B22" si="2">ROW()-12</f>
        <v>2</v>
      </c>
      <c r="C14" s="6" t="s">
        <v>2787</v>
      </c>
      <c r="D14" s="6" t="s">
        <v>2788</v>
      </c>
      <c r="E14" s="8" t="s">
        <v>127</v>
      </c>
      <c r="F14" s="7" t="s">
        <v>3278</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milscm_2023_009.sny_202310_backup_text_mml_mmllb_spc_memo.file_no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milscm_2023_009.sny_202310_backup_text_mml_mmllb_spc_memo.body_no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milscm_2023_009.sny_202310_backup_text_mml_mmllb_spc_memo.facility_id_mml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milscm_2023_009.sny_202310_backup_text_mml_mmllb_spc_memo.master_id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milscm_2023_009.sny_202310_backup_text_mml_mmllb_spc_memo.labo_test_no IS '検体検査結果情報No';</v>
      </c>
    </row>
    <row r="19" spans="1:52" s="25" customFormat="1">
      <c r="A19" s="4"/>
      <c r="B19" s="21">
        <f t="shared" si="2"/>
        <v>7</v>
      </c>
      <c r="C19" s="6" t="s">
        <v>3915</v>
      </c>
      <c r="D19" s="6" t="s">
        <v>3916</v>
      </c>
      <c r="E19" s="8" t="s">
        <v>127</v>
      </c>
      <c r="F19" s="7" t="s">
        <v>3278</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milscm_2023_009.sny_202310_backup_text_mml_mmllb_spc_memo.spc_memo_no IS '検体コメントNo';</v>
      </c>
    </row>
    <row r="20" spans="1:52" s="25" customFormat="1">
      <c r="A20" s="4"/>
      <c r="B20" s="21">
        <f t="shared" si="2"/>
        <v>8</v>
      </c>
      <c r="C20" s="6" t="s">
        <v>3917</v>
      </c>
      <c r="D20" s="6" t="s">
        <v>3918</v>
      </c>
      <c r="E20" s="8"/>
      <c r="F20" s="7" t="s">
        <v>3280</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milscm_2023_009.sny_202310_backup_text_mml_mmllb_spc_memo.spc_memo IS '検体コメント';</v>
      </c>
    </row>
    <row r="21" spans="1:52" s="25" customFormat="1">
      <c r="A21" s="4"/>
      <c r="B21" s="21">
        <f t="shared" si="2"/>
        <v>9</v>
      </c>
      <c r="C21" s="6" t="s">
        <v>3919</v>
      </c>
      <c r="D21" s="6" t="s">
        <v>3920</v>
      </c>
      <c r="E21" s="8"/>
      <c r="F21" s="7" t="s">
        <v>3280</v>
      </c>
      <c r="G21" s="7" t="str">
        <f t="shared" ref="G21" si="7">IF(F21="フラグ","boolean",IF(F21="文字列","text",IF(F21="整数","integer",IF(F21="実数","numeric",""))))</f>
        <v>text</v>
      </c>
      <c r="H21" s="26"/>
      <c r="I21" s="10"/>
      <c r="J21" s="11"/>
      <c r="M21" s="4"/>
      <c r="N21" s="76"/>
      <c r="O21" s="76"/>
      <c r="P21" s="76" t="str">
        <f t="shared" ref="P21" si="8">IF(B21&lt;&gt;1,","&amp;D21,D21)</f>
        <v>,sm_code_name</v>
      </c>
      <c r="Q21" s="76" t="str">
        <f t="shared" ref="Q21" si="9">UPPER(G21)</f>
        <v>TEXT</v>
      </c>
      <c r="R21" s="76" t="str">
        <f t="shared" ref="R21" si="10">IF(H21&lt;&gt;"","default "&amp;IF(G21="text","'"&amp;H21&amp;"'",H21),"")</f>
        <v/>
      </c>
      <c r="S21" s="76" t="str">
        <f t="shared" ref="S21" si="11">IF(I21="○","NOT NULL","")</f>
        <v/>
      </c>
      <c r="T21" s="76" t="str">
        <f t="shared" ref="T21" si="12">"-- "&amp;C21</f>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milscm_2023_009.sny_202310_backup_text_mml_mmllb_spc_memo.sm_code_name IS '検体コメントコード名';</v>
      </c>
    </row>
    <row r="22" spans="1:52" s="25" customFormat="1">
      <c r="A22" s="4"/>
      <c r="B22" s="21">
        <f t="shared" si="2"/>
        <v>10</v>
      </c>
      <c r="C22" s="6" t="s">
        <v>3921</v>
      </c>
      <c r="D22" s="6" t="s">
        <v>3922</v>
      </c>
      <c r="E22" s="8"/>
      <c r="F22" s="7" t="s">
        <v>3280</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milscm_2023_009.sny_202310_backup_text_mml_mmllb_spc_memo.sm_code IS '検体コメントコード';</v>
      </c>
    </row>
    <row r="23" spans="1:52" s="25" customFormat="1" ht="18" thickBot="1">
      <c r="A23" s="4"/>
      <c r="B23" s="27">
        <f>ROW()-12</f>
        <v>11</v>
      </c>
      <c r="C23" s="57" t="s">
        <v>3923</v>
      </c>
      <c r="D23" s="57" t="s">
        <v>3924</v>
      </c>
      <c r="E23" s="56"/>
      <c r="F23" s="56" t="s">
        <v>3280</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ENT_01_A6-22</v>
      </c>
      <c r="E6" s="234"/>
      <c r="F6" s="234"/>
      <c r="G6" s="234"/>
      <c r="H6" s="234"/>
      <c r="I6" s="234"/>
      <c r="J6" s="235"/>
    </row>
    <row r="7" spans="1:45">
      <c r="B7" s="223" t="s">
        <v>115</v>
      </c>
      <c r="C7" s="224"/>
      <c r="D7" s="225" t="s">
        <v>3925</v>
      </c>
      <c r="E7" s="226"/>
      <c r="F7" s="226"/>
      <c r="G7" s="226"/>
      <c r="H7" s="226"/>
      <c r="I7" s="226"/>
      <c r="J7" s="227"/>
    </row>
    <row r="8" spans="1:45">
      <c r="B8" s="223" t="s">
        <v>116</v>
      </c>
      <c r="C8" s="224"/>
      <c r="D8" s="225" t="str">
        <f>エンティティ一覧!AE2&amp;"_"&amp;D5&amp;"_text_mml_mmllb_item"</f>
        <v>sny_202310_backup_text_mml_mmllb_item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milscm_2023_009.sny_202310_backup_text_mml_mmllb_item;</v>
      </c>
      <c r="O10" s="76"/>
      <c r="P10" s="76"/>
      <c r="Q10" s="76"/>
      <c r="R10" s="76"/>
      <c r="S10" s="76"/>
      <c r="T10" s="76"/>
      <c r="AJ10" s="76" t="str">
        <f>"ALTER TABLE ONLY "&amp;エンティティ一覧!$O$2&amp;"."&amp;D$8</f>
        <v>ALTER TABLE ONLY milscm_2023_009.sny_202310_backup_text_mml_mmllb_item</v>
      </c>
      <c r="AS10" s="76" t="str">
        <f>"ALTER TABLE "&amp;エンティティ一覧!$O$2&amp;"."&amp;D$8&amp;" OWNER TO pgmisgrp1;"</f>
        <v>ALTER TABLE milscm_2023_009.sny_202310_backup_text_mml_mmllb_item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milscm_2023_009.sny_202310_backup_text_mml_mmllb_item</v>
      </c>
      <c r="O11" s="76"/>
      <c r="P11" s="76"/>
      <c r="Q11" s="76"/>
      <c r="R11" s="76"/>
      <c r="S11" s="76"/>
      <c r="T11" s="76"/>
      <c r="AJ11" s="76" t="str">
        <f>"ADD CONSTRAINT "&amp;D$8&amp;"_pkey PRIMARY KEY"</f>
        <v>ADD CONSTRAINT sny_202310_backup_text_mml_mmllb_item_pkey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 IS 'バックアップ_MML_検歴情報モジュール_検査項目';</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milscm_2023_009.sny_202310_backup_text_mml_mmllb_item.zip_no IS 'ZipファイルNo';</v>
      </c>
    </row>
    <row r="14" spans="1:45" s="25" customFormat="1">
      <c r="A14" s="4"/>
      <c r="B14" s="21">
        <f t="shared" ref="B14:B40" si="2">ROW()-12</f>
        <v>2</v>
      </c>
      <c r="C14" s="6" t="s">
        <v>2787</v>
      </c>
      <c r="D14" s="6" t="s">
        <v>2788</v>
      </c>
      <c r="E14" s="8" t="s">
        <v>127</v>
      </c>
      <c r="F14" s="7" t="s">
        <v>3278</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milscm_2023_009.sny_202310_backup_text_mml_mmllb_item.master_id IS '患者ID';</v>
      </c>
    </row>
    <row r="18" spans="1:45"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milscm_2023_009.sny_202310_backup_text_mml_mmllb_item.labo_test_no IS '検体検査結果情報No';</v>
      </c>
    </row>
    <row r="19" spans="1:45"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milscm_2023_009.sny_202310_backup_text_mml_mmllb_item.item_no IS '項目No';</v>
      </c>
    </row>
    <row r="20" spans="1:45" s="25" customFormat="1">
      <c r="A20" s="4"/>
      <c r="B20" s="21">
        <f t="shared" si="2"/>
        <v>8</v>
      </c>
      <c r="C20" s="6" t="s">
        <v>3838</v>
      </c>
      <c r="D20" s="6" t="s">
        <v>1628</v>
      </c>
      <c r="E20" s="8"/>
      <c r="F20" s="7" t="s">
        <v>3280</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milscm_2023_009.sny_202310_backup_text_mml_mmllb_item.item_name IS '検査名';</v>
      </c>
    </row>
    <row r="21" spans="1:45" s="25" customFormat="1">
      <c r="A21" s="4"/>
      <c r="B21" s="21">
        <f t="shared" si="2"/>
        <v>9</v>
      </c>
      <c r="C21" s="6" t="s">
        <v>3839</v>
      </c>
      <c r="D21" s="6" t="s">
        <v>3840</v>
      </c>
      <c r="E21" s="8"/>
      <c r="F21" s="7" t="s">
        <v>3280</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milscm_2023_009.sny_202310_backup_text_mml_mmllb_item.item_code IS '検査名_施設固有コード';</v>
      </c>
    </row>
    <row r="22" spans="1:45" s="25" customFormat="1">
      <c r="A22" s="4"/>
      <c r="B22" s="21">
        <f t="shared" si="2"/>
        <v>10</v>
      </c>
      <c r="C22" s="6" t="s">
        <v>3929</v>
      </c>
      <c r="D22" s="6" t="s">
        <v>3930</v>
      </c>
      <c r="E22" s="8"/>
      <c r="F22" s="7" t="s">
        <v>3280</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milscm_2023_009.sny_202310_backup_text_mml_mmllb_item.item_code_id IS '検査名_施設固有コードID';</v>
      </c>
    </row>
    <row r="23" spans="1:45" s="25" customFormat="1">
      <c r="A23" s="4"/>
      <c r="B23" s="21">
        <f t="shared" si="2"/>
        <v>11</v>
      </c>
      <c r="C23" s="6" t="s">
        <v>3931</v>
      </c>
      <c r="D23" s="6" t="s">
        <v>3932</v>
      </c>
      <c r="E23" s="8"/>
      <c r="F23" s="7" t="s">
        <v>3280</v>
      </c>
      <c r="G23" s="7" t="str">
        <f t="shared" si="3"/>
        <v>text</v>
      </c>
      <c r="H23" s="26"/>
      <c r="I23" s="10"/>
      <c r="J23" s="11" t="s">
        <v>1633</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milscm_2023_009.sny_202310_backup_text_mml_mmllb_item.a_code IS '検査名_分析物コード';</v>
      </c>
    </row>
    <row r="24" spans="1:45" s="25" customFormat="1">
      <c r="A24" s="4"/>
      <c r="B24" s="21">
        <f t="shared" si="2"/>
        <v>12</v>
      </c>
      <c r="C24" s="6" t="s">
        <v>3933</v>
      </c>
      <c r="D24" s="6" t="s">
        <v>3934</v>
      </c>
      <c r="E24" s="8"/>
      <c r="F24" s="7" t="s">
        <v>3280</v>
      </c>
      <c r="G24" s="7" t="str">
        <f t="shared" si="3"/>
        <v>text</v>
      </c>
      <c r="H24" s="26"/>
      <c r="I24" s="10"/>
      <c r="J24" s="11" t="s">
        <v>1635</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milscm_2023_009.sny_202310_backup_text_mml_mmllb_item.i_code IS '検査名_識別コード';</v>
      </c>
    </row>
    <row r="25" spans="1:45" s="25" customFormat="1">
      <c r="A25" s="4"/>
      <c r="B25" s="21">
        <f t="shared" si="2"/>
        <v>13</v>
      </c>
      <c r="C25" s="6" t="s">
        <v>3935</v>
      </c>
      <c r="D25" s="6" t="s">
        <v>3936</v>
      </c>
      <c r="E25" s="8"/>
      <c r="F25" s="7" t="s">
        <v>3280</v>
      </c>
      <c r="G25" s="7" t="str">
        <f t="shared" si="3"/>
        <v>text</v>
      </c>
      <c r="H25" s="26"/>
      <c r="I25" s="10"/>
      <c r="J25" s="11" t="s">
        <v>1637</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milscm_2023_009.sny_202310_backup_text_mml_mmllb_item.s_code IS '検査名_材料コード';</v>
      </c>
    </row>
    <row r="26" spans="1:45" s="25" customFormat="1">
      <c r="A26" s="4"/>
      <c r="B26" s="21">
        <f t="shared" si="2"/>
        <v>14</v>
      </c>
      <c r="C26" s="6" t="s">
        <v>3937</v>
      </c>
      <c r="D26" s="6" t="s">
        <v>3938</v>
      </c>
      <c r="E26" s="8"/>
      <c r="F26" s="7" t="s">
        <v>3280</v>
      </c>
      <c r="G26" s="7" t="str">
        <f t="shared" si="3"/>
        <v>text</v>
      </c>
      <c r="H26" s="26"/>
      <c r="I26" s="10"/>
      <c r="J26" s="11" t="s">
        <v>1639</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milscm_2023_009.sny_202310_backup_text_mml_mmllb_item.m_code IS '検査名_測定法コード';</v>
      </c>
    </row>
    <row r="27" spans="1:45" s="25" customFormat="1">
      <c r="A27" s="4"/>
      <c r="B27" s="21">
        <f t="shared" si="2"/>
        <v>15</v>
      </c>
      <c r="C27" s="6" t="s">
        <v>3939</v>
      </c>
      <c r="D27" s="6" t="s">
        <v>3940</v>
      </c>
      <c r="E27" s="8"/>
      <c r="F27" s="7" t="s">
        <v>3280</v>
      </c>
      <c r="G27" s="7" t="str">
        <f t="shared" si="3"/>
        <v>text</v>
      </c>
      <c r="H27" s="26"/>
      <c r="I27" s="10"/>
      <c r="J27" s="11" t="s">
        <v>1641</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milscm_2023_009.sny_202310_backup_text_mml_mmllb_item.r_code IS '検査名_結果識別コード';</v>
      </c>
    </row>
    <row r="28" spans="1:45" s="25" customFormat="1">
      <c r="A28" s="4"/>
      <c r="B28" s="21">
        <f t="shared" si="2"/>
        <v>16</v>
      </c>
      <c r="C28" s="6" t="s">
        <v>3941</v>
      </c>
      <c r="D28" s="6" t="s">
        <v>1644</v>
      </c>
      <c r="E28" s="8"/>
      <c r="F28" s="7" t="s">
        <v>3280</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milscm_2023_009.sny_202310_backup_text_mml_mmllb_item.value IS '検査値（文字列）';</v>
      </c>
    </row>
    <row r="29" spans="1:45" s="25" customFormat="1">
      <c r="A29" s="4"/>
      <c r="B29" s="21">
        <f t="shared" si="2"/>
        <v>17</v>
      </c>
      <c r="C29" s="6" t="s">
        <v>3942</v>
      </c>
      <c r="D29" s="6" t="s">
        <v>3943</v>
      </c>
      <c r="E29" s="8"/>
      <c r="F29" s="7" t="s">
        <v>3280</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milscm_2023_009.sny_202310_backup_text_mml_mmllb_item.value_up IS '検査値（文字列）_上限値';</v>
      </c>
    </row>
    <row r="30" spans="1:45" s="25" customFormat="1">
      <c r="A30" s="4"/>
      <c r="B30" s="21">
        <f t="shared" si="2"/>
        <v>18</v>
      </c>
      <c r="C30" s="6" t="s">
        <v>3944</v>
      </c>
      <c r="D30" s="6" t="s">
        <v>3945</v>
      </c>
      <c r="E30" s="8"/>
      <c r="F30" s="7" t="s">
        <v>3280</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milscm_2023_009.sny_202310_backup_text_mml_mmllb_item.value_low IS '検査値（文字列）_下限値';</v>
      </c>
    </row>
    <row r="31" spans="1:45" s="25" customFormat="1">
      <c r="A31" s="4"/>
      <c r="B31" s="21">
        <f t="shared" si="2"/>
        <v>19</v>
      </c>
      <c r="C31" s="6" t="s">
        <v>3946</v>
      </c>
      <c r="D31" s="6" t="s">
        <v>3947</v>
      </c>
      <c r="E31" s="8"/>
      <c r="F31" s="7" t="s">
        <v>3280</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milscm_2023_009.sny_202310_backup_text_mml_mmllb_item.value_normal IS '検査値（文字列）_基準値';</v>
      </c>
    </row>
    <row r="32" spans="1:45" s="25" customFormat="1" ht="69.599999999999994">
      <c r="A32" s="4"/>
      <c r="B32" s="21">
        <f t="shared" si="2"/>
        <v>20</v>
      </c>
      <c r="C32" s="6" t="s">
        <v>3948</v>
      </c>
      <c r="D32" s="6" t="s">
        <v>3949</v>
      </c>
      <c r="E32" s="8"/>
      <c r="F32" s="7" t="s">
        <v>3280</v>
      </c>
      <c r="G32" s="7" t="str">
        <f t="shared" si="3"/>
        <v>text</v>
      </c>
      <c r="H32" s="26"/>
      <c r="I32" s="10"/>
      <c r="J32" s="11" t="s">
        <v>3962</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milscm_2023_009.sny_202310_backup_text_mml_mmllb_item.value_out IS '検査値（文字列）_異常値フラグ';</v>
      </c>
    </row>
    <row r="33" spans="1:52" s="25" customFormat="1">
      <c r="A33" s="4"/>
      <c r="B33" s="21">
        <f t="shared" si="2"/>
        <v>21</v>
      </c>
      <c r="C33" s="6" t="s">
        <v>3950</v>
      </c>
      <c r="D33" s="6" t="s">
        <v>1646</v>
      </c>
      <c r="E33" s="8"/>
      <c r="F33" s="7" t="s">
        <v>3280</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milscm_2023_009.sny_202310_backup_text_mml_mmllb_item.num_value IS '検査値（数値）';</v>
      </c>
    </row>
    <row r="34" spans="1:52" s="25" customFormat="1">
      <c r="A34" s="4"/>
      <c r="B34" s="21">
        <f t="shared" si="2"/>
        <v>22</v>
      </c>
      <c r="C34" s="6" t="s">
        <v>3951</v>
      </c>
      <c r="D34" s="6" t="s">
        <v>3952</v>
      </c>
      <c r="E34" s="8"/>
      <c r="F34" s="7" t="s">
        <v>3280</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milscm_2023_009.sny_202310_backup_text_mml_mmllb_item.num_value_up IS '検査値（数値）_上限値';</v>
      </c>
    </row>
    <row r="35" spans="1:52" s="25" customFormat="1">
      <c r="A35" s="4"/>
      <c r="B35" s="21">
        <f t="shared" si="2"/>
        <v>23</v>
      </c>
      <c r="C35" s="6" t="s">
        <v>3953</v>
      </c>
      <c r="D35" s="6" t="s">
        <v>3954</v>
      </c>
      <c r="E35" s="8"/>
      <c r="F35" s="7" t="s">
        <v>3280</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milscm_2023_009.sny_202310_backup_text_mml_mmllb_item.num_value_low IS '検査値（数値）_下限値';</v>
      </c>
    </row>
    <row r="36" spans="1:52" s="25" customFormat="1">
      <c r="A36" s="4"/>
      <c r="B36" s="21">
        <f t="shared" si="2"/>
        <v>24</v>
      </c>
      <c r="C36" s="6" t="s">
        <v>3955</v>
      </c>
      <c r="D36" s="6" t="s">
        <v>3956</v>
      </c>
      <c r="E36" s="8"/>
      <c r="F36" s="7" t="s">
        <v>3280</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milscm_2023_009.sny_202310_backup_text_mml_mmllb_item.num_value_normal IS '検査値（数値）_基準値';</v>
      </c>
    </row>
    <row r="37" spans="1:52" s="25" customFormat="1" ht="69.599999999999994">
      <c r="A37" s="4"/>
      <c r="B37" s="21">
        <f t="shared" si="2"/>
        <v>25</v>
      </c>
      <c r="C37" s="6" t="s">
        <v>3957</v>
      </c>
      <c r="D37" s="6" t="s">
        <v>3958</v>
      </c>
      <c r="E37" s="8"/>
      <c r="F37" s="7" t="s">
        <v>3280</v>
      </c>
      <c r="G37" s="7" t="str">
        <f t="shared" si="3"/>
        <v>text</v>
      </c>
      <c r="H37" s="26"/>
      <c r="I37" s="10"/>
      <c r="J37" s="11" t="s">
        <v>3962</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milscm_2023_009.sny_202310_backup_text_mml_mmllb_item.num_value_out IS '検査値（数値）_異常値フラグ';</v>
      </c>
    </row>
    <row r="38" spans="1:52" s="25" customFormat="1">
      <c r="A38" s="4"/>
      <c r="B38" s="21">
        <f t="shared" si="2"/>
        <v>26</v>
      </c>
      <c r="C38" s="6" t="s">
        <v>1655</v>
      </c>
      <c r="D38" s="6" t="s">
        <v>276</v>
      </c>
      <c r="E38" s="8"/>
      <c r="F38" s="7" t="s">
        <v>3280</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milscm_2023_009.sny_202310_backup_text_mml_mmllb_item.unit IS '単位';</v>
      </c>
    </row>
    <row r="39" spans="1:52" s="25" customFormat="1">
      <c r="A39" s="4"/>
      <c r="B39" s="21">
        <f t="shared" si="2"/>
        <v>27</v>
      </c>
      <c r="C39" s="6" t="s">
        <v>1656</v>
      </c>
      <c r="D39" s="6" t="s">
        <v>3959</v>
      </c>
      <c r="E39" s="8"/>
      <c r="F39" s="7" t="s">
        <v>3280</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milscm_2023_009.sny_202310_backup_text_mml_mmllb_item.u_code IS '単位コード';</v>
      </c>
    </row>
    <row r="40" spans="1:52" s="25" customFormat="1">
      <c r="A40" s="4"/>
      <c r="B40" s="21">
        <f t="shared" si="2"/>
        <v>28</v>
      </c>
      <c r="C40" s="6" t="s">
        <v>1658</v>
      </c>
      <c r="D40" s="6" t="s">
        <v>3960</v>
      </c>
      <c r="E40" s="8"/>
      <c r="F40" s="7" t="s">
        <v>3280</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milscm_2023_009.sny_202310_backup_text_mml_mmllb_item.u_code_id IS '単位コードID';</v>
      </c>
    </row>
    <row r="41" spans="1:52" s="25" customFormat="1" ht="18" thickBot="1">
      <c r="A41" s="4"/>
      <c r="B41" s="27">
        <f>ROW()-12</f>
        <v>29</v>
      </c>
      <c r="C41" s="57" t="s">
        <v>1660</v>
      </c>
      <c r="D41" s="57" t="s">
        <v>3961</v>
      </c>
      <c r="E41" s="56"/>
      <c r="F41" s="56" t="s">
        <v>3280</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ENT_01_A6-23</v>
      </c>
      <c r="E6" s="234"/>
      <c r="F6" s="234"/>
      <c r="G6" s="234"/>
      <c r="H6" s="234"/>
      <c r="I6" s="234"/>
      <c r="J6" s="235"/>
    </row>
    <row r="7" spans="1:45">
      <c r="B7" s="223" t="s">
        <v>115</v>
      </c>
      <c r="C7" s="224"/>
      <c r="D7" s="225" t="s">
        <v>3926</v>
      </c>
      <c r="E7" s="226"/>
      <c r="F7" s="226"/>
      <c r="G7" s="226"/>
      <c r="H7" s="226"/>
      <c r="I7" s="226"/>
      <c r="J7" s="227"/>
    </row>
    <row r="8" spans="1:45">
      <c r="B8" s="223" t="s">
        <v>116</v>
      </c>
      <c r="C8" s="224"/>
      <c r="D8" s="225" t="str">
        <f>エンティティ一覧!AE2&amp;"_"&amp;D5&amp;"_text_mml_mmllb_item_memo"</f>
        <v>sny_202310_backup_text_mml_mmllb_item_memo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milscm_2023_009.sny_202310_backup_text_mml_mmllb_item_memo;</v>
      </c>
      <c r="O10" s="76"/>
      <c r="P10" s="76"/>
      <c r="Q10" s="76"/>
      <c r="R10" s="76"/>
      <c r="S10" s="76"/>
      <c r="T10" s="76"/>
      <c r="AJ10" s="76" t="str">
        <f>"ALTER TABLE ONLY "&amp;エンティティ一覧!$O$2&amp;"."&amp;D$8</f>
        <v>ALTER TABLE ONLY milscm_2023_009.sny_202310_backup_text_mml_mmllb_item_memo</v>
      </c>
      <c r="AS10" s="76" t="str">
        <f>"ALTER TABLE "&amp;エンティティ一覧!$O$2&amp;"."&amp;D$8&amp;" OWNER TO pgmisgrp1;"</f>
        <v>ALTER TABLE milscm_2023_009.sny_202310_backup_text_mml_mmllb_item_memo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milscm_2023_009.sny_202310_backup_text_mml_mmllb_item_memo</v>
      </c>
      <c r="O11" s="76"/>
      <c r="P11" s="76"/>
      <c r="Q11" s="76"/>
      <c r="R11" s="76"/>
      <c r="S11" s="76"/>
      <c r="T11" s="76"/>
      <c r="AJ11" s="76" t="str">
        <f>"ADD CONSTRAINT "&amp;D$8&amp;"_pkey PRIMARY KEY"</f>
        <v>ADD CONSTRAINT sny_202310_backup_text_mml_mmllb_item_memo_pkey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milscm_2023_009.sny_202310_backup_text_mml_mmllb_item_memo IS 'バックアップ_MML_検歴情報モジュール_検査項目コメント';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milscm_2023_009.sny_202310_backup_text_mml_mmllb_item_memo.zip_no IS 'ZipファイルNo';</v>
      </c>
    </row>
    <row r="14" spans="1:45" s="25" customFormat="1">
      <c r="A14" s="4"/>
      <c r="B14" s="21">
        <f t="shared" ref="B14:B23" si="2">ROW()-12</f>
        <v>2</v>
      </c>
      <c r="C14" s="6" t="s">
        <v>2787</v>
      </c>
      <c r="D14" s="6" t="s">
        <v>2788</v>
      </c>
      <c r="E14" s="8" t="s">
        <v>127</v>
      </c>
      <c r="F14" s="7" t="s">
        <v>3278</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milscm_2023_009.sny_202310_backup_text_mml_mmllb_item_memo.file_no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milscm_2023_009.sny_202310_backup_text_mml_mmllb_item_memo.body_no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milscm_2023_009.sny_202310_backup_text_mml_mmllb_item_memo.facility_id_mml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milscm_2023_009.sny_202310_backup_text_mml_mmllb_item_memo.master_id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milscm_2023_009.sny_202310_backup_text_mml_mmllb_item_memo.labo_test_no IS '検体検査結果情報No';</v>
      </c>
    </row>
    <row r="19" spans="1:52"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milscm_2023_009.sny_202310_backup_text_mml_mmllb_item_memo.item_no IS '項目No';</v>
      </c>
    </row>
    <row r="20" spans="1:52" s="25" customFormat="1">
      <c r="A20" s="4"/>
      <c r="B20" s="21">
        <f t="shared" si="2"/>
        <v>8</v>
      </c>
      <c r="C20" s="6" t="s">
        <v>3963</v>
      </c>
      <c r="D20" s="6" t="s">
        <v>3964</v>
      </c>
      <c r="E20" s="8" t="s">
        <v>127</v>
      </c>
      <c r="F20" s="7" t="s">
        <v>3278</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milscm_2023_009.sny_202310_backup_text_mml_mmllb_item_memo.item_memo_no IS '項目コメントNo';</v>
      </c>
    </row>
    <row r="21" spans="1:52" s="25" customFormat="1">
      <c r="A21" s="4"/>
      <c r="B21" s="21">
        <f t="shared" si="2"/>
        <v>9</v>
      </c>
      <c r="C21" s="6" t="s">
        <v>3965</v>
      </c>
      <c r="D21" s="6" t="s">
        <v>3966</v>
      </c>
      <c r="E21" s="8"/>
      <c r="F21" s="7" t="s">
        <v>3280</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milscm_2023_009.sny_202310_backup_text_mml_mmllb_item_memo.item_memo IS '項目コメント';</v>
      </c>
    </row>
    <row r="22" spans="1:52" s="25" customFormat="1">
      <c r="A22" s="4"/>
      <c r="B22" s="21">
        <f t="shared" si="2"/>
        <v>10</v>
      </c>
      <c r="C22" s="6" t="s">
        <v>3967</v>
      </c>
      <c r="D22" s="6" t="s">
        <v>3968</v>
      </c>
      <c r="E22" s="8"/>
      <c r="F22" s="7" t="s">
        <v>3280</v>
      </c>
      <c r="G22" s="7" t="str">
        <f t="shared" ref="G22" si="7">IF(F22="フラグ","boolean",IF(F22="文字列","text",IF(F22="整数","integer",IF(F22="実数","numeric",""))))</f>
        <v>text</v>
      </c>
      <c r="H22" s="26"/>
      <c r="I22" s="10"/>
      <c r="J22" s="11"/>
      <c r="M22" s="4"/>
      <c r="N22" s="76"/>
      <c r="O22" s="76"/>
      <c r="P22" s="76" t="str">
        <f t="shared" ref="P22" si="8">IF(B22&lt;&gt;1,","&amp;D22,D22)</f>
        <v>,im_code_name</v>
      </c>
      <c r="Q22" s="76" t="str">
        <f t="shared" ref="Q22" si="9">UPPER(G22)</f>
        <v>TEXT</v>
      </c>
      <c r="R22" s="76" t="str">
        <f t="shared" ref="R22" si="10">IF(H22&lt;&gt;"","default "&amp;IF(G22="text","'"&amp;H22&amp;"'",H22),"")</f>
        <v/>
      </c>
      <c r="S22" s="76" t="str">
        <f t="shared" ref="S22" si="11">IF(I22="○","NOT NULL","")</f>
        <v/>
      </c>
      <c r="T22" s="76" t="str">
        <f t="shared" ref="T22" si="12">"-- "&amp;C22</f>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milscm_2023_009.sny_202310_backup_text_mml_mmllb_item_memo.im_code_name IS '項目コメントコード名';</v>
      </c>
    </row>
    <row r="23" spans="1:52" s="25" customFormat="1">
      <c r="A23" s="4"/>
      <c r="B23" s="21">
        <f t="shared" si="2"/>
        <v>11</v>
      </c>
      <c r="C23" s="6" t="s">
        <v>3969</v>
      </c>
      <c r="D23" s="6" t="s">
        <v>3970</v>
      </c>
      <c r="E23" s="8"/>
      <c r="F23" s="7" t="s">
        <v>3280</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milscm_2023_009.sny_202310_backup_text_mml_mmllb_item_memo.im_code IS '項目コメントコード';</v>
      </c>
    </row>
    <row r="24" spans="1:52" s="25" customFormat="1" ht="18" thickBot="1">
      <c r="A24" s="4"/>
      <c r="B24" s="27">
        <f>ROW()-12</f>
        <v>12</v>
      </c>
      <c r="C24" s="57" t="s">
        <v>3971</v>
      </c>
      <c r="D24" s="57" t="s">
        <v>3972</v>
      </c>
      <c r="E24" s="56"/>
      <c r="F24" s="56" t="s">
        <v>3280</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ENT_01_A6-24</v>
      </c>
      <c r="E6" s="234"/>
      <c r="F6" s="234"/>
      <c r="G6" s="234"/>
      <c r="H6" s="234"/>
      <c r="I6" s="234"/>
      <c r="J6" s="235"/>
    </row>
    <row r="7" spans="1:45">
      <c r="B7" s="223" t="s">
        <v>115</v>
      </c>
      <c r="C7" s="224"/>
      <c r="D7" s="225" t="s">
        <v>2815</v>
      </c>
      <c r="E7" s="226"/>
      <c r="F7" s="226"/>
      <c r="G7" s="226"/>
      <c r="H7" s="226"/>
      <c r="I7" s="226"/>
      <c r="J7" s="227"/>
    </row>
    <row r="8" spans="1:45">
      <c r="B8" s="223" t="s">
        <v>116</v>
      </c>
      <c r="C8" s="224"/>
      <c r="D8" s="225" t="str">
        <f>エンティティ一覧!AE2&amp;"_"&amp;D5&amp;"_text_mml_mmlps_body"</f>
        <v>sny_202310_backup_text_mml_mmlps_body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milscm_2023_009.sny_202310_backup_text_mml_mmlps_body;</v>
      </c>
      <c r="O10" s="76"/>
      <c r="P10" s="76"/>
      <c r="Q10" s="76"/>
      <c r="R10" s="76"/>
      <c r="S10" s="76"/>
      <c r="T10" s="76"/>
      <c r="AJ10" s="76" t="str">
        <f>"ALTER TABLE ONLY "&amp;エンティティ一覧!$O$2&amp;"."&amp;D$8</f>
        <v>ALTER TABLE ONLY milscm_2023_009.sny_202310_backup_text_mml_mmlps_body</v>
      </c>
      <c r="AS10" s="76" t="str">
        <f>"ALTER TABLE "&amp;エンティティ一覧!$O$2&amp;"."&amp;D$8&amp;" OWNER TO pgmisgrp1;"</f>
        <v>ALTER TABLE milscm_2023_009.sny_202310_backup_text_mml_mmlps_body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milscm_2023_009.sny_202310_backup_text_mml_mmlps_body</v>
      </c>
      <c r="O11" s="76"/>
      <c r="P11" s="76"/>
      <c r="Q11" s="76"/>
      <c r="R11" s="76"/>
      <c r="S11" s="76"/>
      <c r="T11" s="76"/>
      <c r="AJ11" s="76" t="str">
        <f>"ADD CONSTRAINT "&amp;D$8&amp;"_pkey PRIMARY KEY"</f>
        <v>ADD CONSTRAINT sny_202310_backup_text_mml_mmlps_body_pkey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ENT_01_A6-25</v>
      </c>
      <c r="E6" s="234"/>
      <c r="F6" s="234"/>
      <c r="G6" s="234"/>
      <c r="H6" s="234"/>
      <c r="I6" s="234"/>
      <c r="J6" s="235"/>
    </row>
    <row r="7" spans="1:45">
      <c r="B7" s="223" t="s">
        <v>115</v>
      </c>
      <c r="C7" s="224"/>
      <c r="D7" s="225" t="s">
        <v>2823</v>
      </c>
      <c r="E7" s="226"/>
      <c r="F7" s="226"/>
      <c r="G7" s="226"/>
      <c r="H7" s="226"/>
      <c r="I7" s="226"/>
      <c r="J7" s="227"/>
    </row>
    <row r="8" spans="1:45">
      <c r="B8" s="223" t="s">
        <v>116</v>
      </c>
      <c r="C8" s="224"/>
      <c r="D8" s="225" t="str">
        <f>エンティティ一覧!AE2&amp;"_"&amp;D5&amp;"_text_mml_mmlps_medication"</f>
        <v>sny_202310_backup_text_mml_mmlps_medication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milscm_2023_009.sny_202310_backup_text_mml_mmlps_medication;</v>
      </c>
      <c r="O10" s="76"/>
      <c r="P10" s="76"/>
      <c r="Q10" s="76"/>
      <c r="R10" s="76"/>
      <c r="S10" s="76"/>
      <c r="T10" s="76"/>
      <c r="AJ10" s="76" t="str">
        <f>"ALTER TABLE ONLY "&amp;エンティティ一覧!$O$2&amp;"."&amp;D$8</f>
        <v>ALTER TABLE ONLY milscm_2023_009.sny_202310_backup_text_mml_mmlps_medication</v>
      </c>
      <c r="AS10" s="76" t="str">
        <f>"ALTER TABLE "&amp;エンティティ一覧!$O$2&amp;"."&amp;D$8&amp;" OWNER TO pgmisgrp1;"</f>
        <v>ALTER TABLE milscm_2023_009.sny_202310_backup_text_mml_mmlps_medication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milscm_2023_009.sny_202310_backup_text_mml_mmlps_medication</v>
      </c>
      <c r="O11" s="76"/>
      <c r="P11" s="76"/>
      <c r="Q11" s="76"/>
      <c r="R11" s="76"/>
      <c r="S11" s="76"/>
      <c r="T11" s="76"/>
      <c r="AJ11" s="76" t="str">
        <f>"ADD CONSTRAINT "&amp;D$8&amp;"_pkey PRIMARY KEY"</f>
        <v>ADD CONSTRAINT sny_202310_backup_text_mml_mmlps_medication_pkey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6"/>
      <c r="O19" s="76"/>
      <c r="P19" s="76" t="str">
        <f t="shared" ref="P19:P32" si="8">IF(B19&lt;&gt;1,","&amp;D19,D19)</f>
        <v>,medicine_name</v>
      </c>
      <c r="Q19" s="76" t="str">
        <f t="shared" ref="Q19:Q32" si="9">UPPER(G19)</f>
        <v>TEXT</v>
      </c>
      <c r="R19" s="76" t="str">
        <f t="shared" ref="R19:R32" si="10">IF(H19&lt;&gt;"","default "&amp;IF(G19="text","'"&amp;H19&amp;"'",H19),"")</f>
        <v/>
      </c>
      <c r="S19" s="76" t="str">
        <f t="shared" ref="S19:S32" si="11">IF(I19="○","NOT NULL","")</f>
        <v/>
      </c>
      <c r="T19" s="76" t="str">
        <f t="shared" ref="T19:T32"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6"/>
      <c r="O32" s="76"/>
      <c r="P32" s="76" t="str">
        <f t="shared" si="8"/>
        <v>,long_term</v>
      </c>
      <c r="Q32" s="76" t="str">
        <f t="shared" si="9"/>
        <v>TEXT</v>
      </c>
      <c r="R32" s="76" t="str">
        <f t="shared" si="10"/>
        <v/>
      </c>
      <c r="S32" s="76" t="str">
        <f t="shared" si="11"/>
        <v/>
      </c>
      <c r="T32" s="76" t="str">
        <f t="shared" si="12"/>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ENT_01_A6-26</v>
      </c>
      <c r="E6" s="234"/>
      <c r="F6" s="234"/>
      <c r="G6" s="234"/>
      <c r="H6" s="234"/>
      <c r="I6" s="234"/>
      <c r="J6" s="235"/>
    </row>
    <row r="7" spans="1:45">
      <c r="B7" s="223" t="s">
        <v>115</v>
      </c>
      <c r="C7" s="224"/>
      <c r="D7" s="225" t="s">
        <v>2859</v>
      </c>
      <c r="E7" s="226"/>
      <c r="F7" s="226"/>
      <c r="G7" s="226"/>
      <c r="H7" s="226"/>
      <c r="I7" s="226"/>
      <c r="J7" s="227"/>
    </row>
    <row r="8" spans="1:45">
      <c r="B8" s="223" t="s">
        <v>116</v>
      </c>
      <c r="C8" s="224"/>
      <c r="D8" s="225" t="str">
        <f>エンティティ一覧!AE2&amp;"_"&amp;D5&amp;"_text_mml_mmlps_medicine"</f>
        <v>sny_202310_backup_text_mml_mmlps_medicine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milscm_2023_009.sny_202310_backup_text_mml_mmlps_medicine;</v>
      </c>
      <c r="O10" s="76"/>
      <c r="P10" s="76"/>
      <c r="Q10" s="76"/>
      <c r="R10" s="76"/>
      <c r="S10" s="76"/>
      <c r="T10" s="76"/>
      <c r="AJ10" s="76" t="str">
        <f>"ALTER TABLE ONLY "&amp;エンティティ一覧!$O$2&amp;"."&amp;D$8</f>
        <v>ALTER TABLE ONLY milscm_2023_009.sny_202310_backup_text_mml_mmlps_medicine</v>
      </c>
      <c r="AS10" s="76" t="str">
        <f>"ALTER TABLE "&amp;エンティティ一覧!$O$2&amp;"."&amp;D$8&amp;" OWNER TO pgmisgrp1;"</f>
        <v>ALTER TABLE milscm_2023_009.sny_202310_backup_text_mml_mmlps_medicine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milscm_2023_009.sny_202310_backup_text_mml_mmlps_medicine</v>
      </c>
      <c r="O11" s="76"/>
      <c r="P11" s="76"/>
      <c r="Q11" s="76"/>
      <c r="R11" s="76"/>
      <c r="S11" s="76"/>
      <c r="T11" s="76"/>
      <c r="AJ11" s="76" t="str">
        <f>"ADD CONSTRAINT "&amp;D$8&amp;"_pkey PRIMARY KEY"</f>
        <v>ADD CONSTRAINT sny_202310_backup_text_mml_mmlps_medicine_pkey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6"/>
      <c r="O19" s="76"/>
      <c r="P19" s="76" t="str">
        <f t="shared" ref="P19" si="8">IF(B19&lt;&gt;1,","&amp;D19,D19)</f>
        <v>,medicine_no</v>
      </c>
      <c r="Q19" s="76" t="str">
        <f t="shared" ref="Q19" si="9">UPPER(G19)</f>
        <v>INTEGER</v>
      </c>
      <c r="R19" s="76" t="str">
        <f t="shared" ref="R19" si="10">IF(H19&lt;&gt;"","default "&amp;IF(G19="text","'"&amp;H19&amp;"'",H19),"")</f>
        <v/>
      </c>
      <c r="S19" s="76" t="str">
        <f t="shared" ref="S19" si="11">IF(I19="○","NOT NULL","")</f>
        <v>NOT NULL</v>
      </c>
      <c r="T19" s="76" t="str">
        <f t="shared" ref="T19" si="12">"-- "&amp;C19</f>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ENT_01_A6-27</v>
      </c>
      <c r="E6" s="234"/>
      <c r="F6" s="234"/>
      <c r="G6" s="234"/>
      <c r="H6" s="234"/>
      <c r="I6" s="234"/>
      <c r="J6" s="235"/>
    </row>
    <row r="7" spans="1:45">
      <c r="B7" s="223" t="s">
        <v>115</v>
      </c>
      <c r="C7" s="224"/>
      <c r="D7" s="225" t="s">
        <v>2864</v>
      </c>
      <c r="E7" s="226"/>
      <c r="F7" s="226"/>
      <c r="G7" s="226"/>
      <c r="H7" s="226"/>
      <c r="I7" s="226"/>
      <c r="J7" s="227"/>
    </row>
    <row r="8" spans="1:45">
      <c r="B8" s="223" t="s">
        <v>116</v>
      </c>
      <c r="C8" s="224"/>
      <c r="D8" s="225" t="str">
        <f>エンティティ一覧!AE2&amp;"_"&amp;D5&amp;"_text_mml_mmlinj_body"</f>
        <v>sny_202310_backup_text_mml_mmlinj_body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milscm_2023_009.sny_202310_backup_text_mml_mmlinj_body;</v>
      </c>
      <c r="O10" s="76"/>
      <c r="P10" s="76"/>
      <c r="Q10" s="76"/>
      <c r="R10" s="76"/>
      <c r="S10" s="76"/>
      <c r="T10" s="76"/>
      <c r="AJ10" s="76" t="str">
        <f>"ALTER TABLE ONLY "&amp;エンティティ一覧!$O$2&amp;"."&amp;D$8</f>
        <v>ALTER TABLE ONLY milscm_2023_009.sny_202310_backup_text_mml_mmlinj_body</v>
      </c>
      <c r="AS10" s="76" t="str">
        <f>"ALTER TABLE "&amp;エンティティ一覧!$O$2&amp;"."&amp;D$8&amp;" OWNER TO pgmisgrp1;"</f>
        <v>ALTER TABLE milscm_2023_009.sny_202310_backup_text_mml_mmlinj_body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milscm_2023_009.sny_202310_backup_text_mml_mmlinj_body</v>
      </c>
      <c r="O11" s="76"/>
      <c r="P11" s="76"/>
      <c r="Q11" s="76"/>
      <c r="R11" s="76"/>
      <c r="S11" s="76"/>
      <c r="T11" s="76"/>
      <c r="AJ11" s="76" t="str">
        <f>"ADD CONSTRAINT "&amp;D$8&amp;"_pkey PRIMARY KEY"</f>
        <v>ADD CONSTRAINT sny_202310_backup_text_mml_mmlinj_body_pkey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milscm_2023_009.sny_202310_backup_text_mml_mmlinj_body.comment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ENT_01_A6-28</v>
      </c>
      <c r="E6" s="234"/>
      <c r="F6" s="234"/>
      <c r="G6" s="234"/>
      <c r="H6" s="234"/>
      <c r="I6" s="234"/>
      <c r="J6" s="235"/>
    </row>
    <row r="7" spans="1:45">
      <c r="B7" s="223" t="s">
        <v>115</v>
      </c>
      <c r="C7" s="224"/>
      <c r="D7" s="225" t="s">
        <v>2873</v>
      </c>
      <c r="E7" s="226"/>
      <c r="F7" s="226"/>
      <c r="G7" s="226"/>
      <c r="H7" s="226"/>
      <c r="I7" s="226"/>
      <c r="J7" s="227"/>
    </row>
    <row r="8" spans="1:45">
      <c r="B8" s="223" t="s">
        <v>116</v>
      </c>
      <c r="C8" s="224"/>
      <c r="D8" s="225" t="str">
        <f>エンティティ一覧!AE2&amp;"_"&amp;D5&amp;"_text_mml_mmlinj_medication"</f>
        <v>sny_202310_backup_text_mml_mmlinj_medication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milscm_2023_009.sny_202310_backup_text_mml_mmlinj_medication;</v>
      </c>
      <c r="O10" s="76"/>
      <c r="P10" s="76"/>
      <c r="Q10" s="76"/>
      <c r="R10" s="76"/>
      <c r="S10" s="76"/>
      <c r="T10" s="76"/>
      <c r="AJ10" s="76" t="str">
        <f>"ALTER TABLE ONLY "&amp;エンティティ一覧!$O$2&amp;"."&amp;D$8</f>
        <v>ALTER TABLE ONLY milscm_2023_009.sny_202310_backup_text_mml_mmlinj_medication</v>
      </c>
      <c r="AS10" s="76" t="str">
        <f>"ALTER TABLE "&amp;エンティティ一覧!$O$2&amp;"."&amp;D$8&amp;" OWNER TO pgmisgrp1;"</f>
        <v>ALTER TABLE milscm_2023_009.sny_202310_backup_text_mml_mmlinj_medication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milscm_2023_009.sny_202310_backup_text_mml_mmlinj_medication</v>
      </c>
      <c r="O11" s="76"/>
      <c r="P11" s="76"/>
      <c r="Q11" s="76"/>
      <c r="R11" s="76"/>
      <c r="S11" s="76"/>
      <c r="T11" s="76"/>
      <c r="AJ11" s="76" t="str">
        <f>"ADD CONSTRAINT "&amp;D$8&amp;"_pkey PRIMARY KEY"</f>
        <v>ADD CONSTRAINT sny_202310_backup_text_mml_mmlinj_medication_pkey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ENT_01_A6-29</v>
      </c>
      <c r="E6" s="234"/>
      <c r="F6" s="234"/>
      <c r="G6" s="234"/>
      <c r="H6" s="234"/>
      <c r="I6" s="234"/>
      <c r="J6" s="235"/>
    </row>
    <row r="7" spans="1:45">
      <c r="B7" s="223" t="s">
        <v>115</v>
      </c>
      <c r="C7" s="224"/>
      <c r="D7" s="225" t="s">
        <v>2874</v>
      </c>
      <c r="E7" s="226"/>
      <c r="F7" s="226"/>
      <c r="G7" s="226"/>
      <c r="H7" s="226"/>
      <c r="I7" s="226"/>
      <c r="J7" s="227"/>
    </row>
    <row r="8" spans="1:45">
      <c r="B8" s="223" t="s">
        <v>116</v>
      </c>
      <c r="C8" s="224"/>
      <c r="D8" s="225" t="str">
        <f>エンティティ一覧!AE2&amp;"_"&amp;D5&amp;"_text_mml_mmlinj_medicine"</f>
        <v>sny_202310_backup_text_mml_mmlinj_medicine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milscm_2023_009.sny_202310_backup_text_mml_mmlinj_medicine;</v>
      </c>
      <c r="O10" s="76"/>
      <c r="P10" s="76"/>
      <c r="Q10" s="76"/>
      <c r="R10" s="76"/>
      <c r="S10" s="76"/>
      <c r="T10" s="76"/>
      <c r="AJ10" s="76" t="str">
        <f>"ALTER TABLE ONLY "&amp;エンティティ一覧!$O$2&amp;"."&amp;D$8</f>
        <v>ALTER TABLE ONLY milscm_2023_009.sny_202310_backup_text_mml_mmlinj_medicine</v>
      </c>
      <c r="AS10" s="76" t="str">
        <f>"ALTER TABLE "&amp;エンティティ一覧!$O$2&amp;"."&amp;D$8&amp;" OWNER TO pgmisgrp1;"</f>
        <v>ALTER TABLE milscm_2023_009.sny_202310_backup_text_mml_mmlinj_medicine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milscm_2023_009.sny_202310_backup_text_mml_mmlinj_medicine</v>
      </c>
      <c r="O11" s="76"/>
      <c r="P11" s="76"/>
      <c r="Q11" s="76"/>
      <c r="R11" s="76"/>
      <c r="S11" s="76"/>
      <c r="T11" s="76"/>
      <c r="AJ11" s="76" t="str">
        <f>"ADD CONSTRAINT "&amp;D$8&amp;"_pkey PRIMARY KEY"</f>
        <v>ADD CONSTRAINT sny_202310_backup_text_mml_mmlinj_medicine_pkey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milscm_2023_009.sny_202310_backup_text_mml_mmlinj_medicine.medicine_no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ENT_01_A6-42</v>
      </c>
      <c r="E6" s="234"/>
      <c r="F6" s="234"/>
      <c r="G6" s="234"/>
      <c r="H6" s="234"/>
      <c r="I6" s="234"/>
      <c r="J6" s="235"/>
    </row>
    <row r="7" spans="1:45">
      <c r="B7" s="223" t="s">
        <v>115</v>
      </c>
      <c r="C7" s="224"/>
      <c r="D7" s="225" t="s">
        <v>2875</v>
      </c>
      <c r="E7" s="226"/>
      <c r="F7" s="226"/>
      <c r="G7" s="226"/>
      <c r="H7" s="226"/>
      <c r="I7" s="226"/>
      <c r="J7" s="227"/>
    </row>
    <row r="8" spans="1:45">
      <c r="B8" s="223" t="s">
        <v>116</v>
      </c>
      <c r="C8" s="224"/>
      <c r="D8" s="225" t="str">
        <f>エンティティ一覧!AE2&amp;"_"&amp;D5&amp;"_text_mml_mmlsg_surgery_item"</f>
        <v>sny_202310_backup_text_mml_mmlsg_surgery_item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milscm_2023_009.sny_202310_backup_text_mml_mmlsg_surgery_item;</v>
      </c>
      <c r="O10" s="76"/>
      <c r="P10" s="76"/>
      <c r="Q10" s="76"/>
      <c r="R10" s="76"/>
      <c r="S10" s="76"/>
      <c r="T10" s="76"/>
      <c r="AJ10" s="76" t="str">
        <f>"ALTER TABLE ONLY "&amp;エンティティ一覧!$O$2&amp;"."&amp;D$8</f>
        <v>ALTER TABLE ONLY milscm_2023_009.sny_202310_backup_text_mml_mmlsg_surgery_item</v>
      </c>
      <c r="AS10" s="76" t="str">
        <f>"ALTER TABLE "&amp;エンティティ一覧!$O$2&amp;"."&amp;D$8&amp;" OWNER TO pgmisgrp1;"</f>
        <v>ALTER TABLE milscm_2023_009.sny_202310_backup_text_mml_mmlsg_surgery_item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milscm_2023_009.sny_202310_backup_text_mml_mmlsg_surgery_item</v>
      </c>
      <c r="O11" s="76"/>
      <c r="P11" s="76"/>
      <c r="Q11" s="76"/>
      <c r="R11" s="76"/>
      <c r="S11" s="76"/>
      <c r="T11" s="76"/>
      <c r="AJ11" s="76" t="str">
        <f>"ADD CONSTRAINT "&amp;D$8&amp;"_pkey PRIMARY KEY"</f>
        <v>ADD CONSTRAINT sny_202310_backup_text_mml_mmlsg_surgery_item_pkey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5" si="0">UPPER(G13)</f>
        <v>INTEGER</v>
      </c>
      <c r="R13" s="76" t="str">
        <f t="shared" ref="R13:R25"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6"/>
      <c r="O14" s="76"/>
      <c r="P14" s="76" t="str">
        <f t="shared" ref="P14:P25" si="4">IF(B14&lt;&gt;1,","&amp;D14,D14)</f>
        <v>,file_no</v>
      </c>
      <c r="Q14" s="76" t="str">
        <f t="shared" si="0"/>
        <v>INTEGER</v>
      </c>
      <c r="R14" s="76" t="str">
        <f t="shared" si="1"/>
        <v/>
      </c>
      <c r="S14" s="76" t="str">
        <f t="shared" ref="S14:S25" si="5">IF(I14="○","NOT NULL","")</f>
        <v>NOT NULL</v>
      </c>
      <c r="T14" s="76" t="str">
        <f t="shared" ref="T14:T25"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6"/>
      <c r="O19" s="76"/>
      <c r="P19" s="76" t="str">
        <f t="shared" si="4"/>
        <v>,surgical_info_type</v>
      </c>
      <c r="Q19" s="76" t="str">
        <f t="shared" si="0"/>
        <v>TEXT</v>
      </c>
      <c r="R19" s="76" t="str">
        <f t="shared" si="1"/>
        <v/>
      </c>
      <c r="S19" s="76" t="str">
        <f t="shared" si="5"/>
        <v/>
      </c>
      <c r="T19" s="76" t="str">
        <f t="shared" si="6"/>
        <v>-- 手術の種類コード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6"/>
      <c r="O20" s="76"/>
      <c r="P20" s="76" t="str">
        <f t="shared" ref="P20:P23" si="8">IF(B20&lt;&gt;1,","&amp;D20,D20)</f>
        <v>,surgical_info_date</v>
      </c>
      <c r="Q20" s="76" t="str">
        <f t="shared" ref="Q20:Q23" si="9">UPPER(G20)</f>
        <v>TEXT</v>
      </c>
      <c r="R20" s="76" t="str">
        <f t="shared" ref="R20:R23" si="10">IF(H20&lt;&gt;"","default "&amp;IF(G20="text","'"&amp;H20&amp;"'",H20),"")</f>
        <v/>
      </c>
      <c r="S20" s="76" t="str">
        <f t="shared" ref="S20:S23" si="11">IF(I20="○","NOT NULL","")</f>
        <v/>
      </c>
      <c r="T20" s="76" t="str">
        <f t="shared" ref="T20:T23" si="12">"-- "&amp;C20</f>
        <v>-- 手術施行日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6"/>
      <c r="O21" s="76"/>
      <c r="P21" s="76" t="str">
        <f t="shared" si="8"/>
        <v>,surgical_info_start_time</v>
      </c>
      <c r="Q21" s="76" t="str">
        <f t="shared" si="9"/>
        <v>TEXT</v>
      </c>
      <c r="R21" s="76" t="str">
        <f t="shared" si="10"/>
        <v/>
      </c>
      <c r="S21" s="76" t="str">
        <f t="shared" si="11"/>
        <v/>
      </c>
      <c r="T21" s="76" t="str">
        <f t="shared" si="12"/>
        <v>-- 手術開始時刻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6"/>
      <c r="O22" s="76"/>
      <c r="P22" s="76" t="str">
        <f t="shared" si="8"/>
        <v>,surgical_info_duration</v>
      </c>
      <c r="Q22" s="76" t="str">
        <f t="shared" si="9"/>
        <v>TEXT</v>
      </c>
      <c r="R22" s="76" t="str">
        <f t="shared" si="10"/>
        <v/>
      </c>
      <c r="S22" s="76" t="str">
        <f t="shared" si="11"/>
        <v/>
      </c>
      <c r="T22" s="76" t="str">
        <f t="shared" si="12"/>
        <v>-- 手術時間</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6"/>
      <c r="O23" s="76"/>
      <c r="P23" s="76" t="str">
        <f t="shared" si="8"/>
        <v>,anesthesia_duration</v>
      </c>
      <c r="Q23" s="76" t="str">
        <f t="shared" si="9"/>
        <v>TEXT</v>
      </c>
      <c r="R23" s="76" t="str">
        <f t="shared" si="10"/>
        <v/>
      </c>
      <c r="S23" s="76" t="str">
        <f t="shared" si="11"/>
        <v/>
      </c>
      <c r="T23" s="76" t="str">
        <f t="shared" si="12"/>
        <v>-- 麻酔時間</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6"/>
      <c r="O24" s="76"/>
      <c r="P24" s="76" t="str">
        <f t="shared" si="4"/>
        <v>,operative_notes</v>
      </c>
      <c r="Q24" s="76" t="str">
        <f t="shared" si="0"/>
        <v>TEXT</v>
      </c>
      <c r="R24" s="76" t="str">
        <f t="shared" si="1"/>
        <v/>
      </c>
      <c r="S24" s="76" t="str">
        <f t="shared" si="5"/>
        <v/>
      </c>
      <c r="T24" s="76" t="str">
        <f t="shared" si="6"/>
        <v>-- 手術記録の自由文章表現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4"/>
      <c r="N25" s="76"/>
      <c r="O25" s="76"/>
      <c r="P25" s="76" t="str">
        <f t="shared" si="4"/>
        <v>,memo</v>
      </c>
      <c r="Q25" s="76" t="str">
        <f t="shared" si="0"/>
        <v>TEXT</v>
      </c>
      <c r="R25" s="76" t="str">
        <f t="shared" si="1"/>
        <v/>
      </c>
      <c r="S25" s="76" t="str">
        <f t="shared" si="5"/>
        <v/>
      </c>
      <c r="T25" s="76" t="str">
        <f t="shared" si="6"/>
        <v>-- 手術に関する追加事項</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milscm_2023_009.sny_202310_backup_text_mml_mmlsg_surgery_item.memo IS '手術に関する追加事項';</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ENT_01_A6-43</v>
      </c>
      <c r="E6" s="234"/>
      <c r="F6" s="234"/>
      <c r="G6" s="234"/>
      <c r="H6" s="234"/>
      <c r="I6" s="234"/>
      <c r="J6" s="235"/>
    </row>
    <row r="7" spans="1:45">
      <c r="B7" s="223" t="s">
        <v>115</v>
      </c>
      <c r="C7" s="224"/>
      <c r="D7" s="225" t="s">
        <v>2894</v>
      </c>
      <c r="E7" s="226"/>
      <c r="F7" s="226"/>
      <c r="G7" s="226"/>
      <c r="H7" s="226"/>
      <c r="I7" s="226"/>
      <c r="J7" s="227"/>
    </row>
    <row r="8" spans="1:45">
      <c r="B8" s="223" t="s">
        <v>116</v>
      </c>
      <c r="C8" s="224"/>
      <c r="D8" s="225" t="str">
        <f>エンティティ一覧!AE2&amp;"_"&amp;D5&amp;"_text_mml_mmlsg_dp"</f>
        <v>sny_202310_backup_text_mml_mmlsg_dp</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milscm_2023_009.sny_202310_backup_text_mml_mmlsg_dp;</v>
      </c>
      <c r="O10" s="76"/>
      <c r="P10" s="76"/>
      <c r="Q10" s="76"/>
      <c r="R10" s="76"/>
      <c r="S10" s="76"/>
      <c r="T10" s="76"/>
      <c r="AJ10" s="76" t="str">
        <f>"ALTER TABLE ONLY "&amp;エンティティ一覧!$O$2&amp;"."&amp;D$8</f>
        <v>ALTER TABLE ONLY milscm_2023_009.sny_202310_backup_text_mml_mmlsg_dp</v>
      </c>
      <c r="AS10" s="76" t="str">
        <f>"ALTER TABLE "&amp;エンティティ一覧!$O$2&amp;"."&amp;D$8&amp;" OWNER TO pgmisgrp1;"</f>
        <v>ALTER TABLE milscm_2023_009.sny_202310_backup_text_mml_mmlsg_dp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milscm_2023_009.sny_202310_backup_text_mml_mmlsg_dp</v>
      </c>
      <c r="O11" s="76"/>
      <c r="P11" s="76"/>
      <c r="Q11" s="76"/>
      <c r="R11" s="76"/>
      <c r="S11" s="76"/>
      <c r="T11" s="76"/>
      <c r="AJ11" s="76" t="str">
        <f>"ADD CONSTRAINT "&amp;D$8&amp;"_pkey PRIMARY KEY"</f>
        <v>ADD CONSTRAINT sny_202310_backup_text_mml_mmlsg_dp_pkey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6"/>
      <c r="O19" s="76"/>
      <c r="P19" s="76" t="str">
        <f t="shared" ref="P19:P22" si="8">IF(B19&lt;&gt;1,","&amp;D19,D19)</f>
        <v>,tag_name</v>
      </c>
      <c r="Q19" s="76" t="str">
        <f t="shared" ref="Q19:Q22" si="9">UPPER(G19)</f>
        <v>TEXT</v>
      </c>
      <c r="R19" s="76" t="str">
        <f t="shared" ref="R19:R22" si="10">IF(H19&lt;&gt;"","default "&amp;IF(G19="text","'"&amp;H19&amp;"'",H19),"")</f>
        <v/>
      </c>
      <c r="S19" s="76" t="str">
        <f t="shared" ref="S19:S22" si="11">IF(I19="○","NOT NULL","")</f>
        <v>NOT NULL</v>
      </c>
      <c r="T19" s="76" t="str">
        <f t="shared" ref="T19:T22" si="12">"-- "&amp;C19</f>
        <v>-- タグ名</v>
      </c>
      <c r="U19" s="4"/>
      <c r="AA19" s="4"/>
      <c r="AB19" s="4"/>
      <c r="AC19" s="4"/>
      <c r="AD19" s="4"/>
      <c r="AE19" s="4"/>
      <c r="AF19" s="4"/>
      <c r="AG19" s="4"/>
      <c r="AH19" s="4"/>
      <c r="AI19" s="4"/>
      <c r="AJ19" s="76" t="str">
        <f>IF(E19="○",IF(COUNTA(E$13:E19)=1,"",",")&amp;D19,"")</f>
        <v>,tag_name</v>
      </c>
      <c r="AK19" s="4"/>
      <c r="AL19" s="4"/>
      <c r="AM19" s="4"/>
      <c r="AN19" s="4"/>
      <c r="AO19" s="4"/>
      <c r="AP19" s="4"/>
      <c r="AQ19" s="4"/>
      <c r="AR19" s="4"/>
      <c r="AS19" s="76" t="str">
        <f>"COMMENT ON COLUMN "&amp;エンティティ一覧!$O$2&amp;"."&amp;D$8&amp;"."&amp;D19&amp;" IS '"&amp;C19&amp;"';"</f>
        <v>COMMENT ON COLUMN milscm_2023_009.sny_202310_backup_text_mml_mmlsg_dp.tag_name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6"/>
      <c r="O20" s="76"/>
      <c r="P20" s="76" t="str">
        <f t="shared" si="8"/>
        <v>,dp_no</v>
      </c>
      <c r="Q20" s="76" t="str">
        <f t="shared" si="9"/>
        <v>INTEGER</v>
      </c>
      <c r="R20" s="76" t="str">
        <f t="shared" si="10"/>
        <v/>
      </c>
      <c r="S20" s="76" t="str">
        <f t="shared" si="11"/>
        <v>NOT NULL</v>
      </c>
      <c r="T20" s="76" t="str">
        <f t="shared" si="12"/>
        <v>-- 診療科情報No</v>
      </c>
      <c r="U20" s="4"/>
      <c r="AA20" s="4"/>
      <c r="AB20" s="4"/>
      <c r="AC20" s="4"/>
      <c r="AD20" s="4"/>
      <c r="AE20" s="4"/>
      <c r="AF20" s="4"/>
      <c r="AG20" s="4"/>
      <c r="AH20" s="4"/>
      <c r="AI20" s="4"/>
      <c r="AJ20" s="76" t="str">
        <f>IF(E20="○",IF(COUNTA(E$13:E20)=1,"",",")&amp;D20,"")</f>
        <v>,dp_no</v>
      </c>
      <c r="AK20" s="4"/>
      <c r="AL20" s="4"/>
      <c r="AM20" s="4"/>
      <c r="AN20" s="4"/>
      <c r="AO20" s="4"/>
      <c r="AP20" s="4"/>
      <c r="AQ20" s="4"/>
      <c r="AR20" s="4"/>
      <c r="AS20" s="76" t="str">
        <f>"COMMENT ON COLUMN "&amp;エンティティ一覧!$O$2&amp;"."&amp;D$8&amp;"."&amp;D20&amp;" IS '"&amp;C20&amp;"';"</f>
        <v>COMMENT ON COLUMN milscm_2023_009.sny_202310_backup_text_mml_mmlsg_dp.dp_no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6"/>
      <c r="O21" s="76"/>
      <c r="P21" s="76" t="str">
        <f t="shared" si="8"/>
        <v>,dp_name_no</v>
      </c>
      <c r="Q21" s="76" t="str">
        <f t="shared" si="9"/>
        <v>INTEGER</v>
      </c>
      <c r="R21" s="76" t="str">
        <f t="shared" si="10"/>
        <v/>
      </c>
      <c r="S21" s="76" t="str">
        <f t="shared" si="11"/>
        <v>NOT NULL</v>
      </c>
      <c r="T21" s="76" t="str">
        <f t="shared" si="12"/>
        <v>-- 診療科名称No</v>
      </c>
      <c r="U21" s="4"/>
      <c r="AA21" s="4"/>
      <c r="AB21" s="4"/>
      <c r="AC21" s="4"/>
      <c r="AD21" s="4"/>
      <c r="AE21" s="4"/>
      <c r="AF21" s="4"/>
      <c r="AG21" s="4"/>
      <c r="AH21" s="4"/>
      <c r="AI21" s="4"/>
      <c r="AJ21" s="76" t="str">
        <f>IF(E21="○",IF(COUNTA(E$13:E21)=1,"",",")&amp;D21,"")</f>
        <v>,dp_name_no</v>
      </c>
      <c r="AK21" s="4"/>
      <c r="AL21" s="4"/>
      <c r="AM21" s="4"/>
      <c r="AN21" s="4"/>
      <c r="AO21" s="4"/>
      <c r="AP21" s="4"/>
      <c r="AQ21" s="4"/>
      <c r="AR21" s="4"/>
      <c r="AS21" s="76" t="str">
        <f>"COMMENT ON COLUMN "&amp;エンティティ一覧!$O$2&amp;"."&amp;D$8&amp;"."&amp;D21&amp;" IS '"&amp;C21&amp;"';"</f>
        <v>COMMENT ON COLUMN milscm_2023_009.sny_202310_backup_text_mml_mmlsg_dp.dp_name_no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6"/>
      <c r="O22" s="76"/>
      <c r="P22" s="76" t="str">
        <f t="shared" si="8"/>
        <v>,id</v>
      </c>
      <c r="Q22" s="76" t="str">
        <f t="shared" si="9"/>
        <v>TEXT</v>
      </c>
      <c r="R22" s="76" t="str">
        <f t="shared" si="10"/>
        <v/>
      </c>
      <c r="S22" s="76" t="str">
        <f t="shared" si="11"/>
        <v/>
      </c>
      <c r="T22" s="76" t="str">
        <f t="shared" si="12"/>
        <v>-- 診療科ID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6"/>
      <c r="O23" s="76"/>
      <c r="P23" s="76" t="str">
        <f t="shared" si="4"/>
        <v>,type</v>
      </c>
      <c r="Q23" s="76" t="str">
        <f t="shared" si="0"/>
        <v>TEXT</v>
      </c>
      <c r="R23" s="76" t="str">
        <f t="shared" si="1"/>
        <v/>
      </c>
      <c r="S23" s="76" t="str">
        <f t="shared" si="5"/>
        <v/>
      </c>
      <c r="T23" s="76" t="str">
        <f t="shared" si="6"/>
        <v>-- 診療科ID_種類コード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6"/>
      <c r="O24" s="76"/>
      <c r="P24" s="76" t="str">
        <f t="shared" si="4"/>
        <v>,table_id</v>
      </c>
      <c r="Q24" s="76" t="str">
        <f t="shared" si="0"/>
        <v>TEXT</v>
      </c>
      <c r="R24" s="76" t="str">
        <f t="shared" si="1"/>
        <v/>
      </c>
      <c r="S24" s="76" t="str">
        <f t="shared" si="5"/>
        <v/>
      </c>
      <c r="T24" s="76" t="str">
        <f t="shared" si="6"/>
        <v>-- 診療科ID_テーブル名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6"/>
      <c r="O25" s="76"/>
      <c r="P25" s="76" t="str">
        <f t="shared" si="4"/>
        <v>,check_digit</v>
      </c>
      <c r="Q25" s="76" t="str">
        <f t="shared" si="0"/>
        <v>INTEGER</v>
      </c>
      <c r="R25" s="76" t="str">
        <f t="shared" si="1"/>
        <v/>
      </c>
      <c r="S25" s="76" t="str">
        <f t="shared" si="5"/>
        <v/>
      </c>
      <c r="T25" s="76" t="str">
        <f t="shared" si="6"/>
        <v>-- 診療科ID_チェックディジット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6"/>
      <c r="O26" s="76"/>
      <c r="P26" s="76" t="str">
        <f t="shared" si="4"/>
        <v>,check_digit_schema</v>
      </c>
      <c r="Q26" s="76" t="str">
        <f t="shared" si="0"/>
        <v>TEXT</v>
      </c>
      <c r="R26" s="76" t="str">
        <f t="shared" si="1"/>
        <v/>
      </c>
      <c r="S26" s="76" t="str">
        <f t="shared" si="5"/>
        <v/>
      </c>
      <c r="T26" s="76" t="str">
        <f t="shared" si="6"/>
        <v>-- 診療科ID_チェックディジット方式</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6"/>
      <c r="O27" s="76"/>
      <c r="P27" s="76" t="str">
        <f t="shared" si="4"/>
        <v>,dp_name</v>
      </c>
      <c r="Q27" s="76" t="str">
        <f t="shared" si="0"/>
        <v>TEXT</v>
      </c>
      <c r="R27" s="76" t="str">
        <f t="shared" si="1"/>
        <v/>
      </c>
      <c r="S27" s="76" t="str">
        <f t="shared" si="5"/>
        <v/>
      </c>
      <c r="T27" s="76" t="str">
        <f t="shared" si="6"/>
        <v>-- 診療科名称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6"/>
      <c r="O28" s="76"/>
      <c r="P28" s="76" t="str">
        <f t="shared" si="4"/>
        <v>,dp_name_rep_code</v>
      </c>
      <c r="Q28" s="76" t="str">
        <f t="shared" si="0"/>
        <v>TEXT</v>
      </c>
      <c r="R28" s="76" t="str">
        <f t="shared" si="1"/>
        <v/>
      </c>
      <c r="S28" s="76" t="str">
        <f t="shared" si="5"/>
        <v/>
      </c>
      <c r="T28" s="76" t="str">
        <f t="shared" si="6"/>
        <v>-- 診療科名称_表記法</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4"/>
      <c r="N29" s="76"/>
      <c r="O29" s="76"/>
      <c r="P29" s="76" t="str">
        <f t="shared" si="4"/>
        <v>,dp_name_table_id</v>
      </c>
      <c r="Q29" s="76" t="str">
        <f t="shared" si="0"/>
        <v>TEXT</v>
      </c>
      <c r="R29" s="76" t="str">
        <f t="shared" si="1"/>
        <v/>
      </c>
      <c r="S29" s="76" t="str">
        <f t="shared" si="5"/>
        <v/>
      </c>
      <c r="T29" s="76" t="str">
        <f t="shared" si="6"/>
        <v>-- 診療科名称_テーブル名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milscm_2023_009.sny_202310_backup_text_mml_mmlsg_dp.dp_name_table_id IS '診療科名称_テーブル名';</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ENT_01_A6-44</v>
      </c>
      <c r="E6" s="234"/>
      <c r="F6" s="234"/>
      <c r="G6" s="234"/>
      <c r="H6" s="234"/>
      <c r="I6" s="234"/>
      <c r="J6" s="235"/>
    </row>
    <row r="7" spans="1:45">
      <c r="B7" s="223" t="s">
        <v>115</v>
      </c>
      <c r="C7" s="224"/>
      <c r="D7" s="225" t="s">
        <v>2919</v>
      </c>
      <c r="E7" s="226"/>
      <c r="F7" s="226"/>
      <c r="G7" s="226"/>
      <c r="H7" s="226"/>
      <c r="I7" s="226"/>
      <c r="J7" s="227"/>
    </row>
    <row r="8" spans="1:45">
      <c r="B8" s="223" t="s">
        <v>116</v>
      </c>
      <c r="C8" s="224"/>
      <c r="D8" s="225" t="str">
        <f>エンティティ一覧!AE2&amp;"_"&amp;D5&amp;"_text_mml_mmlsg_rd"</f>
        <v>sny_202310_backup_text_mml_mmlsg_rd</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milscm_2023_009.sny_202310_backup_text_mml_mmlsg_rd;</v>
      </c>
      <c r="O10" s="76"/>
      <c r="P10" s="76"/>
      <c r="Q10" s="76"/>
      <c r="R10" s="76"/>
      <c r="S10" s="76"/>
      <c r="T10" s="76"/>
      <c r="AJ10" s="76" t="str">
        <f>"ALTER TABLE ONLY "&amp;エンティティ一覧!$O$2&amp;"."&amp;D$8</f>
        <v>ALTER TABLE ONLY milscm_2023_009.sny_202310_backup_text_mml_mmlsg_rd</v>
      </c>
      <c r="AS10" s="76" t="str">
        <f>"ALTER TABLE "&amp;エンティティ一覧!$O$2&amp;"."&amp;D$8&amp;" OWNER TO pgmisgrp1;"</f>
        <v>ALTER TABLE milscm_2023_009.sny_202310_backup_text_mml_mmlsg_rd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v>
      </c>
      <c r="O11" s="76"/>
      <c r="P11" s="76"/>
      <c r="Q11" s="76"/>
      <c r="R11" s="76"/>
      <c r="S11" s="76"/>
      <c r="T11" s="76"/>
      <c r="AJ11" s="76" t="str">
        <f>"ADD CONSTRAINT "&amp;D$8&amp;"_pkey PRIMARY KEY"</f>
        <v>ADD CONSTRAINT sny_202310_backup_text_mml_mmlsg_rd_pkey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6"/>
      <c r="O20" s="76"/>
      <c r="P20" s="76" t="str">
        <f t="shared" si="4"/>
        <v>,start_date</v>
      </c>
      <c r="Q20" s="76" t="str">
        <f t="shared" si="0"/>
        <v>TEXT</v>
      </c>
      <c r="R20" s="76" t="str">
        <f t="shared" si="1"/>
        <v/>
      </c>
      <c r="S20" s="76" t="str">
        <f t="shared" si="5"/>
        <v/>
      </c>
      <c r="T20" s="76" t="str">
        <f t="shared" si="6"/>
        <v>-- 疾患開始日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6"/>
      <c r="O21" s="76"/>
      <c r="P21" s="76" t="str">
        <f t="shared" si="4"/>
        <v>,end_date</v>
      </c>
      <c r="Q21" s="76" t="str">
        <f t="shared" si="0"/>
        <v>TEXT</v>
      </c>
      <c r="R21" s="76" t="str">
        <f t="shared" si="1"/>
        <v/>
      </c>
      <c r="S21" s="76" t="str">
        <f t="shared" si="5"/>
        <v/>
      </c>
      <c r="T21" s="76" t="str">
        <f t="shared" si="6"/>
        <v>-- 疾患終了日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6"/>
      <c r="O22" s="76"/>
      <c r="P22" s="76" t="str">
        <f t="shared" si="4"/>
        <v>,outcome</v>
      </c>
      <c r="Q22" s="76" t="str">
        <f t="shared" si="0"/>
        <v>TEXT</v>
      </c>
      <c r="R22" s="76" t="str">
        <f t="shared" si="1"/>
        <v/>
      </c>
      <c r="S22" s="76" t="str">
        <f t="shared" si="5"/>
        <v/>
      </c>
      <c r="T22" s="76" t="str">
        <f t="shared" si="6"/>
        <v>-- 転帰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4"/>
      <c r="N23" s="76"/>
      <c r="O23" s="76"/>
      <c r="P23" s="76" t="str">
        <f t="shared" si="4"/>
        <v>,first_encounter_date</v>
      </c>
      <c r="Q23" s="76" t="str">
        <f t="shared" si="0"/>
        <v>TEXT</v>
      </c>
      <c r="R23" s="76" t="str">
        <f t="shared" si="1"/>
        <v/>
      </c>
      <c r="S23" s="76" t="str">
        <f t="shared" si="5"/>
        <v/>
      </c>
      <c r="T23" s="76" t="str">
        <f t="shared" si="6"/>
        <v>-- 疾患の初診日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milscm_2023_009.sny_202310_backup_text_mml_mmlsg_rd.first_encounter_date IS '疾患の初診日';</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ENT_01_A6-45</v>
      </c>
      <c r="E6" s="234"/>
      <c r="F6" s="234"/>
      <c r="G6" s="234"/>
      <c r="H6" s="234"/>
      <c r="I6" s="234"/>
      <c r="J6" s="235"/>
    </row>
    <row r="7" spans="1:45">
      <c r="B7" s="223" t="s">
        <v>115</v>
      </c>
      <c r="C7" s="224"/>
      <c r="D7" s="225" t="s">
        <v>2922</v>
      </c>
      <c r="E7" s="226"/>
      <c r="F7" s="226"/>
      <c r="G7" s="226"/>
      <c r="H7" s="226"/>
      <c r="I7" s="226"/>
      <c r="J7" s="227"/>
    </row>
    <row r="8" spans="1:45">
      <c r="B8" s="223" t="s">
        <v>116</v>
      </c>
      <c r="C8" s="224"/>
      <c r="D8" s="225" t="str">
        <f>エンティティ一覧!AE2&amp;"_"&amp;D5&amp;"_text_mml_mmlsg_rd_byomei"</f>
        <v>sny_202310_backup_text_mml_mmlsg_rd_byomei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milscm_2023_009.sny_202310_backup_text_mml_mmlsg_rd_byomei;</v>
      </c>
      <c r="O10" s="76"/>
      <c r="P10" s="76"/>
      <c r="Q10" s="76"/>
      <c r="R10" s="76"/>
      <c r="S10" s="76"/>
      <c r="T10" s="76"/>
      <c r="AJ10" s="76" t="str">
        <f>"ALTER TABLE ONLY "&amp;エンティティ一覧!$O$2&amp;"."&amp;D$8</f>
        <v>ALTER TABLE ONLY milscm_2023_009.sny_202310_backup_text_mml_mmlsg_rd_byomei</v>
      </c>
      <c r="AS10" s="76" t="str">
        <f>"ALTER TABLE "&amp;エンティティ一覧!$O$2&amp;"."&amp;D$8&amp;" OWNER TO pgmisgrp1;"</f>
        <v>ALTER TABLE milscm_2023_009.sny_202310_backup_text_mml_mmlsg_rd_byomei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milscm_2023_009.sny_202310_backup_text_mml_mmlsg_rd_byomei</v>
      </c>
      <c r="O11" s="76"/>
      <c r="P11" s="76"/>
      <c r="Q11" s="76"/>
      <c r="R11" s="76"/>
      <c r="S11" s="76"/>
      <c r="T11" s="76"/>
      <c r="AJ11" s="76" t="str">
        <f>"ADD CONSTRAINT "&amp;D$8&amp;"_pkey PRIMARY KEY"</f>
        <v>ADD CONSTRAINT sny_202310_backup_text_mml_mmlsg_rd_byomei_pkey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6"/>
      <c r="O20" s="76"/>
      <c r="P20" s="76" t="str">
        <f t="shared" si="4"/>
        <v>,byomei_no</v>
      </c>
      <c r="Q20" s="76" t="str">
        <f t="shared" si="0"/>
        <v>INTEGER</v>
      </c>
      <c r="R20" s="76" t="str">
        <f t="shared" si="1"/>
        <v/>
      </c>
      <c r="S20" s="76" t="str">
        <f t="shared" si="5"/>
        <v>NOT NULL</v>
      </c>
      <c r="T20" s="76" t="str">
        <f t="shared" si="6"/>
        <v>-- 病名No</v>
      </c>
      <c r="U20" s="4"/>
      <c r="AA20" s="4"/>
      <c r="AB20" s="4"/>
      <c r="AC20" s="4"/>
      <c r="AD20" s="4"/>
      <c r="AE20" s="4"/>
      <c r="AF20" s="4"/>
      <c r="AG20" s="4"/>
      <c r="AH20" s="4"/>
      <c r="AI20" s="4"/>
      <c r="AJ20" s="76" t="str">
        <f>IF(E20="○",IF(COUNTA(E$13:E20)=1,"",",")&amp;D20,"")</f>
        <v>,byomei_no</v>
      </c>
      <c r="AK20" s="4"/>
      <c r="AL20" s="4"/>
      <c r="AM20" s="4"/>
      <c r="AN20" s="4"/>
      <c r="AO20" s="4"/>
      <c r="AP20" s="4"/>
      <c r="AQ20" s="4"/>
      <c r="AR20" s="4"/>
      <c r="AS20" s="76" t="str">
        <f>"COMMENT ON COLUMN "&amp;エンティティ一覧!$O$2&amp;"."&amp;D$8&amp;"."&amp;D20&amp;" IS '"&amp;C20&amp;"';"</f>
        <v>COMMENT ON COLUMN milscm_2023_009.sny_202310_backup_text_mml_mmlsg_rd_byomei.byomei_no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6"/>
      <c r="O21" s="76"/>
      <c r="P21" s="76" t="str">
        <f t="shared" si="4"/>
        <v>,tag_name</v>
      </c>
      <c r="Q21" s="76" t="str">
        <f t="shared" si="0"/>
        <v>TEXT</v>
      </c>
      <c r="R21" s="76" t="str">
        <f t="shared" si="1"/>
        <v/>
      </c>
      <c r="S21" s="76" t="str">
        <f t="shared" si="5"/>
        <v/>
      </c>
      <c r="T21" s="76" t="str">
        <f t="shared" si="6"/>
        <v>-- タグ名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6"/>
      <c r="O22" s="76"/>
      <c r="P22" s="76" t="str">
        <f t="shared" ref="P22" si="8">IF(B22&lt;&gt;1,","&amp;D22,D22)</f>
        <v>,diagnosis</v>
      </c>
      <c r="Q22" s="76" t="str">
        <f t="shared" ref="Q22" si="9">UPPER(G22)</f>
        <v>TEXT</v>
      </c>
      <c r="R22" s="76" t="str">
        <f t="shared" ref="R22" si="10">IF(H22&lt;&gt;"","default "&amp;IF(G22="text","'"&amp;H22&amp;"'",H22),"")</f>
        <v/>
      </c>
      <c r="S22" s="76" t="str">
        <f t="shared" ref="S22" si="11">IF(I22="○","NOT NULL","")</f>
        <v/>
      </c>
      <c r="T22" s="76" t="str">
        <f t="shared" ref="T22" si="12">"-- "&amp;C22</f>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milscm_2023_009.sny_202310_backup_text_mml_mmlsg_rd_byomei.diagnosis IS '病名';</v>
      </c>
    </row>
    <row r="23" spans="1:52" s="25" customFormat="1">
      <c r="A23" s="4"/>
      <c r="B23" s="21">
        <f t="shared" si="2"/>
        <v>11</v>
      </c>
      <c r="C23" s="6" t="s">
        <v>2805</v>
      </c>
      <c r="D23" s="6" t="s">
        <v>359</v>
      </c>
      <c r="E23" s="8"/>
      <c r="F23" s="7" t="s">
        <v>1825</v>
      </c>
      <c r="G23" s="7" t="str">
        <f t="shared" si="3"/>
        <v>text</v>
      </c>
      <c r="H23" s="26"/>
      <c r="I23" s="10"/>
      <c r="J23" s="11"/>
      <c r="M23" s="4"/>
      <c r="N23" s="76"/>
      <c r="O23" s="76"/>
      <c r="P23" s="76" t="str">
        <f t="shared" si="4"/>
        <v>,code</v>
      </c>
      <c r="Q23" s="76" t="str">
        <f t="shared" si="0"/>
        <v>TEXT</v>
      </c>
      <c r="R23" s="76" t="str">
        <f t="shared" si="1"/>
        <v/>
      </c>
      <c r="S23" s="76" t="str">
        <f t="shared" si="5"/>
        <v/>
      </c>
      <c r="T23" s="76" t="str">
        <f t="shared" si="6"/>
        <v>-- 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4"/>
      <c r="N24" s="76"/>
      <c r="O24" s="76"/>
      <c r="P24" s="76" t="str">
        <f t="shared" si="4"/>
        <v>,system</v>
      </c>
      <c r="Q24" s="76" t="str">
        <f t="shared" si="0"/>
        <v>TEXT</v>
      </c>
      <c r="R24" s="76" t="str">
        <f t="shared" si="1"/>
        <v/>
      </c>
      <c r="S24" s="76" t="str">
        <f t="shared" si="5"/>
        <v/>
      </c>
      <c r="T24" s="76" t="str">
        <f t="shared" si="6"/>
        <v>-- 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milscm_2023_009.sny_202310_backup_text_mml_mmlsg_rd_byomei.system IS 'コード体系名';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ENT_01_A6-46</v>
      </c>
      <c r="E6" s="234"/>
      <c r="F6" s="234"/>
      <c r="G6" s="234"/>
      <c r="H6" s="234"/>
      <c r="I6" s="234"/>
      <c r="J6" s="235"/>
    </row>
    <row r="7" spans="1:45">
      <c r="B7" s="223" t="s">
        <v>115</v>
      </c>
      <c r="C7" s="224"/>
      <c r="D7" s="225" t="s">
        <v>2923</v>
      </c>
      <c r="E7" s="226"/>
      <c r="F7" s="226"/>
      <c r="G7" s="226"/>
      <c r="H7" s="226"/>
      <c r="I7" s="226"/>
      <c r="J7" s="227"/>
    </row>
    <row r="8" spans="1:45">
      <c r="B8" s="223" t="s">
        <v>116</v>
      </c>
      <c r="C8" s="224"/>
      <c r="D8" s="225" t="str">
        <f>エンティティ一覧!AE2&amp;"_"&amp;D5&amp;"_text_mml_mmlsg_rd_category"</f>
        <v>sny_202310_backup_text_mml_mmlsg_rd_category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milscm_2023_009.sny_202310_backup_text_mml_mmlsg_rd_category;</v>
      </c>
      <c r="O10" s="76"/>
      <c r="P10" s="76"/>
      <c r="Q10" s="76"/>
      <c r="R10" s="76"/>
      <c r="S10" s="76"/>
      <c r="T10" s="76"/>
      <c r="AJ10" s="76" t="str">
        <f>"ALTER TABLE ONLY "&amp;エンティティ一覧!$O$2&amp;"."&amp;D$8</f>
        <v>ALTER TABLE ONLY milscm_2023_009.sny_202310_backup_text_mml_mmlsg_rd_category</v>
      </c>
      <c r="AS10" s="76" t="str">
        <f>"ALTER TABLE "&amp;エンティティ一覧!$O$2&amp;"."&amp;D$8&amp;" OWNER TO pgmisgrp1;"</f>
        <v>ALTER TABLE milscm_2023_009.sny_202310_backup_text_mml_mmlsg_rd_category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milscm_2023_009.sny_202310_backup_text_mml_mmlsg_rd_category</v>
      </c>
      <c r="O11" s="76"/>
      <c r="P11" s="76"/>
      <c r="Q11" s="76"/>
      <c r="R11" s="76"/>
      <c r="S11" s="76"/>
      <c r="T11" s="76"/>
      <c r="AJ11" s="76" t="str">
        <f>"ADD CONSTRAINT "&amp;D$8&amp;"_pkey PRIMARY KEY"</f>
        <v>ADD CONSTRAINT sny_202310_backup_text_mml_mmlsg_rd_category_pkey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6"/>
      <c r="O19" s="76"/>
      <c r="P19" s="76" t="str">
        <f t="shared" si="4"/>
        <v>,rd_no</v>
      </c>
      <c r="Q19" s="76" t="str">
        <f t="shared" si="0"/>
        <v>INTEGER</v>
      </c>
      <c r="R19" s="76" t="str">
        <f t="shared" si="1"/>
        <v/>
      </c>
      <c r="S19" s="76" t="str">
        <f t="shared" si="5"/>
        <v>NOT NULL</v>
      </c>
      <c r="T19" s="76" t="str">
        <f t="shared" si="6"/>
        <v>-- 診断履歴情報No</v>
      </c>
      <c r="U19" s="4"/>
      <c r="AA19" s="4"/>
      <c r="AB19" s="4"/>
      <c r="AC19" s="4"/>
      <c r="AD19" s="4"/>
      <c r="AE19" s="4"/>
      <c r="AF19" s="4"/>
      <c r="AG19" s="4"/>
      <c r="AH19" s="4"/>
      <c r="AI19" s="4"/>
      <c r="AJ19" s="76" t="str">
        <f>IF(E19="○",IF(COUNTA(E$13:E19)=1,"",",")&amp;D19,"")</f>
        <v>,rd_no</v>
      </c>
      <c r="AK19" s="4"/>
      <c r="AL19" s="4"/>
      <c r="AM19" s="4"/>
      <c r="AN19" s="4"/>
      <c r="AO19" s="4"/>
      <c r="AP19" s="4"/>
      <c r="AQ19" s="4"/>
      <c r="AR19" s="4"/>
      <c r="AS19" s="76" t="str">
        <f>"COMMENT ON COLUMN "&amp;エンティティ一覧!$O$2&amp;"."&amp;D$8&amp;"."&amp;D19&amp;" IS '"&amp;C19&amp;"';"</f>
        <v>COMMENT ON COLUMN milscm_2023_009.sny_202310_backup_text_mml_mmlsg_rd_category.rd_no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6"/>
      <c r="O20" s="76"/>
      <c r="P20" s="76" t="str">
        <f t="shared" si="4"/>
        <v>,category_no</v>
      </c>
      <c r="Q20" s="76" t="str">
        <f t="shared" si="0"/>
        <v>INTEGER</v>
      </c>
      <c r="R20" s="76" t="str">
        <f t="shared" si="1"/>
        <v/>
      </c>
      <c r="S20" s="76" t="str">
        <f t="shared" si="5"/>
        <v>NOT NULL</v>
      </c>
      <c r="T20" s="76" t="str">
        <f t="shared" si="6"/>
        <v>-- カテゴリ名No</v>
      </c>
      <c r="U20" s="4"/>
      <c r="AA20" s="4"/>
      <c r="AB20" s="4"/>
      <c r="AC20" s="4"/>
      <c r="AD20" s="4"/>
      <c r="AE20" s="4"/>
      <c r="AF20" s="4"/>
      <c r="AG20" s="4"/>
      <c r="AH20" s="4"/>
      <c r="AI20" s="4"/>
      <c r="AJ20" s="76" t="str">
        <f>IF(E20="○",IF(COUNTA(E$13:E20)=1,"",",")&amp;D20,"")</f>
        <v>,category_no</v>
      </c>
      <c r="AK20" s="4"/>
      <c r="AL20" s="4"/>
      <c r="AM20" s="4"/>
      <c r="AN20" s="4"/>
      <c r="AO20" s="4"/>
      <c r="AP20" s="4"/>
      <c r="AQ20" s="4"/>
      <c r="AR20" s="4"/>
      <c r="AS20" s="76" t="str">
        <f>"COMMENT ON COLUMN "&amp;エンティティ一覧!$O$2&amp;"."&amp;D$8&amp;"."&amp;D20&amp;" IS '"&amp;C20&amp;"';"</f>
        <v>COMMENT ON COLUMN milscm_2023_009.sny_202310_backup_text_mml_mmlsg_rd_category.category_no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6"/>
      <c r="O21" s="76"/>
      <c r="P21" s="76" t="str">
        <f t="shared" si="4"/>
        <v>,category</v>
      </c>
      <c r="Q21" s="76" t="str">
        <f t="shared" si="0"/>
        <v>TEXT</v>
      </c>
      <c r="R21" s="76" t="str">
        <f t="shared" si="1"/>
        <v/>
      </c>
      <c r="S21" s="76" t="str">
        <f t="shared" si="5"/>
        <v/>
      </c>
      <c r="T21" s="76" t="str">
        <f t="shared" si="6"/>
        <v>-- 分類名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4"/>
      <c r="N22" s="76"/>
      <c r="O22" s="76"/>
      <c r="P22" s="76" t="str">
        <f t="shared" si="4"/>
        <v>,table_id</v>
      </c>
      <c r="Q22" s="76" t="str">
        <f t="shared" si="0"/>
        <v>TEXT</v>
      </c>
      <c r="R22" s="76" t="str">
        <f t="shared" si="1"/>
        <v/>
      </c>
      <c r="S22" s="76" t="str">
        <f t="shared" si="5"/>
        <v/>
      </c>
      <c r="T22" s="76" t="str">
        <f t="shared" si="6"/>
        <v>-- 分類コード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milscm_2023_009.sny_202310_backup_text_mml_mmlsg_rd_category.table_id IS '分類コード';</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ENT_01_A6-47</v>
      </c>
      <c r="E6" s="234"/>
      <c r="F6" s="234"/>
      <c r="G6" s="234"/>
      <c r="H6" s="234"/>
      <c r="I6" s="234"/>
      <c r="J6" s="235"/>
    </row>
    <row r="7" spans="1:45">
      <c r="B7" s="223" t="s">
        <v>115</v>
      </c>
      <c r="C7" s="224"/>
      <c r="D7" s="225" t="s">
        <v>2924</v>
      </c>
      <c r="E7" s="226"/>
      <c r="F7" s="226"/>
      <c r="G7" s="226"/>
      <c r="H7" s="226"/>
      <c r="I7" s="226"/>
      <c r="J7" s="227"/>
    </row>
    <row r="8" spans="1:45">
      <c r="B8" s="223" t="s">
        <v>116</v>
      </c>
      <c r="C8" s="224"/>
      <c r="D8" s="225" t="str">
        <f>エンティティ一覧!AE2&amp;"_"&amp;D5&amp;"_text_mml_mmlsg_procedure_item"</f>
        <v>sny_202310_backup_text_mml_mmlsg_procedure_item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milscm_2023_009.sny_202310_backup_text_mml_mmlsg_procedure_item;</v>
      </c>
      <c r="O10" s="76"/>
      <c r="P10" s="76"/>
      <c r="Q10" s="76"/>
      <c r="R10" s="76"/>
      <c r="S10" s="76"/>
      <c r="T10" s="76"/>
      <c r="AJ10" s="76" t="str">
        <f>"ALTER TABLE ONLY "&amp;エンティティ一覧!$O$2&amp;"."&amp;D$8</f>
        <v>ALTER TABLE ONLY milscm_2023_009.sny_202310_backup_text_mml_mmlsg_procedure_item</v>
      </c>
      <c r="AS10" s="76" t="str">
        <f>"ALTER TABLE "&amp;エンティティ一覧!$O$2&amp;"."&amp;D$8&amp;" OWNER TO pgmisgrp1;"</f>
        <v>ALTER TABLE milscm_2023_009.sny_202310_backup_text_mml_mmlsg_procedure_item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milscm_2023_009.sny_202310_backup_text_mml_mmlsg_procedure_item</v>
      </c>
      <c r="O11" s="76"/>
      <c r="P11" s="76"/>
      <c r="Q11" s="76"/>
      <c r="R11" s="76"/>
      <c r="S11" s="76"/>
      <c r="T11" s="76"/>
      <c r="AJ11" s="76" t="str">
        <f>"ADD CONSTRAINT "&amp;D$8&amp;"_pkey PRIMARY KEY"</f>
        <v>ADD CONSTRAINT sny_202310_backup_text_mml_mmlsg_procedure_item_pkey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6"/>
      <c r="O20" s="76"/>
      <c r="P20" s="76" t="str">
        <f t="shared" si="4"/>
        <v>,operation</v>
      </c>
      <c r="Q20" s="76" t="str">
        <f t="shared" si="0"/>
        <v>TEXT</v>
      </c>
      <c r="R20" s="76" t="str">
        <f t="shared" si="1"/>
        <v/>
      </c>
      <c r="S20" s="76" t="str">
        <f t="shared" si="5"/>
        <v/>
      </c>
      <c r="T20" s="76" t="str">
        <f t="shared" si="6"/>
        <v>-- 手術法</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milscm_2023_009.sny_202310_backup_text_mml_mmlsg_procedure_item.operation IS '手術法';</v>
      </c>
    </row>
    <row r="21" spans="1:52" s="25" customFormat="1">
      <c r="A21" s="4"/>
      <c r="B21" s="21">
        <f t="shared" si="2"/>
        <v>9</v>
      </c>
      <c r="C21" s="6" t="s">
        <v>2929</v>
      </c>
      <c r="D21" s="6" t="s">
        <v>359</v>
      </c>
      <c r="E21" s="8"/>
      <c r="F21" s="7" t="s">
        <v>1825</v>
      </c>
      <c r="G21" s="7" t="str">
        <f t="shared" ref="G21" si="7">IF(F21="フラグ","boolean",IF(F21="文字列","text",IF(F21="整数","integer",IF(F21="実数","numeric",""))))</f>
        <v>text</v>
      </c>
      <c r="H21" s="26"/>
      <c r="I21" s="10"/>
      <c r="J21" s="11"/>
      <c r="M21" s="4"/>
      <c r="N21" s="76"/>
      <c r="O21" s="76"/>
      <c r="P21" s="76" t="str">
        <f t="shared" ref="P21" si="8">IF(B21&lt;&gt;1,","&amp;D21,D21)</f>
        <v>,code</v>
      </c>
      <c r="Q21" s="76" t="str">
        <f t="shared" ref="Q21" si="9">UPPER(G21)</f>
        <v>TEXT</v>
      </c>
      <c r="R21" s="76" t="str">
        <f t="shared" ref="R21" si="10">IF(H21&lt;&gt;"","default "&amp;IF(G21="text","'"&amp;H21&amp;"'",H21),"")</f>
        <v/>
      </c>
      <c r="S21" s="76" t="str">
        <f t="shared" ref="S21" si="11">IF(I21="○","NOT NULL","")</f>
        <v/>
      </c>
      <c r="T21" s="76" t="str">
        <f t="shared" ref="T21" si="12">"-- "&amp;C21</f>
        <v>-- 手術法コード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6"/>
      <c r="O22" s="76"/>
      <c r="P22" s="76" t="str">
        <f t="shared" si="4"/>
        <v>,system</v>
      </c>
      <c r="Q22" s="76" t="str">
        <f t="shared" si="0"/>
        <v>TEXT</v>
      </c>
      <c r="R22" s="76" t="str">
        <f t="shared" si="1"/>
        <v/>
      </c>
      <c r="S22" s="76" t="str">
        <f t="shared" si="5"/>
        <v/>
      </c>
      <c r="T22" s="76" t="str">
        <f t="shared" si="6"/>
        <v>-- 手術法コード体系名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4"/>
      <c r="N23" s="76"/>
      <c r="O23" s="76"/>
      <c r="P23" s="76" t="str">
        <f t="shared" si="4"/>
        <v>,procedure_memo</v>
      </c>
      <c r="Q23" s="76" t="str">
        <f t="shared" si="0"/>
        <v>TEXT</v>
      </c>
      <c r="R23" s="76" t="str">
        <f t="shared" si="1"/>
        <v/>
      </c>
      <c r="S23" s="76" t="str">
        <f t="shared" si="5"/>
        <v/>
      </c>
      <c r="T23" s="76" t="str">
        <f t="shared" si="6"/>
        <v>-- 手術法に関する追加事項</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milscm_2023_009.sny_202310_backup_text_mml_mmlsg_procedure_item.procedure_memo IS '手術法に関する追加事項';</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ENT_01_A6-48</v>
      </c>
      <c r="E6" s="234"/>
      <c r="F6" s="234"/>
      <c r="G6" s="234"/>
      <c r="H6" s="234"/>
      <c r="I6" s="234"/>
      <c r="J6" s="235"/>
    </row>
    <row r="7" spans="1:45">
      <c r="B7" s="223" t="s">
        <v>115</v>
      </c>
      <c r="C7" s="224"/>
      <c r="D7" s="225" t="s">
        <v>2933</v>
      </c>
      <c r="E7" s="226"/>
      <c r="F7" s="226"/>
      <c r="G7" s="226"/>
      <c r="H7" s="226"/>
      <c r="I7" s="226"/>
      <c r="J7" s="227"/>
    </row>
    <row r="8" spans="1:45">
      <c r="B8" s="223" t="s">
        <v>116</v>
      </c>
      <c r="C8" s="224"/>
      <c r="D8" s="225" t="str">
        <f>エンティティ一覧!AE2&amp;"_"&amp;D5&amp;"_text_mml_mmlsg_operation_element"</f>
        <v>sny_202310_backup_text_mml_mmlsg_operation_element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milscm_2023_009.sny_202310_backup_text_mml_mmlsg_operation_element;</v>
      </c>
      <c r="O10" s="76"/>
      <c r="P10" s="76"/>
      <c r="Q10" s="76"/>
      <c r="R10" s="76"/>
      <c r="S10" s="76"/>
      <c r="T10" s="76"/>
      <c r="AJ10" s="76" t="str">
        <f>"ALTER TABLE ONLY "&amp;エンティティ一覧!$O$2&amp;"."&amp;D$8</f>
        <v>ALTER TABLE ONLY milscm_2023_009.sny_202310_backup_text_mml_mmlsg_operation_element</v>
      </c>
      <c r="AS10" s="76" t="str">
        <f>"ALTER TABLE "&amp;エンティティ一覧!$O$2&amp;"."&amp;D$8&amp;" OWNER TO pgmisgrp1;"</f>
        <v>ALTER TABLE milscm_2023_009.sny_202310_backup_text_mml_mmlsg_operation_element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milscm_2023_009.sny_202310_backup_text_mml_mmlsg_operation_element</v>
      </c>
      <c r="O11" s="76"/>
      <c r="P11" s="76"/>
      <c r="Q11" s="76"/>
      <c r="R11" s="76"/>
      <c r="S11" s="76"/>
      <c r="T11" s="76"/>
      <c r="AJ11" s="76" t="str">
        <f>"ADD CONSTRAINT "&amp;D$8&amp;"_pkey PRIMARY KEY"</f>
        <v>ADD CONSTRAINT sny_202310_backup_text_mml_mmlsg_operation_element_pkey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6"/>
      <c r="O19" s="76"/>
      <c r="P19" s="76" t="str">
        <f t="shared" si="4"/>
        <v>,procedure_no</v>
      </c>
      <c r="Q19" s="76" t="str">
        <f t="shared" si="0"/>
        <v>INTEGER</v>
      </c>
      <c r="R19" s="76" t="str">
        <f t="shared" si="1"/>
        <v/>
      </c>
      <c r="S19" s="76" t="str">
        <f t="shared" si="5"/>
        <v>NOT NULL</v>
      </c>
      <c r="T19" s="76" t="str">
        <f t="shared" si="6"/>
        <v>-- 手術法No</v>
      </c>
      <c r="U19" s="4"/>
      <c r="AA19" s="4"/>
      <c r="AB19" s="4"/>
      <c r="AC19" s="4"/>
      <c r="AD19" s="4"/>
      <c r="AE19" s="4"/>
      <c r="AF19" s="4"/>
      <c r="AG19" s="4"/>
      <c r="AH19" s="4"/>
      <c r="AI19" s="4"/>
      <c r="AJ19" s="76" t="str">
        <f>IF(E19="○",IF(COUNTA(E$13:E19)=1,"",",")&amp;D19,"")</f>
        <v>,procedure_no</v>
      </c>
      <c r="AK19" s="4"/>
      <c r="AL19" s="4"/>
      <c r="AM19" s="4"/>
      <c r="AN19" s="4"/>
      <c r="AO19" s="4"/>
      <c r="AP19" s="4"/>
      <c r="AQ19" s="4"/>
      <c r="AR19" s="4"/>
      <c r="AS19" s="76" t="str">
        <f>"COMMENT ON COLUMN "&amp;エンティティ一覧!$O$2&amp;"."&amp;D$8&amp;"."&amp;D19&amp;" IS '"&amp;C19&amp;"';"</f>
        <v>COMMENT ON COLUMN milscm_2023_009.sny_202310_backup_text_mml_mmlsg_operation_element.procedure_no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6"/>
      <c r="O20" s="76"/>
      <c r="P20" s="76" t="str">
        <f t="shared" si="4"/>
        <v>,operation_element_no</v>
      </c>
      <c r="Q20" s="76" t="str">
        <f t="shared" si="0"/>
        <v>INTEGER</v>
      </c>
      <c r="R20" s="76" t="str">
        <f t="shared" si="1"/>
        <v/>
      </c>
      <c r="S20" s="76" t="str">
        <f t="shared" si="5"/>
        <v>NOT NULL</v>
      </c>
      <c r="T20" s="76" t="str">
        <f t="shared" si="6"/>
        <v>-- 手術要素No</v>
      </c>
      <c r="U20" s="4"/>
      <c r="AA20" s="4"/>
      <c r="AB20" s="4"/>
      <c r="AC20" s="4"/>
      <c r="AD20" s="4"/>
      <c r="AE20" s="4"/>
      <c r="AF20" s="4"/>
      <c r="AG20" s="4"/>
      <c r="AH20" s="4"/>
      <c r="AI20" s="4"/>
      <c r="AJ20" s="76" t="str">
        <f>IF(E20="○",IF(COUNTA(E$13:E20)=1,"",",")&amp;D20,"")</f>
        <v>,operation_element_no</v>
      </c>
      <c r="AK20" s="4"/>
      <c r="AL20" s="4"/>
      <c r="AM20" s="4"/>
      <c r="AN20" s="4"/>
      <c r="AO20" s="4"/>
      <c r="AP20" s="4"/>
      <c r="AQ20" s="4"/>
      <c r="AR20" s="4"/>
      <c r="AS20" s="76" t="str">
        <f>"COMMENT ON COLUMN "&amp;エンティティ一覧!$O$2&amp;"."&amp;D$8&amp;"."&amp;D20&amp;" IS '"&amp;C20&amp;"';"</f>
        <v>COMMENT ON COLUMN milscm_2023_009.sny_202310_backup_text_mml_mmlsg_operation_element.operation_element_no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6"/>
      <c r="O21" s="76"/>
      <c r="P21" s="76" t="str">
        <f t="shared" si="4"/>
        <v>,operation</v>
      </c>
      <c r="Q21" s="76" t="str">
        <f t="shared" si="0"/>
        <v>TEXT</v>
      </c>
      <c r="R21" s="76" t="str">
        <f t="shared" si="1"/>
        <v/>
      </c>
      <c r="S21" s="76" t="str">
        <f t="shared" si="5"/>
        <v/>
      </c>
      <c r="T21" s="76" t="str">
        <f t="shared" si="6"/>
        <v>-- 分割された手術要素名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milscm_2023_009.sny_202310_backup_text_mml_mmlsg_operation_element.operation IS '分割された手術要素名';</v>
      </c>
    </row>
    <row r="22" spans="1:52" s="25" customFormat="1">
      <c r="A22" s="4"/>
      <c r="B22" s="21">
        <f t="shared" si="2"/>
        <v>10</v>
      </c>
      <c r="C22" s="6" t="s">
        <v>2929</v>
      </c>
      <c r="D22" s="6" t="s">
        <v>359</v>
      </c>
      <c r="E22" s="8"/>
      <c r="F22" s="7" t="s">
        <v>1825</v>
      </c>
      <c r="G22" s="7" t="str">
        <f t="shared" si="3"/>
        <v>text</v>
      </c>
      <c r="H22" s="26"/>
      <c r="I22" s="10"/>
      <c r="J22" s="11"/>
      <c r="M22" s="4"/>
      <c r="N22" s="76"/>
      <c r="O22" s="76"/>
      <c r="P22" s="76" t="str">
        <f t="shared" si="4"/>
        <v>,code</v>
      </c>
      <c r="Q22" s="76" t="str">
        <f t="shared" si="0"/>
        <v>TEXT</v>
      </c>
      <c r="R22" s="76" t="str">
        <f t="shared" si="1"/>
        <v/>
      </c>
      <c r="S22" s="76" t="str">
        <f t="shared" si="5"/>
        <v/>
      </c>
      <c r="T22" s="76" t="str">
        <f t="shared" si="6"/>
        <v>-- 手術法コード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4"/>
      <c r="N23" s="76"/>
      <c r="O23" s="76"/>
      <c r="P23" s="76" t="str">
        <f t="shared" si="4"/>
        <v>,system</v>
      </c>
      <c r="Q23" s="76" t="str">
        <f t="shared" si="0"/>
        <v>TEXT</v>
      </c>
      <c r="R23" s="76" t="str">
        <f t="shared" si="1"/>
        <v/>
      </c>
      <c r="S23" s="76" t="str">
        <f t="shared" si="5"/>
        <v/>
      </c>
      <c r="T23" s="76" t="str">
        <f t="shared" si="6"/>
        <v>-- 手術法コード体系名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milscm_2023_009.sny_202310_backup_text_mml_mmlsg_operation_element.system IS '手術法コード体系名';</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ENT_01_A6-49</v>
      </c>
      <c r="E6" s="234"/>
      <c r="F6" s="234"/>
      <c r="G6" s="234"/>
      <c r="H6" s="234"/>
      <c r="I6" s="234"/>
      <c r="J6" s="235"/>
    </row>
    <row r="7" spans="1:45">
      <c r="B7" s="223" t="s">
        <v>115</v>
      </c>
      <c r="C7" s="224"/>
      <c r="D7" s="225" t="s">
        <v>2937</v>
      </c>
      <c r="E7" s="226"/>
      <c r="F7" s="226"/>
      <c r="G7" s="226"/>
      <c r="H7" s="226"/>
      <c r="I7" s="226"/>
      <c r="J7" s="227"/>
    </row>
    <row r="8" spans="1:45">
      <c r="B8" s="223" t="s">
        <v>116</v>
      </c>
      <c r="C8" s="224"/>
      <c r="D8" s="225" t="str">
        <f>エンティティ一覧!AE2&amp;"_"&amp;D5&amp;"_text_mml_mmlsg_anesthesia_procedure"</f>
        <v>sny_202310_backup_text_mml_mmlsg_anesthesia_procedure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milscm_2023_009.sny_202310_backup_text_mml_mmlsg_anesthesia_procedure;</v>
      </c>
      <c r="O10" s="76"/>
      <c r="P10" s="76"/>
      <c r="Q10" s="76"/>
      <c r="R10" s="76"/>
      <c r="S10" s="76"/>
      <c r="T10" s="76"/>
      <c r="AJ10" s="76" t="str">
        <f>"ALTER TABLE ONLY "&amp;エンティティ一覧!$O$2&amp;"."&amp;D$8</f>
        <v>ALTER TABLE ONLY milscm_2023_009.sny_202310_backup_text_mml_mmlsg_anesthesia_procedure</v>
      </c>
      <c r="AS10" s="76" t="str">
        <f>"ALTER TABLE "&amp;エンティティ一覧!$O$2&amp;"."&amp;D$8&amp;" OWNER TO pgmisgrp1;"</f>
        <v>ALTER TABLE milscm_2023_009.sny_202310_backup_text_mml_mmlsg_anesthesia_procedure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milscm_2023_009.sny_202310_backup_text_mml_mmlsg_anesthesia_procedure</v>
      </c>
      <c r="O11" s="76"/>
      <c r="P11" s="76"/>
      <c r="Q11" s="76"/>
      <c r="R11" s="76"/>
      <c r="S11" s="76"/>
      <c r="T11" s="76"/>
      <c r="AJ11" s="76" t="str">
        <f>"ADD CONSTRAINT "&amp;D$8&amp;"_pkey PRIMARY KEY"</f>
        <v>ADD CONSTRAINT sny_202310_backup_text_mml_mmlsg_anesthesia_procedure_pkey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6"/>
      <c r="O18" s="76"/>
      <c r="P18" s="76" t="str">
        <f t="shared" si="4"/>
        <v>,surgery_item_no</v>
      </c>
      <c r="Q18" s="76" t="str">
        <f t="shared" si="0"/>
        <v>INTEGER</v>
      </c>
      <c r="R18" s="76" t="str">
        <f t="shared" si="1"/>
        <v/>
      </c>
      <c r="S18" s="76" t="str">
        <f t="shared" si="5"/>
        <v>NOT NULL</v>
      </c>
      <c r="T18" s="76" t="str">
        <f t="shared" si="6"/>
        <v>-- 手術項目No</v>
      </c>
      <c r="U18" s="4"/>
      <c r="AA18" s="4"/>
      <c r="AB18" s="4"/>
      <c r="AC18" s="4"/>
      <c r="AD18" s="4"/>
      <c r="AE18" s="4"/>
      <c r="AF18" s="4"/>
      <c r="AG18" s="4"/>
      <c r="AH18" s="4"/>
      <c r="AI18" s="4"/>
      <c r="AJ18" s="76" t="str">
        <f>IF(E18="○",IF(COUNTA(E$13:E18)=1,"",",")&amp;D18,"")</f>
        <v>,surgery_item_no</v>
      </c>
      <c r="AK18" s="4"/>
      <c r="AL18" s="4"/>
      <c r="AM18" s="4"/>
      <c r="AN18" s="4"/>
      <c r="AO18" s="4"/>
      <c r="AP18" s="4"/>
      <c r="AQ18" s="4"/>
      <c r="AR18" s="4"/>
      <c r="AS18" s="76" t="str">
        <f>"COMMENT ON COLUMN "&amp;エンティティ一覧!$O$2&amp;"."&amp;D$8&amp;"."&amp;D18&amp;" IS '"&amp;C18&amp;"';"</f>
        <v>COMMENT ON COLUMN milscm_2023_009.sny_202310_backup_text_mml_mmlsg_anesthesia_procedure.surgery_item_no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6"/>
      <c r="O19" s="76"/>
      <c r="P19" s="76" t="str">
        <f t="shared" si="4"/>
        <v>,anesthesia_no</v>
      </c>
      <c r="Q19" s="76" t="str">
        <f t="shared" si="0"/>
        <v>INTEGER</v>
      </c>
      <c r="R19" s="76" t="str">
        <f t="shared" si="1"/>
        <v/>
      </c>
      <c r="S19" s="76" t="str">
        <f t="shared" si="5"/>
        <v>NOT NULL</v>
      </c>
      <c r="T19" s="76" t="str">
        <f t="shared" si="6"/>
        <v>-- 麻酔法No</v>
      </c>
      <c r="U19" s="4"/>
      <c r="AA19" s="4"/>
      <c r="AB19" s="4"/>
      <c r="AC19" s="4"/>
      <c r="AD19" s="4"/>
      <c r="AE19" s="4"/>
      <c r="AF19" s="4"/>
      <c r="AG19" s="4"/>
      <c r="AH19" s="4"/>
      <c r="AI19" s="4"/>
      <c r="AJ19" s="76" t="str">
        <f>IF(E19="○",IF(COUNTA(E$13:E19)=1,"",",")&amp;D19,"")</f>
        <v>,anesthesia_no</v>
      </c>
      <c r="AK19" s="4"/>
      <c r="AL19" s="4"/>
      <c r="AM19" s="4"/>
      <c r="AN19" s="4"/>
      <c r="AO19" s="4"/>
      <c r="AP19" s="4"/>
      <c r="AQ19" s="4"/>
      <c r="AR19" s="4"/>
      <c r="AS19" s="76" t="str">
        <f>"COMMENT ON COLUMN "&amp;エンティティ一覧!$O$2&amp;"."&amp;D$8&amp;"."&amp;D19&amp;" IS '"&amp;C19&amp;"';"</f>
        <v>COMMENT ON COLUMN milscm_2023_009.sny_202310_backup_text_mml_mmlsg_anesthesia_procedure.anesthesia_no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麻酔法名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milscm_2023_009.sny_202310_backup_text_mml_mmlsg_anesthesia_procedure.title IS '麻酔法名';</v>
      </c>
    </row>
    <row r="21" spans="1:52" s="25" customFormat="1">
      <c r="A21" s="4"/>
      <c r="B21" s="21">
        <f t="shared" si="2"/>
        <v>9</v>
      </c>
      <c r="C21" s="6" t="s">
        <v>2942</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麻酔法名コード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麻酔法名コード体系名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milscm_2023_009.sny_202310_backup_text_mml_mmlsg_anesthesia_procedure.system IS '麻酔法名コード体系名';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ENT_01_A6-50</v>
      </c>
      <c r="E6" s="234"/>
      <c r="F6" s="234"/>
      <c r="G6" s="234"/>
      <c r="H6" s="234"/>
      <c r="I6" s="234"/>
      <c r="J6" s="235"/>
    </row>
    <row r="7" spans="1:45">
      <c r="B7" s="223" t="s">
        <v>115</v>
      </c>
      <c r="C7" s="224"/>
      <c r="D7" s="225" t="s">
        <v>2944</v>
      </c>
      <c r="E7" s="226"/>
      <c r="F7" s="226"/>
      <c r="G7" s="226"/>
      <c r="H7" s="226"/>
      <c r="I7" s="226"/>
      <c r="J7" s="227"/>
    </row>
    <row r="8" spans="1:45">
      <c r="B8" s="223" t="s">
        <v>116</v>
      </c>
      <c r="C8" s="224"/>
      <c r="D8" s="225" t="str">
        <f>エンティティ一覧!AE2&amp;"_"&amp;D5&amp;"_text_mml_mmlrp_body"</f>
        <v>sny_202310_backup_text_mml_mmlrp_body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milscm_2023_009.sny_202310_backup_text_mml_mmlrp_body;</v>
      </c>
      <c r="O10" s="76"/>
      <c r="P10" s="76"/>
      <c r="Q10" s="76"/>
      <c r="R10" s="76"/>
      <c r="S10" s="76"/>
      <c r="T10" s="76"/>
      <c r="AJ10" s="76" t="str">
        <f>"ALTER TABLE ONLY "&amp;エンティティ一覧!$O$2&amp;"."&amp;D$8</f>
        <v>ALTER TABLE ONLY milscm_2023_009.sny_202310_backup_text_mml_mmlrp_body</v>
      </c>
      <c r="AS10" s="76" t="str">
        <f>"ALTER TABLE "&amp;エンティティ一覧!$O$2&amp;"."&amp;D$8&amp;" OWNER TO pgmisgrp1;"</f>
        <v>ALTER TABLE milscm_2023_009.sny_202310_backup_text_mml_mmlrp_body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milscm_2023_009.sny_202310_backup_text_mml_mmlrp_body</v>
      </c>
      <c r="O11" s="76"/>
      <c r="P11" s="76"/>
      <c r="Q11" s="76"/>
      <c r="R11" s="76"/>
      <c r="S11" s="76"/>
      <c r="T11" s="76"/>
      <c r="AJ11" s="76" t="str">
        <f>"ADD CONSTRAINT "&amp;D$8&amp;"_pkey PRIMARY KEY"</f>
        <v>ADD CONSTRAINT sny_202310_backup_text_mml_mmlrp_body_pkey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52" si="0">UPPER(G13)</f>
        <v>INTEGER</v>
      </c>
      <c r="R13" s="76" t="str">
        <f t="shared" ref="R13:R5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6"/>
      <c r="O14" s="76"/>
      <c r="P14" s="76" t="str">
        <f t="shared" ref="P14:P52" si="4">IF(B14&lt;&gt;1,","&amp;D14,D14)</f>
        <v>,file_no</v>
      </c>
      <c r="Q14" s="76" t="str">
        <f t="shared" si="0"/>
        <v>INTEGER</v>
      </c>
      <c r="R14" s="76" t="str">
        <f t="shared" si="1"/>
        <v/>
      </c>
      <c r="S14" s="76" t="str">
        <f t="shared" ref="S14:S52" si="5">IF(I14="○","NOT NULL","")</f>
        <v>NOT NULL</v>
      </c>
      <c r="T14" s="76" t="str">
        <f t="shared" ref="T14:T5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6"/>
      <c r="O18" s="76"/>
      <c r="P18" s="76" t="str">
        <f t="shared" si="4"/>
        <v>,perform_time</v>
      </c>
      <c r="Q18" s="76" t="str">
        <f t="shared" si="0"/>
        <v>TEXT</v>
      </c>
      <c r="R18" s="76" t="str">
        <f t="shared" si="1"/>
        <v/>
      </c>
      <c r="S18" s="76" t="str">
        <f t="shared" si="5"/>
        <v/>
      </c>
      <c r="T18" s="76" t="str">
        <f t="shared" si="6"/>
        <v>-- 検査実施日時</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6"/>
      <c r="O19" s="76"/>
      <c r="P19" s="76" t="str">
        <f t="shared" si="4"/>
        <v>,report_time</v>
      </c>
      <c r="Q19" s="76" t="str">
        <f t="shared" si="0"/>
        <v>TEXT</v>
      </c>
      <c r="R19" s="76" t="str">
        <f t="shared" si="1"/>
        <v/>
      </c>
      <c r="S19" s="76" t="str">
        <f t="shared" si="5"/>
        <v/>
      </c>
      <c r="T19" s="76" t="str">
        <f t="shared" si="6"/>
        <v>-- 報告日時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6"/>
      <c r="O20" s="76"/>
      <c r="P20" s="76" t="str">
        <f t="shared" si="4"/>
        <v>,report_status</v>
      </c>
      <c r="Q20" s="76" t="str">
        <f t="shared" si="0"/>
        <v>TEXT</v>
      </c>
      <c r="R20" s="76" t="str">
        <f t="shared" si="1"/>
        <v/>
      </c>
      <c r="S20" s="76" t="str">
        <f t="shared" si="5"/>
        <v/>
      </c>
      <c r="T20" s="76" t="str">
        <f t="shared" si="6"/>
        <v>-- 報告状態</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6"/>
      <c r="O21" s="76"/>
      <c r="P21" s="76" t="str">
        <f t="shared" ref="P21:P50" si="8">IF(B21&lt;&gt;1,","&amp;D21,D21)</f>
        <v>,report_status_code</v>
      </c>
      <c r="Q21" s="76" t="str">
        <f t="shared" ref="Q21:Q50" si="9">UPPER(G21)</f>
        <v>TEXT</v>
      </c>
      <c r="R21" s="76" t="str">
        <f t="shared" ref="R21:R50" si="10">IF(H21&lt;&gt;"","default "&amp;IF(G21="text","'"&amp;H21&amp;"'",H21),"")</f>
        <v/>
      </c>
      <c r="S21" s="76" t="str">
        <f t="shared" ref="S21:S50" si="11">IF(I21="○","NOT NULL","")</f>
        <v/>
      </c>
      <c r="T21" s="76" t="str">
        <f t="shared" ref="T21:T50" si="12">"-- "&amp;C21</f>
        <v>-- 報告状態コード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6"/>
      <c r="O22" s="76"/>
      <c r="P22" s="76" t="str">
        <f t="shared" si="8"/>
        <v>,report_status_code_id</v>
      </c>
      <c r="Q22" s="76" t="str">
        <f t="shared" si="9"/>
        <v>TEXT</v>
      </c>
      <c r="R22" s="76" t="str">
        <f t="shared" si="10"/>
        <v/>
      </c>
      <c r="S22" s="76" t="str">
        <f t="shared" si="11"/>
        <v/>
      </c>
      <c r="T22" s="76" t="str">
        <f t="shared" si="12"/>
        <v>-- 報告状態コードID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6"/>
      <c r="O23" s="76"/>
      <c r="P23" s="76" t="str">
        <f t="shared" si="8"/>
        <v>,test_class</v>
      </c>
      <c r="Q23" s="76" t="str">
        <f t="shared" si="9"/>
        <v>TEXT</v>
      </c>
      <c r="R23" s="76" t="str">
        <f t="shared" si="10"/>
        <v/>
      </c>
      <c r="S23" s="76" t="str">
        <f t="shared" si="11"/>
        <v/>
      </c>
      <c r="T23" s="76" t="str">
        <f t="shared" si="12"/>
        <v>-- 報告書種別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6"/>
      <c r="O24" s="76"/>
      <c r="P24" s="76" t="str">
        <f t="shared" si="8"/>
        <v>,test_class_code</v>
      </c>
      <c r="Q24" s="76" t="str">
        <f t="shared" si="9"/>
        <v>TEXT</v>
      </c>
      <c r="R24" s="76" t="str">
        <f t="shared" si="10"/>
        <v/>
      </c>
      <c r="S24" s="76" t="str">
        <f t="shared" si="11"/>
        <v/>
      </c>
      <c r="T24" s="76" t="str">
        <f t="shared" si="12"/>
        <v>-- 報告書種別コード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6"/>
      <c r="O25" s="76"/>
      <c r="P25" s="76" t="str">
        <f t="shared" si="8"/>
        <v>,test_class_code_id</v>
      </c>
      <c r="Q25" s="76" t="str">
        <f t="shared" si="9"/>
        <v>TEXT</v>
      </c>
      <c r="R25" s="76" t="str">
        <f t="shared" si="10"/>
        <v/>
      </c>
      <c r="S25" s="76" t="str">
        <f t="shared" si="11"/>
        <v/>
      </c>
      <c r="T25" s="76" t="str">
        <f t="shared" si="12"/>
        <v>-- 報告書種別コードID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6"/>
      <c r="O26" s="76"/>
      <c r="P26" s="76" t="str">
        <f t="shared" si="8"/>
        <v>,test_sub_class</v>
      </c>
      <c r="Q26" s="76" t="str">
        <f t="shared" si="9"/>
        <v>TEXT</v>
      </c>
      <c r="R26" s="76" t="str">
        <f t="shared" si="10"/>
        <v/>
      </c>
      <c r="S26" s="76" t="str">
        <f t="shared" si="11"/>
        <v/>
      </c>
      <c r="T26" s="76" t="str">
        <f t="shared" si="12"/>
        <v>-- 報告書詳細種別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6"/>
      <c r="O27" s="76"/>
      <c r="P27" s="76" t="str">
        <f t="shared" si="8"/>
        <v>,test_sub_class_code</v>
      </c>
      <c r="Q27" s="76" t="str">
        <f t="shared" si="9"/>
        <v>TEXT</v>
      </c>
      <c r="R27" s="76" t="str">
        <f t="shared" si="10"/>
        <v/>
      </c>
      <c r="S27" s="76" t="str">
        <f t="shared" si="11"/>
        <v/>
      </c>
      <c r="T27" s="76" t="str">
        <f t="shared" si="12"/>
        <v>-- 報告書詳細種別コード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6"/>
      <c r="O28" s="76"/>
      <c r="P28" s="76" t="str">
        <f t="shared" si="8"/>
        <v>,test_sub_class_code_id</v>
      </c>
      <c r="Q28" s="76" t="str">
        <f t="shared" si="9"/>
        <v>TEXT</v>
      </c>
      <c r="R28" s="76" t="str">
        <f t="shared" si="10"/>
        <v/>
      </c>
      <c r="S28" s="76" t="str">
        <f t="shared" si="11"/>
        <v/>
      </c>
      <c r="T28" s="76" t="str">
        <f t="shared" si="12"/>
        <v>-- 報告書詳細種別コードID</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6"/>
      <c r="O29" s="76"/>
      <c r="P29" s="76" t="str">
        <f t="shared" si="8"/>
        <v>,organ</v>
      </c>
      <c r="Q29" s="76" t="str">
        <f t="shared" si="9"/>
        <v>TEXT</v>
      </c>
      <c r="R29" s="76" t="str">
        <f t="shared" si="10"/>
        <v/>
      </c>
      <c r="S29" s="76" t="str">
        <f t="shared" si="11"/>
        <v/>
      </c>
      <c r="T29" s="76" t="str">
        <f t="shared" si="12"/>
        <v>-- 臓器</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6"/>
      <c r="O30" s="76"/>
      <c r="P30" s="76" t="str">
        <f t="shared" si="8"/>
        <v>,con_facility</v>
      </c>
      <c r="Q30" s="76" t="str">
        <f t="shared" si="9"/>
        <v>TEXT</v>
      </c>
      <c r="R30" s="76" t="str">
        <f t="shared" si="10"/>
        <v/>
      </c>
      <c r="S30" s="76" t="str">
        <f t="shared" si="11"/>
        <v/>
      </c>
      <c r="T30" s="76" t="str">
        <f t="shared" si="12"/>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6"/>
      <c r="O31" s="76"/>
      <c r="P31" s="76" t="str">
        <f t="shared" si="8"/>
        <v>,con_facility_code</v>
      </c>
      <c r="Q31" s="76" t="str">
        <f t="shared" si="9"/>
        <v>TEXT</v>
      </c>
      <c r="R31" s="76" t="str">
        <f t="shared" si="10"/>
        <v/>
      </c>
      <c r="S31" s="76" t="str">
        <f t="shared" si="11"/>
        <v/>
      </c>
      <c r="T31" s="76" t="str">
        <f t="shared" si="12"/>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6"/>
      <c r="O32" s="76"/>
      <c r="P32" s="76" t="str">
        <f t="shared" si="8"/>
        <v>,con_facility_code_id</v>
      </c>
      <c r="Q32" s="76" t="str">
        <f t="shared" si="9"/>
        <v>TEXT</v>
      </c>
      <c r="R32" s="76" t="str">
        <f t="shared" si="10"/>
        <v/>
      </c>
      <c r="S32" s="76" t="str">
        <f t="shared" si="11"/>
        <v/>
      </c>
      <c r="T32" s="76" t="str">
        <f t="shared" si="12"/>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6"/>
      <c r="O33" s="76"/>
      <c r="P33" s="76" t="str">
        <f t="shared" si="8"/>
        <v>,con_department</v>
      </c>
      <c r="Q33" s="76" t="str">
        <f t="shared" si="9"/>
        <v>TEXT</v>
      </c>
      <c r="R33" s="76" t="str">
        <f t="shared" si="10"/>
        <v/>
      </c>
      <c r="S33" s="76" t="str">
        <f t="shared" si="11"/>
        <v/>
      </c>
      <c r="T33" s="76" t="str">
        <f t="shared" si="12"/>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6"/>
      <c r="O34" s="76"/>
      <c r="P34" s="76" t="str">
        <f t="shared" si="8"/>
        <v>,con_department_code</v>
      </c>
      <c r="Q34" s="76" t="str">
        <f t="shared" si="9"/>
        <v>TEXT</v>
      </c>
      <c r="R34" s="76" t="str">
        <f t="shared" si="10"/>
        <v/>
      </c>
      <c r="S34" s="76" t="str">
        <f t="shared" si="11"/>
        <v/>
      </c>
      <c r="T34" s="76" t="str">
        <f t="shared" si="12"/>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6"/>
      <c r="O35" s="76"/>
      <c r="P35" s="76" t="str">
        <f t="shared" si="8"/>
        <v>,con_department_code_id</v>
      </c>
      <c r="Q35" s="76" t="str">
        <f t="shared" si="9"/>
        <v>TEXT</v>
      </c>
      <c r="R35" s="76" t="str">
        <f t="shared" si="10"/>
        <v/>
      </c>
      <c r="S35" s="76" t="str">
        <f t="shared" si="11"/>
        <v/>
      </c>
      <c r="T35" s="76" t="str">
        <f t="shared" si="12"/>
        <v>-- 依頼診療科コードID</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6"/>
      <c r="O36" s="76"/>
      <c r="P36" s="76" t="str">
        <f t="shared" si="8"/>
        <v>,con_ward</v>
      </c>
      <c r="Q36" s="76" t="str">
        <f t="shared" si="9"/>
        <v>TEXT</v>
      </c>
      <c r="R36" s="76" t="str">
        <f t="shared" si="10"/>
        <v/>
      </c>
      <c r="S36" s="76" t="str">
        <f t="shared" si="11"/>
        <v/>
      </c>
      <c r="T36" s="76" t="str">
        <f t="shared" si="12"/>
        <v>-- 依頼病棟</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6"/>
      <c r="O37" s="76"/>
      <c r="P37" s="76" t="str">
        <f t="shared" si="8"/>
        <v>,con_ward_code</v>
      </c>
      <c r="Q37" s="76" t="str">
        <f t="shared" si="9"/>
        <v>TEXT</v>
      </c>
      <c r="R37" s="76" t="str">
        <f t="shared" si="10"/>
        <v/>
      </c>
      <c r="S37" s="76" t="str">
        <f t="shared" si="11"/>
        <v/>
      </c>
      <c r="T37" s="76" t="str">
        <f t="shared" si="12"/>
        <v>-- 依頼病棟コード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6"/>
      <c r="O38" s="76"/>
      <c r="P38" s="76" t="str">
        <f t="shared" si="8"/>
        <v>,con_ward_code_id</v>
      </c>
      <c r="Q38" s="76" t="str">
        <f t="shared" si="9"/>
        <v>TEXT</v>
      </c>
      <c r="R38" s="76" t="str">
        <f t="shared" si="10"/>
        <v/>
      </c>
      <c r="S38" s="76" t="str">
        <f t="shared" si="11"/>
        <v/>
      </c>
      <c r="T38" s="76" t="str">
        <f t="shared" si="12"/>
        <v>-- 依頼病棟コードID</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6"/>
      <c r="O39" s="76"/>
      <c r="P39" s="76" t="str">
        <f t="shared" si="8"/>
        <v>,p_facility</v>
      </c>
      <c r="Q39" s="76" t="str">
        <f t="shared" si="9"/>
        <v>TEXT</v>
      </c>
      <c r="R39" s="76" t="str">
        <f t="shared" si="10"/>
        <v/>
      </c>
      <c r="S39" s="76" t="str">
        <f t="shared" si="11"/>
        <v/>
      </c>
      <c r="T39" s="76" t="str">
        <f t="shared" si="12"/>
        <v>-- 実施施設</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6"/>
      <c r="O40" s="76"/>
      <c r="P40" s="76" t="str">
        <f t="shared" si="8"/>
        <v>,p_facility_code</v>
      </c>
      <c r="Q40" s="76" t="str">
        <f t="shared" si="9"/>
        <v>TEXT</v>
      </c>
      <c r="R40" s="76" t="str">
        <f t="shared" si="10"/>
        <v/>
      </c>
      <c r="S40" s="76" t="str">
        <f t="shared" si="11"/>
        <v/>
      </c>
      <c r="T40" s="76" t="str">
        <f t="shared" si="12"/>
        <v>-- 実施施設コード</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6"/>
      <c r="O41" s="76"/>
      <c r="P41" s="76" t="str">
        <f t="shared" si="8"/>
        <v>,p_facility_code_id</v>
      </c>
      <c r="Q41" s="76" t="str">
        <f t="shared" si="9"/>
        <v>TEXT</v>
      </c>
      <c r="R41" s="76" t="str">
        <f t="shared" si="10"/>
        <v/>
      </c>
      <c r="S41" s="76" t="str">
        <f t="shared" si="11"/>
        <v/>
      </c>
      <c r="T41" s="76" t="str">
        <f t="shared" si="12"/>
        <v>-- 実施施設コードID</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6"/>
      <c r="O42" s="76"/>
      <c r="P42" s="76" t="str">
        <f t="shared" si="8"/>
        <v>,p_department</v>
      </c>
      <c r="Q42" s="76" t="str">
        <f t="shared" si="9"/>
        <v>TEXT</v>
      </c>
      <c r="R42" s="76" t="str">
        <f t="shared" si="10"/>
        <v/>
      </c>
      <c r="S42" s="76" t="str">
        <f t="shared" si="11"/>
        <v/>
      </c>
      <c r="T42" s="76" t="str">
        <f t="shared" si="12"/>
        <v>-- 実施診療科</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6"/>
      <c r="O43" s="76"/>
      <c r="P43" s="76" t="str">
        <f t="shared" si="8"/>
        <v>,p_department_code</v>
      </c>
      <c r="Q43" s="76" t="str">
        <f t="shared" si="9"/>
        <v>TEXT</v>
      </c>
      <c r="R43" s="76" t="str">
        <f t="shared" si="10"/>
        <v/>
      </c>
      <c r="S43" s="76" t="str">
        <f t="shared" si="11"/>
        <v/>
      </c>
      <c r="T43" s="76" t="str">
        <f t="shared" si="12"/>
        <v>-- 実施診療科コード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6"/>
      <c r="O44" s="76"/>
      <c r="P44" s="76" t="str">
        <f t="shared" ref="P44:P45" si="14">IF(B44&lt;&gt;1,","&amp;D44,D44)</f>
        <v>,p_department_code_id</v>
      </c>
      <c r="Q44" s="76" t="str">
        <f t="shared" ref="Q44:Q45" si="15">UPPER(G44)</f>
        <v>TEXT</v>
      </c>
      <c r="R44" s="76" t="str">
        <f t="shared" ref="R44:R45" si="16">IF(H44&lt;&gt;"","default "&amp;IF(G44="text","'"&amp;H44&amp;"'",H44),"")</f>
        <v/>
      </c>
      <c r="S44" s="76" t="str">
        <f t="shared" ref="S44:S45" si="17">IF(I44="○","NOT NULL","")</f>
        <v/>
      </c>
      <c r="T44" s="76" t="str">
        <f t="shared" ref="T44:T45" si="18">"-- "&amp;C44</f>
        <v>-- 実施診療科コードID</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6"/>
      <c r="O45" s="76"/>
      <c r="P45" s="76" t="str">
        <f t="shared" si="14"/>
        <v>,p_ward</v>
      </c>
      <c r="Q45" s="76" t="str">
        <f t="shared" si="15"/>
        <v>TEXT</v>
      </c>
      <c r="R45" s="76" t="str">
        <f t="shared" si="16"/>
        <v/>
      </c>
      <c r="S45" s="76" t="str">
        <f t="shared" si="17"/>
        <v/>
      </c>
      <c r="T45" s="76" t="str">
        <f t="shared" si="18"/>
        <v>-- 実施病棟</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6"/>
      <c r="O46" s="76"/>
      <c r="P46" s="76" t="str">
        <f t="shared" si="8"/>
        <v>,p_ward_code</v>
      </c>
      <c r="Q46" s="76" t="str">
        <f t="shared" si="9"/>
        <v>TEXT</v>
      </c>
      <c r="R46" s="76" t="str">
        <f t="shared" si="10"/>
        <v/>
      </c>
      <c r="S46" s="76" t="str">
        <f t="shared" si="11"/>
        <v/>
      </c>
      <c r="T46" s="76" t="str">
        <f t="shared" si="12"/>
        <v>-- 実施病棟コード</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6"/>
      <c r="O47" s="76"/>
      <c r="P47" s="76" t="str">
        <f t="shared" si="8"/>
        <v>,p_ward_code_id</v>
      </c>
      <c r="Q47" s="76" t="str">
        <f t="shared" si="9"/>
        <v>TEXT</v>
      </c>
      <c r="R47" s="76" t="str">
        <f t="shared" si="10"/>
        <v/>
      </c>
      <c r="S47" s="76" t="str">
        <f t="shared" si="11"/>
        <v/>
      </c>
      <c r="T47" s="76" t="str">
        <f t="shared" si="12"/>
        <v>-- 実施病棟コードID</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6"/>
      <c r="O48" s="76"/>
      <c r="P48" s="76" t="str">
        <f t="shared" si="8"/>
        <v>,chief_complaints</v>
      </c>
      <c r="Q48" s="76" t="str">
        <f t="shared" si="9"/>
        <v>TEXT</v>
      </c>
      <c r="R48" s="76" t="str">
        <f t="shared" si="10"/>
        <v/>
      </c>
      <c r="S48" s="76" t="str">
        <f t="shared" si="11"/>
        <v/>
      </c>
      <c r="T48" s="76" t="str">
        <f t="shared" si="12"/>
        <v>-- 主訴</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6"/>
      <c r="O49" s="76"/>
      <c r="P49" s="76" t="str">
        <f t="shared" si="8"/>
        <v>,test_purpose</v>
      </c>
      <c r="Q49" s="76" t="str">
        <f t="shared" si="9"/>
        <v>TEXT</v>
      </c>
      <c r="R49" s="76" t="str">
        <f t="shared" si="10"/>
        <v/>
      </c>
      <c r="S49" s="76" t="str">
        <f t="shared" si="11"/>
        <v/>
      </c>
      <c r="T49" s="76" t="str">
        <f t="shared" si="12"/>
        <v>-- 検査目的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6"/>
      <c r="O50" s="76"/>
      <c r="P50" s="76" t="str">
        <f t="shared" si="8"/>
        <v>,test_dx</v>
      </c>
      <c r="Q50" s="76" t="str">
        <f t="shared" si="9"/>
        <v>TEXT</v>
      </c>
      <c r="R50" s="76" t="str">
        <f t="shared" si="10"/>
        <v/>
      </c>
      <c r="S50" s="76" t="str">
        <f t="shared" si="11"/>
        <v/>
      </c>
      <c r="T50" s="76" t="str">
        <f t="shared" si="12"/>
        <v>-- 検査診断</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6"/>
      <c r="O51" s="76"/>
      <c r="P51" s="76" t="str">
        <f t="shared" si="4"/>
        <v>,test_notes</v>
      </c>
      <c r="Q51" s="76" t="str">
        <f t="shared" si="0"/>
        <v>TEXT</v>
      </c>
      <c r="R51" s="76" t="str">
        <f t="shared" si="1"/>
        <v/>
      </c>
      <c r="S51" s="76" t="str">
        <f t="shared" si="5"/>
        <v/>
      </c>
      <c r="T51" s="76" t="str">
        <f t="shared" si="6"/>
        <v>-- 検査所見記載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4"/>
      <c r="N52" s="76"/>
      <c r="O52" s="76"/>
      <c r="P52" s="76" t="str">
        <f t="shared" si="4"/>
        <v>,test_memo_f</v>
      </c>
      <c r="Q52" s="76" t="str">
        <f t="shared" si="0"/>
        <v>TEXT</v>
      </c>
      <c r="R52" s="76" t="str">
        <f t="shared" si="1"/>
        <v/>
      </c>
      <c r="S52" s="76" t="str">
        <f t="shared" si="5"/>
        <v/>
      </c>
      <c r="T52" s="76" t="str">
        <f t="shared" si="6"/>
        <v>-- 検査フリーコメント</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milscm_2023_009.sny_202310_backup_text_mml_mmlrp_body.test_memo_f IS '検査フリーコメント';</v>
      </c>
    </row>
    <row r="53" spans="1:52">
      <c r="L53" s="25"/>
      <c r="M53" s="25"/>
      <c r="N53" s="76" t="s">
        <v>142</v>
      </c>
      <c r="O53" s="76"/>
      <c r="P53" s="76"/>
      <c r="Q53" s="76"/>
      <c r="R53" s="76"/>
      <c r="S53" s="76"/>
      <c r="T53" s="76"/>
      <c r="V53" s="25"/>
      <c r="W53" s="25"/>
      <c r="X53" s="25"/>
      <c r="Y53" s="25"/>
      <c r="Z53" s="25"/>
      <c r="AJ53" s="76"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ENT_01_A6-51</v>
      </c>
      <c r="E6" s="234"/>
      <c r="F6" s="234"/>
      <c r="G6" s="234"/>
      <c r="H6" s="234"/>
      <c r="I6" s="234"/>
      <c r="J6" s="235"/>
    </row>
    <row r="7" spans="1:45">
      <c r="B7" s="223" t="s">
        <v>115</v>
      </c>
      <c r="C7" s="224"/>
      <c r="D7" s="225" t="s">
        <v>3002</v>
      </c>
      <c r="E7" s="226"/>
      <c r="F7" s="226"/>
      <c r="G7" s="226"/>
      <c r="H7" s="226"/>
      <c r="I7" s="226"/>
      <c r="J7" s="227"/>
    </row>
    <row r="8" spans="1:45">
      <c r="B8" s="223" t="s">
        <v>116</v>
      </c>
      <c r="C8" s="224"/>
      <c r="D8" s="225" t="str">
        <f>エンティティ一覧!AE2&amp;"_"&amp;D5&amp;"_text_mml_mmlrp_test_memo"</f>
        <v>sny_202310_backup_text_mml_mmlrp_test_memo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milscm_2023_009.sny_202310_backup_text_mml_mmlrp_test_memo;</v>
      </c>
      <c r="O10" s="76"/>
      <c r="P10" s="76"/>
      <c r="Q10" s="76"/>
      <c r="R10" s="76"/>
      <c r="S10" s="76"/>
      <c r="T10" s="76"/>
      <c r="AJ10" s="76" t="str">
        <f>"ALTER TABLE ONLY "&amp;エンティティ一覧!$O$2&amp;"."&amp;D$8</f>
        <v>ALTER TABLE ONLY milscm_2023_009.sny_202310_backup_text_mml_mmlrp_test_memo</v>
      </c>
      <c r="AS10" s="76" t="str">
        <f>"ALTER TABLE "&amp;エンティティ一覧!$O$2&amp;"."&amp;D$8&amp;" OWNER TO pgmisgrp1;"</f>
        <v>ALTER TABLE milscm_2023_009.sny_202310_backup_text_mml_mmlrp_test_memo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milscm_2023_009.sny_202310_backup_text_mml_mmlrp_test_memo</v>
      </c>
      <c r="O11" s="76"/>
      <c r="P11" s="76"/>
      <c r="Q11" s="76"/>
      <c r="R11" s="76"/>
      <c r="S11" s="76"/>
      <c r="T11" s="76"/>
      <c r="AJ11" s="76" t="str">
        <f>"ADD CONSTRAINT "&amp;D$8&amp;"_pkey PRIMARY KEY"</f>
        <v>ADD CONSTRAINT sny_202310_backup_text_mml_mmlrp_test_memo_pkey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6"/>
      <c r="O18" s="76"/>
      <c r="P18" s="76" t="str">
        <f t="shared" si="4"/>
        <v>,test_memo_no</v>
      </c>
      <c r="Q18" s="76" t="str">
        <f t="shared" si="0"/>
        <v>INTEGER</v>
      </c>
      <c r="R18" s="76" t="str">
        <f t="shared" si="1"/>
        <v/>
      </c>
      <c r="S18" s="76" t="str">
        <f t="shared" si="5"/>
        <v>NOT NULL</v>
      </c>
      <c r="T18" s="76" t="str">
        <f t="shared" si="6"/>
        <v>-- 検査コメントNo</v>
      </c>
      <c r="U18" s="4"/>
      <c r="AA18" s="4"/>
      <c r="AB18" s="4"/>
      <c r="AC18" s="4"/>
      <c r="AD18" s="4"/>
      <c r="AE18" s="4"/>
      <c r="AF18" s="4"/>
      <c r="AG18" s="4"/>
      <c r="AH18" s="4"/>
      <c r="AI18" s="4"/>
      <c r="AJ18" s="76" t="str">
        <f>IF(E18="○",IF(COUNTA(E$13:E18)=1,"",",")&amp;D18,"")</f>
        <v>,test_memo_no</v>
      </c>
      <c r="AK18" s="4"/>
      <c r="AL18" s="4"/>
      <c r="AM18" s="4"/>
      <c r="AN18" s="4"/>
      <c r="AO18" s="4"/>
      <c r="AP18" s="4"/>
      <c r="AQ18" s="4"/>
      <c r="AR18" s="4"/>
      <c r="AS18" s="76" t="str">
        <f>"COMMENT ON COLUMN "&amp;エンティティ一覧!$O$2&amp;"."&amp;D$8&amp;"."&amp;D18&amp;" IS '"&amp;C18&amp;"';"</f>
        <v>COMMENT ON COLUMN milscm_2023_009.sny_202310_backup_text_mml_mmlrp_test_memo.test_memo_no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6"/>
      <c r="O19" s="76"/>
      <c r="P19" s="76" t="str">
        <f t="shared" si="4"/>
        <v>,test_memo</v>
      </c>
      <c r="Q19" s="76" t="str">
        <f t="shared" si="0"/>
        <v>TEXT</v>
      </c>
      <c r="R19" s="76" t="str">
        <f t="shared" si="1"/>
        <v/>
      </c>
      <c r="S19" s="76" t="str">
        <f t="shared" si="5"/>
        <v/>
      </c>
      <c r="T19" s="76" t="str">
        <f t="shared" si="6"/>
        <v>-- 検査コメント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6"/>
      <c r="O20" s="76"/>
      <c r="P20" s="76" t="str">
        <f t="shared" si="4"/>
        <v>,tm_code_name</v>
      </c>
      <c r="Q20" s="76" t="str">
        <f t="shared" si="0"/>
        <v>TEXT</v>
      </c>
      <c r="R20" s="76" t="str">
        <f t="shared" si="1"/>
        <v/>
      </c>
      <c r="S20" s="76" t="str">
        <f t="shared" si="5"/>
        <v/>
      </c>
      <c r="T20" s="76" t="str">
        <f t="shared" si="6"/>
        <v>-- 検査コメント名称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6"/>
      <c r="O21" s="76"/>
      <c r="P21" s="76" t="str">
        <f t="shared" si="4"/>
        <v>,tm_code</v>
      </c>
      <c r="Q21" s="76" t="str">
        <f t="shared" si="0"/>
        <v>TEXT</v>
      </c>
      <c r="R21" s="76" t="str">
        <f t="shared" si="1"/>
        <v/>
      </c>
      <c r="S21" s="76" t="str">
        <f t="shared" si="5"/>
        <v/>
      </c>
      <c r="T21" s="76" t="str">
        <f t="shared" si="6"/>
        <v>-- 検査コメントコード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4"/>
      <c r="N22" s="76"/>
      <c r="O22" s="76"/>
      <c r="P22" s="76" t="str">
        <f t="shared" si="4"/>
        <v>,tm_code_id</v>
      </c>
      <c r="Q22" s="76" t="str">
        <f t="shared" si="0"/>
        <v>TEXT</v>
      </c>
      <c r="R22" s="76" t="str">
        <f t="shared" si="1"/>
        <v/>
      </c>
      <c r="S22" s="76" t="str">
        <f t="shared" si="5"/>
        <v/>
      </c>
      <c r="T22" s="76" t="str">
        <f t="shared" si="6"/>
        <v>-- 検査コメントコードID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milscm_2023_009.sny_202310_backup_text_mml_mmlrp_test_memo.tm_code_id IS '検査コメントコードID';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ENT_01_A6-52</v>
      </c>
      <c r="E6" s="234"/>
      <c r="F6" s="234"/>
      <c r="G6" s="234"/>
      <c r="H6" s="234"/>
      <c r="I6" s="234"/>
      <c r="J6" s="235"/>
    </row>
    <row r="7" spans="1:45">
      <c r="B7" s="223" t="s">
        <v>115</v>
      </c>
      <c r="C7" s="224"/>
      <c r="D7" s="225" t="s">
        <v>3220</v>
      </c>
      <c r="E7" s="226"/>
      <c r="F7" s="226"/>
      <c r="G7" s="226"/>
      <c r="H7" s="226"/>
      <c r="I7" s="226"/>
      <c r="J7" s="227"/>
    </row>
    <row r="8" spans="1:45">
      <c r="B8" s="223" t="s">
        <v>116</v>
      </c>
      <c r="C8" s="224"/>
      <c r="D8" s="225" t="str">
        <f>エンティティ一覧!AE2&amp;"_"&amp;D5&amp;"_text_mml_mmlls_body"</f>
        <v>sny_202310_backup_text_mml_mmlls_body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milscm_2023_009.sny_202310_backup_text_mml_mmlls_body;</v>
      </c>
      <c r="O10" s="76"/>
      <c r="P10" s="76"/>
      <c r="Q10" s="76"/>
      <c r="R10" s="76"/>
      <c r="S10" s="76"/>
      <c r="T10" s="76"/>
      <c r="AJ10" s="76" t="str">
        <f>"ALTER TABLE ONLY "&amp;エンティティ一覧!$O$2&amp;"."&amp;D$8</f>
        <v>ALTER TABLE ONLY milscm_2023_009.sny_202310_backup_text_mml_mmlls_body</v>
      </c>
      <c r="AS10" s="76" t="str">
        <f>"ALTER TABLE "&amp;エンティティ一覧!$O$2&amp;"."&amp;D$8&amp;" OWNER TO pgmisgrp1;"</f>
        <v>ALTER TABLE milscm_2023_009.sny_202310_backup_text_mml_mmlls_body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milscm_2023_009.sny_202310_backup_text_mml_mmlls_body</v>
      </c>
      <c r="O11" s="76"/>
      <c r="P11" s="76"/>
      <c r="Q11" s="76"/>
      <c r="R11" s="76"/>
      <c r="S11" s="76"/>
      <c r="T11" s="76"/>
      <c r="AJ11" s="76" t="str">
        <f>"ADD CONSTRAINT "&amp;D$8&amp;"_pkey PRIMARY KEY"</f>
        <v>ADD CONSTRAINT sny_202310_backup_text_mml_mmlls_body_pkey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milscm_2023_009.sny_202310_backup_text_mml_mmlls_body IS 'バックアップ_MML_生活習慣情報モジュール_本文';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milscm_2023_009.sny_202310_backup_text_mml_mmlls_body.zip_no IS 'ZipファイルNo';</v>
      </c>
    </row>
    <row r="14" spans="1:45" s="25" customFormat="1">
      <c r="A14" s="4"/>
      <c r="B14" s="21">
        <f t="shared" ref="B14:B20" si="2">ROW()-12</f>
        <v>2</v>
      </c>
      <c r="C14" s="6" t="s">
        <v>2787</v>
      </c>
      <c r="D14" s="6" t="s">
        <v>2788</v>
      </c>
      <c r="E14" s="8" t="s">
        <v>127</v>
      </c>
      <c r="F14" s="7" t="s">
        <v>3278</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milscm_2023_009.sny_202310_backup_text_mml_mmlls_body.file_no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milscm_2023_009.sny_202310_backup_text_mml_mmlls_body.body_no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milscm_2023_009.sny_202310_backup_text_mml_mmlls_body.facility_id_mml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milscm_2023_009.sny_202310_backup_text_mml_mmlls_body.master_id IS '患者ID';</v>
      </c>
    </row>
    <row r="18" spans="1:52" s="25" customFormat="1">
      <c r="A18" s="4"/>
      <c r="B18" s="21">
        <f t="shared" si="2"/>
        <v>6</v>
      </c>
      <c r="C18" s="6" t="s">
        <v>3014</v>
      </c>
      <c r="D18" s="6" t="s">
        <v>3015</v>
      </c>
      <c r="E18" s="8"/>
      <c r="F18" s="7" t="s">
        <v>3280</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milscm_2023_009.sny_202310_backup_text_mml_mmlls_body.occupation IS '職業';</v>
      </c>
    </row>
    <row r="19" spans="1:52" s="25" customFormat="1">
      <c r="A19" s="4"/>
      <c r="B19" s="21">
        <f t="shared" si="2"/>
        <v>7</v>
      </c>
      <c r="C19" s="6" t="s">
        <v>3286</v>
      </c>
      <c r="D19" s="6" t="s">
        <v>3281</v>
      </c>
      <c r="E19" s="8"/>
      <c r="F19" s="7" t="s">
        <v>3280</v>
      </c>
      <c r="G19" s="7" t="str">
        <f t="shared" si="3"/>
        <v>text</v>
      </c>
      <c r="H19" s="26"/>
      <c r="I19" s="10"/>
      <c r="J19" s="11"/>
      <c r="M19" s="4"/>
      <c r="N19" s="76"/>
      <c r="O19" s="76"/>
      <c r="P19" s="76" t="str">
        <f t="shared" si="4"/>
        <v>,tobacco</v>
      </c>
      <c r="Q19" s="76" t="str">
        <f t="shared" si="0"/>
        <v>TEXT</v>
      </c>
      <c r="R19" s="76" t="str">
        <f t="shared" si="1"/>
        <v/>
      </c>
      <c r="S19" s="76" t="str">
        <f t="shared" si="5"/>
        <v/>
      </c>
      <c r="T19" s="76" t="str">
        <f t="shared" si="6"/>
        <v>-- 喫煙歴</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milscm_2023_009.sny_202310_backup_text_mml_mmlls_body.tobacco IS '喫煙歴';</v>
      </c>
    </row>
    <row r="20" spans="1:52" s="25" customFormat="1">
      <c r="A20" s="4"/>
      <c r="B20" s="21">
        <f t="shared" si="2"/>
        <v>8</v>
      </c>
      <c r="C20" s="6" t="s">
        <v>3282</v>
      </c>
      <c r="D20" s="6" t="s">
        <v>3283</v>
      </c>
      <c r="E20" s="8"/>
      <c r="F20" s="7" t="s">
        <v>3280</v>
      </c>
      <c r="G20" s="7" t="str">
        <f t="shared" si="3"/>
        <v>text</v>
      </c>
      <c r="H20" s="26"/>
      <c r="I20" s="10"/>
      <c r="J20" s="11"/>
      <c r="M20" s="4"/>
      <c r="N20" s="76"/>
      <c r="O20" s="76"/>
      <c r="P20" s="76" t="str">
        <f t="shared" si="4"/>
        <v>,alcohol</v>
      </c>
      <c r="Q20" s="76" t="str">
        <f t="shared" si="0"/>
        <v>TEXT</v>
      </c>
      <c r="R20" s="76" t="str">
        <f t="shared" si="1"/>
        <v/>
      </c>
      <c r="S20" s="76" t="str">
        <f t="shared" si="5"/>
        <v/>
      </c>
      <c r="T20" s="76" t="str">
        <f t="shared" si="6"/>
        <v>-- 飲酒歴</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milscm_2023_009.sny_202310_backup_text_mml_mmlls_body.alcohol IS '飲酒歴';</v>
      </c>
    </row>
    <row r="21" spans="1:52" s="25" customFormat="1" ht="18" thickBot="1">
      <c r="A21" s="4"/>
      <c r="B21" s="27">
        <f>ROW()-12</f>
        <v>9</v>
      </c>
      <c r="C21" s="57" t="s">
        <v>3284</v>
      </c>
      <c r="D21" s="57" t="s">
        <v>3285</v>
      </c>
      <c r="E21" s="56"/>
      <c r="F21" s="56" t="s">
        <v>3280</v>
      </c>
      <c r="G21" s="56" t="str">
        <f t="shared" si="3"/>
        <v>text</v>
      </c>
      <c r="H21" s="59"/>
      <c r="I21" s="60"/>
      <c r="J21" s="64"/>
      <c r="N21" s="76"/>
      <c r="O21" s="76"/>
      <c r="P21" s="76" t="str">
        <f t="shared" si="4"/>
        <v>,other</v>
      </c>
      <c r="Q21" s="76" t="str">
        <f t="shared" si="0"/>
        <v>TEXT</v>
      </c>
      <c r="R21" s="76" t="str">
        <f t="shared" si="1"/>
        <v/>
      </c>
      <c r="S21" s="76" t="str">
        <f t="shared" si="5"/>
        <v/>
      </c>
      <c r="T21" s="76" t="str">
        <f t="shared" si="6"/>
        <v>-- その他の生活習慣</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milscm_2023_009.sny_202310_backup_text_mml_mmlls_body.other IS 'その他の生活習慣';</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ENT_01_A6-53</v>
      </c>
      <c r="E6" s="234"/>
      <c r="F6" s="234"/>
      <c r="G6" s="234"/>
      <c r="H6" s="234"/>
      <c r="I6" s="234"/>
      <c r="J6" s="235"/>
    </row>
    <row r="7" spans="1:45">
      <c r="B7" s="223" t="s">
        <v>115</v>
      </c>
      <c r="C7" s="224"/>
      <c r="D7" s="225" t="s">
        <v>3013</v>
      </c>
      <c r="E7" s="226"/>
      <c r="F7" s="226"/>
      <c r="G7" s="226"/>
      <c r="H7" s="226"/>
      <c r="I7" s="226"/>
      <c r="J7" s="227"/>
    </row>
    <row r="8" spans="1:45">
      <c r="B8" s="223" t="s">
        <v>116</v>
      </c>
      <c r="C8" s="224"/>
      <c r="D8" s="225" t="str">
        <f>エンティティ一覧!AE2&amp;"_"&amp;D5&amp;"_text_mml_mmlre_body"</f>
        <v>sny_202310_backup_text_mml_mmlre_body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milscm_2023_009.sny_202310_backup_text_mml_mmlre_body;</v>
      </c>
      <c r="O10" s="76"/>
      <c r="P10" s="76"/>
      <c r="Q10" s="76"/>
      <c r="R10" s="76"/>
      <c r="S10" s="76"/>
      <c r="T10" s="76"/>
      <c r="AJ10" s="76" t="str">
        <f>"ALTER TABLE ONLY "&amp;エンティティ一覧!$O$2&amp;"."&amp;D$8</f>
        <v>ALTER TABLE ONLY milscm_2023_009.sny_202310_backup_text_mml_mmlre_body</v>
      </c>
      <c r="AS10" s="76" t="str">
        <f>"ALTER TABLE "&amp;エンティティ一覧!$O$2&amp;"."&amp;D$8&amp;" OWNER TO pgmisgrp1;"</f>
        <v>ALTER TABLE milscm_2023_009.sny_202310_backup_text_mml_mmlre_body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milscm_2023_009.sny_202310_backup_text_mml_mmlre_body</v>
      </c>
      <c r="O11" s="76"/>
      <c r="P11" s="76"/>
      <c r="Q11" s="76"/>
      <c r="R11" s="76"/>
      <c r="S11" s="76"/>
      <c r="T11" s="76"/>
      <c r="AJ11" s="76" t="str">
        <f>"ADD CONSTRAINT "&amp;D$8&amp;"_pkey PRIMARY KEY"</f>
        <v>ADD CONSTRAINT sny_202310_backup_text_mml_mmlre_body_pkey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4" si="0">UPPER(G13)</f>
        <v>INTEGER</v>
      </c>
      <c r="R13" s="76" t="str">
        <f t="shared" ref="R13:R3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6"/>
      <c r="O14" s="76"/>
      <c r="P14" s="76" t="str">
        <f t="shared" ref="P14:P34" si="4">IF(B14&lt;&gt;1,","&amp;D14,D14)</f>
        <v>,file_no</v>
      </c>
      <c r="Q14" s="76" t="str">
        <f t="shared" si="0"/>
        <v>INTEGER</v>
      </c>
      <c r="R14" s="76" t="str">
        <f t="shared" si="1"/>
        <v/>
      </c>
      <c r="S14" s="76" t="str">
        <f t="shared" ref="S14:S34" si="5">IF(I14="○","NOT NULL","")</f>
        <v>NOT NULL</v>
      </c>
      <c r="T14" s="76" t="str">
        <f t="shared" ref="T14:T3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6"/>
      <c r="O18" s="76"/>
      <c r="P18" s="76" t="str">
        <f t="shared" si="4"/>
        <v>,occupation</v>
      </c>
      <c r="Q18" s="76" t="str">
        <f t="shared" si="0"/>
        <v>TEXT</v>
      </c>
      <c r="R18" s="76" t="str">
        <f t="shared" si="1"/>
        <v/>
      </c>
      <c r="S18" s="76" t="str">
        <f t="shared" si="5"/>
        <v/>
      </c>
      <c r="T18" s="76" t="str">
        <f t="shared" si="6"/>
        <v>-- 職業</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milscm_2023_009.sny_202310_backup_text_mml_mmlre_body.occupation IS '職業';</v>
      </c>
    </row>
    <row r="19" spans="1:45" s="25" customFormat="1">
      <c r="A19" s="4"/>
      <c r="B19" s="21">
        <f t="shared" si="2"/>
        <v>7</v>
      </c>
      <c r="C19" s="6" t="s">
        <v>3016</v>
      </c>
      <c r="D19" s="6" t="s">
        <v>3017</v>
      </c>
      <c r="E19" s="8"/>
      <c r="F19" s="7" t="s">
        <v>737</v>
      </c>
      <c r="G19" s="7" t="str">
        <f t="shared" si="3"/>
        <v>text</v>
      </c>
      <c r="H19" s="26"/>
      <c r="I19" s="10"/>
      <c r="J19" s="11"/>
      <c r="M19" s="4"/>
      <c r="N19" s="76"/>
      <c r="O19" s="76"/>
      <c r="P19" s="76" t="str">
        <f t="shared" si="4"/>
        <v>,refer_from_facility_name</v>
      </c>
      <c r="Q19" s="76" t="str">
        <f t="shared" si="0"/>
        <v>TEXT</v>
      </c>
      <c r="R19" s="76" t="str">
        <f t="shared" si="1"/>
        <v/>
      </c>
      <c r="S19" s="76" t="str">
        <f t="shared" si="5"/>
        <v/>
      </c>
      <c r="T19" s="76" t="str">
        <f t="shared" si="6"/>
        <v>-- 紹介元施設</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milscm_2023_009.sny_202310_backup_text_mml_mmlre_body.refer_from_facility_name IS '紹介元施設';</v>
      </c>
    </row>
    <row r="20" spans="1:45" s="25" customFormat="1">
      <c r="A20" s="4"/>
      <c r="B20" s="21">
        <f t="shared" si="2"/>
        <v>8</v>
      </c>
      <c r="C20" s="6" t="s">
        <v>3018</v>
      </c>
      <c r="D20" s="6" t="s">
        <v>2941</v>
      </c>
      <c r="E20" s="8"/>
      <c r="F20" s="7" t="s">
        <v>737</v>
      </c>
      <c r="G20" s="7" t="str">
        <f t="shared" si="3"/>
        <v>text</v>
      </c>
      <c r="H20" s="26"/>
      <c r="I20" s="10"/>
      <c r="J20" s="11"/>
      <c r="M20" s="4"/>
      <c r="N20" s="76"/>
      <c r="O20" s="76"/>
      <c r="P20" s="76" t="str">
        <f t="shared" si="4"/>
        <v>,title</v>
      </c>
      <c r="Q20" s="76" t="str">
        <f t="shared" si="0"/>
        <v>TEXT</v>
      </c>
      <c r="R20" s="76" t="str">
        <f t="shared" si="1"/>
        <v/>
      </c>
      <c r="S20" s="76" t="str">
        <f t="shared" si="5"/>
        <v/>
      </c>
      <c r="T20" s="76" t="str">
        <f t="shared" si="6"/>
        <v>-- タイトル</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milscm_2023_009.sny_202310_backup_text_mml_mmlre_body.title IS 'タイトル';</v>
      </c>
    </row>
    <row r="21" spans="1:45" s="25" customFormat="1">
      <c r="A21" s="4"/>
      <c r="B21" s="21">
        <f t="shared" si="2"/>
        <v>9</v>
      </c>
      <c r="C21" s="6" t="s">
        <v>3019</v>
      </c>
      <c r="D21" s="6" t="s">
        <v>3020</v>
      </c>
      <c r="E21" s="8"/>
      <c r="F21" s="7" t="s">
        <v>737</v>
      </c>
      <c r="G21" s="7" t="str">
        <f t="shared" ref="G21:G33" si="7">IF(F21="フラグ","boolean",IF(F21="文字列","text",IF(F21="整数","integer",IF(F21="実数","numeric",""))))</f>
        <v>text</v>
      </c>
      <c r="H21" s="26"/>
      <c r="I21" s="10"/>
      <c r="J21" s="11"/>
      <c r="M21" s="4"/>
      <c r="N21" s="76"/>
      <c r="O21" s="76"/>
      <c r="P21" s="76" t="str">
        <f t="shared" ref="P21:P33" si="8">IF(B21&lt;&gt;1,","&amp;D21,D21)</f>
        <v>,greeting</v>
      </c>
      <c r="Q21" s="76" t="str">
        <f t="shared" ref="Q21:Q33" si="9">UPPER(G21)</f>
        <v>TEXT</v>
      </c>
      <c r="R21" s="76" t="str">
        <f t="shared" ref="R21:R33" si="10">IF(H21&lt;&gt;"","default "&amp;IF(G21="text","'"&amp;H21&amp;"'",H21),"")</f>
        <v/>
      </c>
      <c r="S21" s="76" t="str">
        <f t="shared" ref="S21:S33" si="11">IF(I21="○","NOT NULL","")</f>
        <v/>
      </c>
      <c r="T21" s="76" t="str">
        <f t="shared" ref="T21:T33" si="12">"-- "&amp;C21</f>
        <v>-- 挨拶文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milscm_2023_009.sny_202310_backup_text_mml_mmlre_body.greeting IS '挨拶文';</v>
      </c>
    </row>
    <row r="22" spans="1:45" s="25" customFormat="1">
      <c r="A22" s="4"/>
      <c r="B22" s="21">
        <f t="shared" si="2"/>
        <v>10</v>
      </c>
      <c r="C22" s="6" t="s">
        <v>1449</v>
      </c>
      <c r="D22" s="6" t="s">
        <v>1450</v>
      </c>
      <c r="E22" s="8"/>
      <c r="F22" s="7" t="s">
        <v>737</v>
      </c>
      <c r="G22" s="7" t="str">
        <f t="shared" si="7"/>
        <v>text</v>
      </c>
      <c r="H22" s="26"/>
      <c r="I22" s="10"/>
      <c r="J22" s="11"/>
      <c r="M22" s="4"/>
      <c r="N22" s="76"/>
      <c r="O22" s="76"/>
      <c r="P22" s="76" t="str">
        <f t="shared" si="8"/>
        <v>,chief_complaints</v>
      </c>
      <c r="Q22" s="76" t="str">
        <f t="shared" si="9"/>
        <v>TEXT</v>
      </c>
      <c r="R22" s="76" t="str">
        <f t="shared" si="10"/>
        <v/>
      </c>
      <c r="S22" s="76" t="str">
        <f t="shared" si="11"/>
        <v/>
      </c>
      <c r="T22" s="76" t="str">
        <f t="shared" si="12"/>
        <v>-- 主訴</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milscm_2023_009.sny_202310_backup_text_mml_mmlre_body.chief_complaints IS '主訴';</v>
      </c>
    </row>
    <row r="23" spans="1:45" s="25" customFormat="1">
      <c r="A23" s="4"/>
      <c r="B23" s="21">
        <f t="shared" si="2"/>
        <v>11</v>
      </c>
      <c r="C23" s="6" t="s">
        <v>1325</v>
      </c>
      <c r="D23" s="6" t="s">
        <v>3021</v>
      </c>
      <c r="E23" s="8"/>
      <c r="F23" s="7" t="s">
        <v>737</v>
      </c>
      <c r="G23" s="7" t="str">
        <f t="shared" si="7"/>
        <v>text</v>
      </c>
      <c r="H23" s="26"/>
      <c r="I23" s="10"/>
      <c r="J23" s="11"/>
      <c r="M23" s="4"/>
      <c r="N23" s="76"/>
      <c r="O23" s="76"/>
      <c r="P23" s="76" t="str">
        <f t="shared" si="8"/>
        <v>,clinical_diagnosis</v>
      </c>
      <c r="Q23" s="76" t="str">
        <f t="shared" si="9"/>
        <v>TEXT</v>
      </c>
      <c r="R23" s="76" t="str">
        <f t="shared" si="10"/>
        <v/>
      </c>
      <c r="S23" s="76" t="str">
        <f t="shared" si="11"/>
        <v/>
      </c>
      <c r="T23" s="76" t="str">
        <f t="shared" si="12"/>
        <v>-- 病名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milscm_2023_009.sny_202310_backup_text_mml_mmlre_body.clinical_diagnosis IS '病名';</v>
      </c>
    </row>
    <row r="24" spans="1:45" s="25" customFormat="1">
      <c r="A24" s="4"/>
      <c r="B24" s="21">
        <f t="shared" si="2"/>
        <v>12</v>
      </c>
      <c r="C24" s="6" t="s">
        <v>3022</v>
      </c>
      <c r="D24" s="6" t="s">
        <v>3023</v>
      </c>
      <c r="E24" s="8"/>
      <c r="F24" s="7" t="s">
        <v>737</v>
      </c>
      <c r="G24" s="7" t="str">
        <f t="shared" si="7"/>
        <v>text</v>
      </c>
      <c r="H24" s="26"/>
      <c r="I24" s="10"/>
      <c r="J24" s="11"/>
      <c r="M24" s="4"/>
      <c r="N24" s="76"/>
      <c r="O24" s="76"/>
      <c r="P24" s="76" t="str">
        <f t="shared" si="8"/>
        <v>,past_history</v>
      </c>
      <c r="Q24" s="76" t="str">
        <f t="shared" si="9"/>
        <v>TEXT</v>
      </c>
      <c r="R24" s="76" t="str">
        <f t="shared" si="10"/>
        <v/>
      </c>
      <c r="S24" s="76" t="str">
        <f t="shared" si="11"/>
        <v/>
      </c>
      <c r="T24" s="76" t="str">
        <f t="shared" si="12"/>
        <v>-- 既往歴</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milscm_2023_009.sny_202310_backup_text_mml_mmlre_body.past_history IS '既往歴';</v>
      </c>
    </row>
    <row r="25" spans="1:45" s="25" customFormat="1">
      <c r="A25" s="4"/>
      <c r="B25" s="21">
        <f t="shared" si="2"/>
        <v>13</v>
      </c>
      <c r="C25" s="6" t="s">
        <v>3024</v>
      </c>
      <c r="D25" s="6" t="s">
        <v>3025</v>
      </c>
      <c r="E25" s="8"/>
      <c r="F25" s="7" t="s">
        <v>737</v>
      </c>
      <c r="G25" s="7" t="str">
        <f t="shared" si="7"/>
        <v>text</v>
      </c>
      <c r="H25" s="26"/>
      <c r="I25" s="10"/>
      <c r="J25" s="11"/>
      <c r="M25" s="4"/>
      <c r="N25" s="76"/>
      <c r="O25" s="76"/>
      <c r="P25" s="76" t="str">
        <f t="shared" si="8"/>
        <v>,family_history</v>
      </c>
      <c r="Q25" s="76" t="str">
        <f t="shared" si="9"/>
        <v>TEXT</v>
      </c>
      <c r="R25" s="76" t="str">
        <f t="shared" si="10"/>
        <v/>
      </c>
      <c r="S25" s="76" t="str">
        <f t="shared" si="11"/>
        <v/>
      </c>
      <c r="T25" s="76" t="str">
        <f t="shared" si="12"/>
        <v>-- 家族歴</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milscm_2023_009.sny_202310_backup_text_mml_mmlre_body.family_history IS '家族歴';</v>
      </c>
    </row>
    <row r="26" spans="1:45" s="25" customFormat="1">
      <c r="A26" s="4"/>
      <c r="B26" s="21">
        <f t="shared" si="2"/>
        <v>14</v>
      </c>
      <c r="C26" s="6" t="s">
        <v>3026</v>
      </c>
      <c r="D26" s="6" t="s">
        <v>3027</v>
      </c>
      <c r="E26" s="8"/>
      <c r="F26" s="7" t="s">
        <v>737</v>
      </c>
      <c r="G26" s="7" t="str">
        <f t="shared" si="7"/>
        <v>text</v>
      </c>
      <c r="H26" s="26"/>
      <c r="I26" s="10"/>
      <c r="J26" s="11"/>
      <c r="M26" s="4"/>
      <c r="N26" s="76"/>
      <c r="O26" s="76"/>
      <c r="P26" s="76" t="str">
        <f t="shared" si="8"/>
        <v>,present_illness</v>
      </c>
      <c r="Q26" s="76" t="str">
        <f t="shared" si="9"/>
        <v>TEXT</v>
      </c>
      <c r="R26" s="76" t="str">
        <f t="shared" si="10"/>
        <v/>
      </c>
      <c r="S26" s="76" t="str">
        <f t="shared" si="11"/>
        <v/>
      </c>
      <c r="T26" s="76" t="str">
        <f t="shared" si="12"/>
        <v>-- 症状経過</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milscm_2023_009.sny_202310_backup_text_mml_mmlre_body.present_illness IS '症状経過';</v>
      </c>
    </row>
    <row r="27" spans="1:45" s="25" customFormat="1">
      <c r="A27" s="4"/>
      <c r="B27" s="21">
        <f t="shared" si="2"/>
        <v>15</v>
      </c>
      <c r="C27" s="6" t="s">
        <v>3028</v>
      </c>
      <c r="D27" s="6" t="s">
        <v>3029</v>
      </c>
      <c r="E27" s="8"/>
      <c r="F27" s="7" t="s">
        <v>737</v>
      </c>
      <c r="G27" s="7" t="str">
        <f t="shared" si="7"/>
        <v>text</v>
      </c>
      <c r="H27" s="26"/>
      <c r="I27" s="10"/>
      <c r="J27" s="11"/>
      <c r="M27" s="4"/>
      <c r="N27" s="76"/>
      <c r="O27" s="76"/>
      <c r="P27" s="76" t="str">
        <f t="shared" si="8"/>
        <v>,test_results</v>
      </c>
      <c r="Q27" s="76" t="str">
        <f t="shared" si="9"/>
        <v>TEXT</v>
      </c>
      <c r="R27" s="76" t="str">
        <f t="shared" si="10"/>
        <v/>
      </c>
      <c r="S27" s="76" t="str">
        <f t="shared" si="11"/>
        <v/>
      </c>
      <c r="T27" s="76" t="str">
        <f t="shared" si="12"/>
        <v>-- 検査結果</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milscm_2023_009.sny_202310_backup_text_mml_mmlre_body.test_results IS '検査結果';</v>
      </c>
    </row>
    <row r="28" spans="1:45" s="25" customFormat="1">
      <c r="A28" s="4"/>
      <c r="B28" s="21">
        <f t="shared" si="2"/>
        <v>16</v>
      </c>
      <c r="C28" s="6" t="s">
        <v>3030</v>
      </c>
      <c r="D28" s="6" t="s">
        <v>3031</v>
      </c>
      <c r="E28" s="8"/>
      <c r="F28" s="7" t="s">
        <v>737</v>
      </c>
      <c r="G28" s="7" t="str">
        <f t="shared" si="7"/>
        <v>text</v>
      </c>
      <c r="H28" s="26"/>
      <c r="I28" s="10"/>
      <c r="J28" s="11"/>
      <c r="M28" s="4"/>
      <c r="N28" s="76"/>
      <c r="O28" s="76"/>
      <c r="P28" s="76" t="str">
        <f t="shared" si="8"/>
        <v>,medication</v>
      </c>
      <c r="Q28" s="76" t="str">
        <f t="shared" si="9"/>
        <v>TEXT</v>
      </c>
      <c r="R28" s="76" t="str">
        <f t="shared" si="10"/>
        <v/>
      </c>
      <c r="S28" s="76" t="str">
        <f t="shared" si="11"/>
        <v/>
      </c>
      <c r="T28" s="76" t="str">
        <f t="shared" si="12"/>
        <v>-- 現在の処方</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milscm_2023_009.sny_202310_backup_text_mml_mmlre_body.medication IS '現在の処方';</v>
      </c>
    </row>
    <row r="29" spans="1:45" s="25" customFormat="1">
      <c r="A29" s="4"/>
      <c r="B29" s="21">
        <f t="shared" si="2"/>
        <v>17</v>
      </c>
      <c r="C29" s="6" t="s">
        <v>3032</v>
      </c>
      <c r="D29" s="6" t="s">
        <v>3033</v>
      </c>
      <c r="E29" s="8"/>
      <c r="F29" s="7" t="s">
        <v>737</v>
      </c>
      <c r="G29" s="7" t="str">
        <f t="shared" si="7"/>
        <v>text</v>
      </c>
      <c r="H29" s="26"/>
      <c r="I29" s="10"/>
      <c r="J29" s="11"/>
      <c r="M29" s="4"/>
      <c r="N29" s="76"/>
      <c r="O29" s="76"/>
      <c r="P29" s="76" t="str">
        <f t="shared" si="8"/>
        <v>,refer_purpose</v>
      </c>
      <c r="Q29" s="76" t="str">
        <f t="shared" si="9"/>
        <v>TEXT</v>
      </c>
      <c r="R29" s="76" t="str">
        <f t="shared" si="10"/>
        <v/>
      </c>
      <c r="S29" s="76" t="str">
        <f t="shared" si="11"/>
        <v/>
      </c>
      <c r="T29" s="76" t="str">
        <f t="shared" si="12"/>
        <v>-- 紹介目的</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milscm_2023_009.sny_202310_backup_text_mml_mmlre_body.refer_purpose IS '紹介目的';</v>
      </c>
    </row>
    <row r="30" spans="1:45" s="25" customFormat="1">
      <c r="A30" s="4"/>
      <c r="B30" s="21">
        <f t="shared" si="2"/>
        <v>18</v>
      </c>
      <c r="C30" s="6" t="s">
        <v>2048</v>
      </c>
      <c r="D30" s="6" t="s">
        <v>3034</v>
      </c>
      <c r="E30" s="8"/>
      <c r="F30" s="7" t="s">
        <v>737</v>
      </c>
      <c r="G30" s="7" t="str">
        <f t="shared" si="7"/>
        <v>text</v>
      </c>
      <c r="H30" s="26"/>
      <c r="I30" s="10"/>
      <c r="J30" s="11"/>
      <c r="M30" s="4"/>
      <c r="N30" s="76"/>
      <c r="O30" s="76"/>
      <c r="P30" s="76" t="str">
        <f t="shared" si="8"/>
        <v>,remarks</v>
      </c>
      <c r="Q30" s="76" t="str">
        <f t="shared" si="9"/>
        <v>TEXT</v>
      </c>
      <c r="R30" s="76" t="str">
        <f t="shared" si="10"/>
        <v/>
      </c>
      <c r="S30" s="76" t="str">
        <f t="shared" si="11"/>
        <v/>
      </c>
      <c r="T30" s="76" t="str">
        <f t="shared" si="12"/>
        <v>-- 備考</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milscm_2023_009.sny_202310_backup_text_mml_mmlre_body.remarks IS '備考';</v>
      </c>
    </row>
    <row r="31" spans="1:45" s="25" customFormat="1">
      <c r="A31" s="4"/>
      <c r="B31" s="21">
        <f t="shared" si="2"/>
        <v>19</v>
      </c>
      <c r="C31" s="6" t="s">
        <v>1511</v>
      </c>
      <c r="D31" s="6" t="s">
        <v>3035</v>
      </c>
      <c r="E31" s="8"/>
      <c r="F31" s="7" t="s">
        <v>737</v>
      </c>
      <c r="G31" s="7" t="str">
        <f t="shared" si="7"/>
        <v>text</v>
      </c>
      <c r="H31" s="26"/>
      <c r="I31" s="10"/>
      <c r="J31" s="11"/>
      <c r="M31" s="4"/>
      <c r="N31" s="76"/>
      <c r="O31" s="76"/>
      <c r="P31" s="76" t="str">
        <f t="shared" si="8"/>
        <v>,refer_to_facility_name</v>
      </c>
      <c r="Q31" s="76" t="str">
        <f t="shared" si="9"/>
        <v>TEXT</v>
      </c>
      <c r="R31" s="76" t="str">
        <f t="shared" si="10"/>
        <v/>
      </c>
      <c r="S31" s="76" t="str">
        <f t="shared" si="11"/>
        <v/>
      </c>
      <c r="T31" s="76" t="str">
        <f t="shared" si="12"/>
        <v>-- 紹介先施設</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milscm_2023_009.sny_202310_backup_text_mml_mmlre_body.refer_to_facility_name IS '紹介先施設';</v>
      </c>
    </row>
    <row r="32" spans="1:45" s="25" customFormat="1" ht="30">
      <c r="A32" s="4"/>
      <c r="B32" s="21">
        <f t="shared" si="2"/>
        <v>20</v>
      </c>
      <c r="C32" s="6" t="s">
        <v>3036</v>
      </c>
      <c r="D32" s="6" t="s">
        <v>3037</v>
      </c>
      <c r="E32" s="8"/>
      <c r="F32" s="7" t="s">
        <v>737</v>
      </c>
      <c r="G32" s="7" t="str">
        <f t="shared" si="7"/>
        <v>text</v>
      </c>
      <c r="H32" s="26"/>
      <c r="I32" s="10"/>
      <c r="J32" s="11"/>
      <c r="M32" s="4"/>
      <c r="N32" s="76"/>
      <c r="O32" s="76"/>
      <c r="P32" s="76" t="str">
        <f t="shared" si="8"/>
        <v>,refer_to_facility_name_department_name</v>
      </c>
      <c r="Q32" s="76" t="str">
        <f t="shared" si="9"/>
        <v>TEXT</v>
      </c>
      <c r="R32" s="76" t="str">
        <f t="shared" si="10"/>
        <v/>
      </c>
      <c r="S32" s="76" t="str">
        <f t="shared" si="11"/>
        <v/>
      </c>
      <c r="T32" s="76" t="str">
        <f t="shared" si="12"/>
        <v>-- 診療科名称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milscm_2023_009.sny_202310_backup_text_mml_mmlre_body.refer_to_facility_name_department_name IS '診療科名称';</v>
      </c>
    </row>
    <row r="33" spans="1:52" s="25" customFormat="1" ht="30">
      <c r="A33" s="4"/>
      <c r="B33" s="21">
        <f t="shared" si="2"/>
        <v>21</v>
      </c>
      <c r="C33" s="6" t="s">
        <v>3038</v>
      </c>
      <c r="D33" s="6" t="s">
        <v>3039</v>
      </c>
      <c r="E33" s="8"/>
      <c r="F33" s="7" t="s">
        <v>737</v>
      </c>
      <c r="G33" s="7" t="str">
        <f t="shared" si="7"/>
        <v>text</v>
      </c>
      <c r="H33" s="26"/>
      <c r="I33" s="10"/>
      <c r="J33" s="11"/>
      <c r="M33" s="4"/>
      <c r="N33" s="76"/>
      <c r="O33" s="76"/>
      <c r="P33" s="76" t="str">
        <f t="shared" si="8"/>
        <v>,refer_to_person_facility_name</v>
      </c>
      <c r="Q33" s="76" t="str">
        <f t="shared" si="9"/>
        <v>TEXT</v>
      </c>
      <c r="R33" s="76" t="str">
        <f t="shared" si="10"/>
        <v/>
      </c>
      <c r="S33" s="76" t="str">
        <f t="shared" si="11"/>
        <v/>
      </c>
      <c r="T33" s="76" t="str">
        <f t="shared" si="12"/>
        <v>-- 紹介先医師名の施設</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milscm_2023_009.sny_202310_backup_text_mml_mmlre_body.refer_to_person_facility_name IS '紹介先医師名の施設';</v>
      </c>
    </row>
    <row r="34" spans="1:52" s="25" customFormat="1" ht="18" thickBot="1">
      <c r="A34" s="4"/>
      <c r="B34" s="27">
        <f>ROW()-12</f>
        <v>22</v>
      </c>
      <c r="C34" s="57" t="s">
        <v>3040</v>
      </c>
      <c r="D34" s="57" t="s">
        <v>3041</v>
      </c>
      <c r="E34" s="56"/>
      <c r="F34" s="56" t="s">
        <v>737</v>
      </c>
      <c r="G34" s="56" t="str">
        <f t="shared" si="3"/>
        <v>text</v>
      </c>
      <c r="H34" s="59"/>
      <c r="I34" s="60"/>
      <c r="J34" s="64"/>
      <c r="N34" s="76"/>
      <c r="O34" s="76"/>
      <c r="P34" s="76" t="str">
        <f t="shared" si="4"/>
        <v>,refer_to_unknown_name</v>
      </c>
      <c r="Q34" s="76" t="str">
        <f t="shared" si="0"/>
        <v>TEXT</v>
      </c>
      <c r="R34" s="76" t="str">
        <f t="shared" si="1"/>
        <v/>
      </c>
      <c r="S34" s="76" t="str">
        <f t="shared" si="5"/>
        <v/>
      </c>
      <c r="T34" s="76" t="str">
        <f t="shared" si="6"/>
        <v>-- 医師名を指定しない相手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milscm_2023_009.sny_202310_backup_text_mml_mmlre_body.refer_to_unknown_name IS '医師名を指定しない相手';</v>
      </c>
    </row>
    <row r="35" spans="1:52">
      <c r="L35" s="25"/>
      <c r="M35" s="25"/>
      <c r="N35" s="76" t="s">
        <v>142</v>
      </c>
      <c r="O35" s="76"/>
      <c r="P35" s="76"/>
      <c r="Q35" s="76"/>
      <c r="R35" s="76"/>
      <c r="S35" s="76"/>
      <c r="T35" s="76"/>
      <c r="V35" s="25"/>
      <c r="W35" s="25"/>
      <c r="X35" s="25"/>
      <c r="Y35" s="25"/>
      <c r="Z35" s="25"/>
      <c r="AJ35" s="76"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ENT_01_A6-54</v>
      </c>
      <c r="E6" s="234"/>
      <c r="F6" s="234"/>
      <c r="G6" s="234"/>
      <c r="H6" s="234"/>
      <c r="I6" s="234"/>
      <c r="J6" s="235"/>
    </row>
    <row r="7" spans="1:45">
      <c r="B7" s="223" t="s">
        <v>115</v>
      </c>
      <c r="C7" s="224"/>
      <c r="D7" s="225" t="s">
        <v>3042</v>
      </c>
      <c r="E7" s="226"/>
      <c r="F7" s="226"/>
      <c r="G7" s="226"/>
      <c r="H7" s="226"/>
      <c r="I7" s="226"/>
      <c r="J7" s="227"/>
    </row>
    <row r="8" spans="1:45">
      <c r="B8" s="223" t="s">
        <v>116</v>
      </c>
      <c r="C8" s="224"/>
      <c r="D8" s="225" t="str">
        <f>エンティティ一覧!AE2&amp;"_"&amp;D5&amp;"_text_mml_mmlre_inj"</f>
        <v>sny_202310_backup_text_mml_mmlre_inj</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milscm_2023_009.sny_202310_backup_text_mml_mmlre_inj;</v>
      </c>
      <c r="O10" s="76"/>
      <c r="P10" s="76"/>
      <c r="Q10" s="76"/>
      <c r="R10" s="76"/>
      <c r="S10" s="76"/>
      <c r="T10" s="76"/>
      <c r="AJ10" s="76" t="str">
        <f>"ALTER TABLE ONLY "&amp;エンティティ一覧!$O$2&amp;"."&amp;D$8</f>
        <v>ALTER TABLE ONLY milscm_2023_009.sny_202310_backup_text_mml_mmlre_inj</v>
      </c>
      <c r="AS10" s="76" t="str">
        <f>"ALTER TABLE "&amp;エンティティ一覧!$O$2&amp;"."&amp;D$8&amp;" OWNER TO pgmisgrp1;"</f>
        <v>ALTER TABLE milscm_2023_009.sny_202310_backup_text_mml_mmlre_inj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v>
      </c>
      <c r="O11" s="76"/>
      <c r="P11" s="76"/>
      <c r="Q11" s="76"/>
      <c r="R11" s="76"/>
      <c r="S11" s="76"/>
      <c r="T11" s="76"/>
      <c r="AJ11" s="76" t="str">
        <f>"ADD CONSTRAINT "&amp;D$8&amp;"_pkey PRIMARY KEY"</f>
        <v>ADD CONSTRAINT sny_202310_backup_text_mml_mmlre_inj_pkey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19" si="0">UPPER(G13)</f>
        <v>INTEGER</v>
      </c>
      <c r="R13" s="76" t="str">
        <f t="shared" ref="R13:R1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6"/>
      <c r="O14" s="76"/>
      <c r="P14" s="76" t="str">
        <f t="shared" ref="P14:P19" si="4">IF(B14&lt;&gt;1,","&amp;D14,D14)</f>
        <v>,file_no</v>
      </c>
      <c r="Q14" s="76" t="str">
        <f t="shared" si="0"/>
        <v>INTEGER</v>
      </c>
      <c r="R14" s="76" t="str">
        <f t="shared" si="1"/>
        <v/>
      </c>
      <c r="S14" s="76" t="str">
        <f t="shared" ref="S14:S19" si="5">IF(I14="○","NOT NULL","")</f>
        <v>NOT NULL</v>
      </c>
      <c r="T14" s="76" t="str">
        <f t="shared" ref="T14:T1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6"/>
      <c r="O18" s="76"/>
      <c r="P18" s="76" t="str">
        <f t="shared" si="4"/>
        <v>,narcotic_prescription_license_no</v>
      </c>
      <c r="Q18" s="76" t="str">
        <f t="shared" si="0"/>
        <v>TEXT</v>
      </c>
      <c r="R18" s="76" t="str">
        <f t="shared" si="1"/>
        <v/>
      </c>
      <c r="S18" s="76" t="str">
        <f t="shared" si="5"/>
        <v/>
      </c>
      <c r="T18" s="76" t="str">
        <f t="shared" si="6"/>
        <v>-- 麻薬施用者番号</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4"/>
      <c r="N19" s="76"/>
      <c r="O19" s="76"/>
      <c r="P19" s="76" t="str">
        <f t="shared" si="4"/>
        <v>,comment</v>
      </c>
      <c r="Q19" s="76" t="str">
        <f t="shared" si="0"/>
        <v>TEXT</v>
      </c>
      <c r="R19" s="76" t="str">
        <f t="shared" si="1"/>
        <v/>
      </c>
      <c r="S19" s="76" t="str">
        <f t="shared" si="5"/>
        <v/>
      </c>
      <c r="T19" s="76" t="str">
        <f t="shared" si="6"/>
        <v>-- 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milscm_2023_009.sny_202310_backup_text_mml_mmlre_inj.comment IS 'コメント';</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ENT_01_A6-55</v>
      </c>
      <c r="E6" s="234"/>
      <c r="F6" s="234"/>
      <c r="G6" s="234"/>
      <c r="H6" s="234"/>
      <c r="I6" s="234"/>
      <c r="J6" s="235"/>
    </row>
    <row r="7" spans="1:45">
      <c r="B7" s="223" t="s">
        <v>115</v>
      </c>
      <c r="C7" s="224"/>
      <c r="D7" s="225" t="s">
        <v>3043</v>
      </c>
      <c r="E7" s="226"/>
      <c r="F7" s="226"/>
      <c r="G7" s="226"/>
      <c r="H7" s="226"/>
      <c r="I7" s="226"/>
      <c r="J7" s="227"/>
    </row>
    <row r="8" spans="1:45">
      <c r="B8" s="223" t="s">
        <v>116</v>
      </c>
      <c r="C8" s="224"/>
      <c r="D8" s="225" t="str">
        <f>エンティティ一覧!AE2&amp;"_"&amp;D5&amp;"_text_mml_mmlre_inj_medication"</f>
        <v>sny_202310_backup_text_mml_mmlre_inj_medication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milscm_2023_009.sny_202310_backup_text_mml_mmlre_inj_medication;</v>
      </c>
      <c r="O10" s="76"/>
      <c r="P10" s="76"/>
      <c r="Q10" s="76"/>
      <c r="R10" s="76"/>
      <c r="S10" s="76"/>
      <c r="T10" s="76"/>
      <c r="AJ10" s="76" t="str">
        <f>"ALTER TABLE ONLY "&amp;エンティティ一覧!$O$2&amp;"."&amp;D$8</f>
        <v>ALTER TABLE ONLY milscm_2023_009.sny_202310_backup_text_mml_mmlre_inj_medication</v>
      </c>
      <c r="AS10" s="76" t="str">
        <f>"ALTER TABLE "&amp;エンティティ一覧!$O$2&amp;"."&amp;D$8&amp;" OWNER TO pgmisgrp1;"</f>
        <v>ALTER TABLE milscm_2023_009.sny_202310_backup_text_mml_mmlre_inj_medication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milscm_2023_009.sny_202310_backup_text_mml_mmlre_inj_medication</v>
      </c>
      <c r="O11" s="76"/>
      <c r="P11" s="76"/>
      <c r="Q11" s="76"/>
      <c r="R11" s="76"/>
      <c r="S11" s="76"/>
      <c r="T11" s="76"/>
      <c r="AJ11" s="76" t="str">
        <f>"ADD CONSTRAINT "&amp;D$8&amp;"_pkey PRIMARY KEY"</f>
        <v>ADD CONSTRAINT sny_202310_backup_text_mml_mmlre_inj_medication_pkey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6"/>
      <c r="O18" s="76"/>
      <c r="P18" s="76" t="str">
        <f t="shared" ref="P18:P27" si="8">IF(B18&lt;&gt;1,","&amp;D18,D18)</f>
        <v>,medication_no</v>
      </c>
      <c r="Q18" s="76" t="str">
        <f t="shared" ref="Q18:Q27" si="9">UPPER(G18)</f>
        <v>INTEGER</v>
      </c>
      <c r="R18" s="76" t="str">
        <f t="shared" ref="R18:R27" si="10">IF(H18&lt;&gt;"","default "&amp;IF(G18="text","'"&amp;H18&amp;"'",H18),"")</f>
        <v/>
      </c>
      <c r="S18" s="76" t="str">
        <f t="shared" ref="S18:S27" si="11">IF(I18="○","NOT NULL","")</f>
        <v>NOT NULL</v>
      </c>
      <c r="T18" s="76" t="str">
        <f t="shared" ref="T18:T27" si="12">"-- "&amp;C18</f>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6"/>
      <c r="O19" s="76"/>
      <c r="P19" s="76" t="str">
        <f t="shared" si="8"/>
        <v>,medicine_name</v>
      </c>
      <c r="Q19" s="76" t="str">
        <f t="shared" si="9"/>
        <v>TEXT</v>
      </c>
      <c r="R19" s="76" t="str">
        <f t="shared" si="10"/>
        <v/>
      </c>
      <c r="S19" s="76" t="str">
        <f t="shared" si="11"/>
        <v/>
      </c>
      <c r="T19" s="76" t="str">
        <f t="shared" si="12"/>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6"/>
      <c r="O22" s="76"/>
      <c r="P22" s="76" t="str">
        <f t="shared" si="8"/>
        <v>,start_date_time</v>
      </c>
      <c r="Q22" s="76" t="str">
        <f t="shared" si="9"/>
        <v>TEXT</v>
      </c>
      <c r="R22" s="76" t="str">
        <f t="shared" si="10"/>
        <v/>
      </c>
      <c r="S22" s="76" t="str">
        <f t="shared" si="11"/>
        <v/>
      </c>
      <c r="T22" s="76" t="str">
        <f t="shared" si="12"/>
        <v>-- 投与開始日時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6"/>
      <c r="O23" s="76"/>
      <c r="P23" s="76" t="str">
        <f t="shared" si="8"/>
        <v>,end_date_time</v>
      </c>
      <c r="Q23" s="76" t="str">
        <f t="shared" si="9"/>
        <v>TEXT</v>
      </c>
      <c r="R23" s="76" t="str">
        <f t="shared" si="10"/>
        <v/>
      </c>
      <c r="S23" s="76" t="str">
        <f t="shared" si="11"/>
        <v/>
      </c>
      <c r="T23" s="76" t="str">
        <f t="shared" si="12"/>
        <v>-- 投与終了日時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6"/>
      <c r="O24" s="76"/>
      <c r="P24" s="76" t="str">
        <f t="shared" si="8"/>
        <v>,instruction</v>
      </c>
      <c r="Q24" s="76" t="str">
        <f t="shared" si="9"/>
        <v>TEXT</v>
      </c>
      <c r="R24" s="76" t="str">
        <f t="shared" si="10"/>
        <v/>
      </c>
      <c r="S24" s="76" t="str">
        <f t="shared" si="11"/>
        <v/>
      </c>
      <c r="T24" s="76" t="str">
        <f t="shared" si="12"/>
        <v>-- 用法指示</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6"/>
      <c r="O25" s="76"/>
      <c r="P25" s="76" t="str">
        <f t="shared" si="8"/>
        <v>,route</v>
      </c>
      <c r="Q25" s="76" t="str">
        <f t="shared" si="9"/>
        <v>TEXT</v>
      </c>
      <c r="R25" s="76" t="str">
        <f t="shared" si="10"/>
        <v/>
      </c>
      <c r="S25" s="76" t="str">
        <f t="shared" si="11"/>
        <v/>
      </c>
      <c r="T25" s="76" t="str">
        <f t="shared" si="12"/>
        <v>-- 投与経路</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6"/>
      <c r="O26" s="76"/>
      <c r="P26" s="76" t="str">
        <f t="shared" si="8"/>
        <v>,site</v>
      </c>
      <c r="Q26" s="76" t="str">
        <f t="shared" si="9"/>
        <v>TEXT</v>
      </c>
      <c r="R26" s="76" t="str">
        <f t="shared" si="10"/>
        <v/>
      </c>
      <c r="S26" s="76" t="str">
        <f t="shared" si="11"/>
        <v/>
      </c>
      <c r="T26" s="76" t="str">
        <f t="shared" si="12"/>
        <v>-- 投与部位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6"/>
      <c r="O27" s="76"/>
      <c r="P27" s="76" t="str">
        <f t="shared" si="8"/>
        <v>,delivery_method</v>
      </c>
      <c r="Q27" s="76" t="str">
        <f t="shared" si="9"/>
        <v>TEXT</v>
      </c>
      <c r="R27" s="76" t="str">
        <f t="shared" si="10"/>
        <v/>
      </c>
      <c r="S27" s="76" t="str">
        <f t="shared" si="11"/>
        <v/>
      </c>
      <c r="T27" s="76" t="str">
        <f t="shared" si="12"/>
        <v>-- 注射方法</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6"/>
      <c r="O28" s="76"/>
      <c r="P28" s="76" t="str">
        <f t="shared" si="4"/>
        <v>,batch_no</v>
      </c>
      <c r="Q28" s="76" t="str">
        <f t="shared" si="0"/>
        <v>TEXT</v>
      </c>
      <c r="R28" s="76" t="str">
        <f t="shared" si="1"/>
        <v/>
      </c>
      <c r="S28" s="76" t="str">
        <f t="shared" si="5"/>
        <v/>
      </c>
      <c r="T28" s="76" t="str">
        <f t="shared" si="6"/>
        <v>-- 処方番号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4"/>
      <c r="N29" s="76"/>
      <c r="O29" s="76"/>
      <c r="P29" s="76" t="str">
        <f t="shared" si="4"/>
        <v>,additional_instruction</v>
      </c>
      <c r="Q29" s="76" t="str">
        <f t="shared" si="0"/>
        <v>TEXT</v>
      </c>
      <c r="R29" s="76" t="str">
        <f t="shared" si="1"/>
        <v/>
      </c>
      <c r="S29" s="76" t="str">
        <f t="shared" si="5"/>
        <v/>
      </c>
      <c r="T29" s="76" t="str">
        <f t="shared" si="6"/>
        <v>-- 追加指示，コメント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milscm_2023_009.sny_202310_backup_text_mml_mmlre_inj_medication.additional_instruction IS '追加指示，コメント';</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ENT_01_A6-56</v>
      </c>
      <c r="E6" s="234"/>
      <c r="F6" s="234"/>
      <c r="G6" s="234"/>
      <c r="H6" s="234"/>
      <c r="I6" s="234"/>
      <c r="J6" s="235"/>
    </row>
    <row r="7" spans="1:45">
      <c r="B7" s="223" t="s">
        <v>115</v>
      </c>
      <c r="C7" s="224"/>
      <c r="D7" s="225" t="s">
        <v>3046</v>
      </c>
      <c r="E7" s="226"/>
      <c r="F7" s="226"/>
      <c r="G7" s="226"/>
      <c r="H7" s="226"/>
      <c r="I7" s="226"/>
      <c r="J7" s="227"/>
    </row>
    <row r="8" spans="1:45">
      <c r="B8" s="223" t="s">
        <v>116</v>
      </c>
      <c r="C8" s="224"/>
      <c r="D8" s="225" t="str">
        <f>エンティティ一覧!AE2&amp;"_"&amp;D5&amp;"_text_mml_mmlre_inj_medicine"</f>
        <v>sny_202310_backup_text_mml_mmlre_inj_medicine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milscm_2023_009.sny_202310_backup_text_mml_mmlre_inj_medicine;</v>
      </c>
      <c r="O10" s="76"/>
      <c r="P10" s="76"/>
      <c r="Q10" s="76"/>
      <c r="R10" s="76"/>
      <c r="S10" s="76"/>
      <c r="T10" s="76"/>
      <c r="AJ10" s="76" t="str">
        <f>"ALTER TABLE ONLY "&amp;エンティティ一覧!$O$2&amp;"."&amp;D$8</f>
        <v>ALTER TABLE ONLY milscm_2023_009.sny_202310_backup_text_mml_mmlre_inj_medicine</v>
      </c>
      <c r="AS10" s="76" t="str">
        <f>"ALTER TABLE "&amp;エンティティ一覧!$O$2&amp;"."&amp;D$8&amp;" OWNER TO pgmisgrp1;"</f>
        <v>ALTER TABLE milscm_2023_009.sny_202310_backup_text_mml_mmlre_inj_medicine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milscm_2023_009.sny_202310_backup_text_mml_mmlre_inj_medicine</v>
      </c>
      <c r="O11" s="76"/>
      <c r="P11" s="76"/>
      <c r="Q11" s="76"/>
      <c r="R11" s="76"/>
      <c r="S11" s="76"/>
      <c r="T11" s="76"/>
      <c r="AJ11" s="76" t="str">
        <f>"ADD CONSTRAINT "&amp;D$8&amp;"_pkey PRIMARY KEY"</f>
        <v>ADD CONSTRAINT sny_202310_backup_text_mml_mmlre_inj_medicine_pkey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milscm_2023_009.sny_202310_backup_text_mml_mmlre_inj_medicine.medicine_no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milscm_2023_009.sny_202310_backup_text_mml_mmlre_inj_medicine.system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ENT_01_A6-57</v>
      </c>
      <c r="E6" s="234"/>
      <c r="F6" s="234"/>
      <c r="G6" s="234"/>
      <c r="H6" s="234"/>
      <c r="I6" s="234"/>
      <c r="J6" s="235"/>
    </row>
    <row r="7" spans="1:45">
      <c r="B7" s="223" t="s">
        <v>115</v>
      </c>
      <c r="C7" s="224"/>
      <c r="D7" s="225" t="s">
        <v>3047</v>
      </c>
      <c r="E7" s="226"/>
      <c r="F7" s="226"/>
      <c r="G7" s="226"/>
      <c r="H7" s="226"/>
      <c r="I7" s="226"/>
      <c r="J7" s="227"/>
    </row>
    <row r="8" spans="1:45">
      <c r="B8" s="223" t="s">
        <v>116</v>
      </c>
      <c r="C8" s="224"/>
      <c r="D8" s="225" t="str">
        <f>エンティティ一覧!AE2&amp;"_"&amp;D5&amp;"_text_mml_mmlre_pi"</f>
        <v>sny_202310_backup_text_mml_mmlre_pi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milscm_2023_009.sny_202310_backup_text_mml_mmlre_pi;</v>
      </c>
      <c r="O10" s="76"/>
      <c r="P10" s="76"/>
      <c r="Q10" s="76"/>
      <c r="R10" s="76"/>
      <c r="S10" s="76"/>
      <c r="T10" s="76"/>
      <c r="AJ10" s="76" t="str">
        <f>"ALTER TABLE ONLY "&amp;エンティティ一覧!$O$2&amp;"."&amp;D$8</f>
        <v>ALTER TABLE ONLY milscm_2023_009.sny_202310_backup_text_mml_mmlre_pi</v>
      </c>
      <c r="AS10" s="76" t="str">
        <f>"ALTER TABLE "&amp;エンティティ一覧!$O$2&amp;"."&amp;D$8&amp;" OWNER TO pgmisgrp1;"</f>
        <v>ALTER TABLE milscm_2023_009.sny_202310_backup_text_mml_mmlre_pi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milscm_2023_009.sny_202310_backup_text_mml_mmlre_pi</v>
      </c>
      <c r="O11" s="76"/>
      <c r="P11" s="76"/>
      <c r="Q11" s="76"/>
      <c r="R11" s="76"/>
      <c r="S11" s="76"/>
      <c r="T11" s="76"/>
      <c r="AJ11" s="76" t="str">
        <f>"ADD CONSTRAINT "&amp;D$8&amp;"_pkey PRIMARY KEY"</f>
        <v>ADD CONSTRAINT sny_202310_backup_text_mml_mmlre_pi_pkey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9" si="0">UPPER(G13)</f>
        <v>INTEGER</v>
      </c>
      <c r="R13" s="76" t="str">
        <f t="shared" ref="R13:R29"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6"/>
      <c r="O14" s="76"/>
      <c r="P14" s="76" t="str">
        <f t="shared" ref="P14:P29" si="4">IF(B14&lt;&gt;1,","&amp;D14,D14)</f>
        <v>,file_no</v>
      </c>
      <c r="Q14" s="76" t="str">
        <f t="shared" si="0"/>
        <v>INTEGER</v>
      </c>
      <c r="R14" s="76" t="str">
        <f t="shared" si="1"/>
        <v/>
      </c>
      <c r="S14" s="76" t="str">
        <f t="shared" ref="S14:S29" si="5">IF(I14="○","NOT NULL","")</f>
        <v>NOT NULL</v>
      </c>
      <c r="T14" s="76" t="str">
        <f t="shared" ref="T14:T29"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milscm_2023_009.sny_202310_backup_text_mml_mmlre_pi.master_id IS '患者ID';</v>
      </c>
    </row>
    <row r="18" spans="1:52" s="25" customFormat="1">
      <c r="A18" s="4"/>
      <c r="B18" s="21">
        <f t="shared" si="2"/>
        <v>6</v>
      </c>
      <c r="C18" s="6" t="s">
        <v>567</v>
      </c>
      <c r="D18" s="6" t="s">
        <v>322</v>
      </c>
      <c r="E18" s="8"/>
      <c r="F18" s="7" t="s">
        <v>1825</v>
      </c>
      <c r="G18" s="7" t="str">
        <f t="shared" si="3"/>
        <v>text</v>
      </c>
      <c r="H18" s="26"/>
      <c r="I18" s="10"/>
      <c r="J18" s="11" t="s">
        <v>2855</v>
      </c>
      <c r="M18" s="4"/>
      <c r="N18" s="76"/>
      <c r="O18" s="76"/>
      <c r="P18" s="76" t="str">
        <f t="shared" si="4"/>
        <v>,birthday</v>
      </c>
      <c r="Q18" s="76" t="str">
        <f t="shared" si="0"/>
        <v>TEXT</v>
      </c>
      <c r="R18" s="76" t="str">
        <f t="shared" si="1"/>
        <v/>
      </c>
      <c r="S18" s="76" t="str">
        <f t="shared" si="5"/>
        <v/>
      </c>
      <c r="T18" s="76" t="str">
        <f t="shared" si="6"/>
        <v>-- 生年月日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milscm_2023_009.sny_202310_backup_text_mml_mmlre_pi.birthday IS '生年月日';</v>
      </c>
    </row>
    <row r="19" spans="1:52" s="25" customFormat="1" ht="69.599999999999994">
      <c r="A19" s="4"/>
      <c r="B19" s="21">
        <f t="shared" si="2"/>
        <v>7</v>
      </c>
      <c r="C19" s="6" t="s">
        <v>569</v>
      </c>
      <c r="D19" s="6" t="s">
        <v>1265</v>
      </c>
      <c r="E19" s="8"/>
      <c r="F19" s="7" t="s">
        <v>1825</v>
      </c>
      <c r="G19" s="7" t="str">
        <f t="shared" si="3"/>
        <v>text</v>
      </c>
      <c r="H19" s="26"/>
      <c r="I19" s="10"/>
      <c r="J19" s="11" t="s">
        <v>3055</v>
      </c>
      <c r="M19" s="4"/>
      <c r="N19" s="76"/>
      <c r="O19" s="76"/>
      <c r="P19" s="76" t="str">
        <f t="shared" si="4"/>
        <v>,sex</v>
      </c>
      <c r="Q19" s="76" t="str">
        <f t="shared" si="0"/>
        <v>TEXT</v>
      </c>
      <c r="R19" s="76" t="str">
        <f t="shared" si="1"/>
        <v/>
      </c>
      <c r="S19" s="76" t="str">
        <f t="shared" si="5"/>
        <v/>
      </c>
      <c r="T19" s="76" t="str">
        <f t="shared" si="6"/>
        <v>-- 性別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6"/>
      <c r="O20" s="76"/>
      <c r="P20" s="76" t="str">
        <f t="shared" si="4"/>
        <v>,nationality</v>
      </c>
      <c r="Q20" s="76" t="str">
        <f t="shared" si="0"/>
        <v>TEXT</v>
      </c>
      <c r="R20" s="76" t="str">
        <f t="shared" si="1"/>
        <v/>
      </c>
      <c r="S20" s="76" t="str">
        <f t="shared" si="5"/>
        <v/>
      </c>
      <c r="T20" s="76" t="str">
        <f t="shared" si="6"/>
        <v>-- 国籍コード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6"/>
      <c r="O21" s="76"/>
      <c r="P21" s="76" t="str">
        <f t="shared" si="4"/>
        <v>,subtype</v>
      </c>
      <c r="Q21" s="76" t="str">
        <f t="shared" si="0"/>
        <v>TEXT</v>
      </c>
      <c r="R21" s="76" t="str">
        <f t="shared" si="1"/>
        <v/>
      </c>
      <c r="S21" s="76" t="str">
        <f t="shared" si="5"/>
        <v/>
      </c>
      <c r="T21" s="76" t="str">
        <f t="shared" si="6"/>
        <v>-- 第2国籍コード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6"/>
      <c r="O22" s="76"/>
      <c r="P22" s="76" t="str">
        <f t="shared" si="4"/>
        <v>,race</v>
      </c>
      <c r="Q22" s="76" t="str">
        <f t="shared" si="0"/>
        <v>TEXT</v>
      </c>
      <c r="R22" s="76" t="str">
        <f t="shared" si="1"/>
        <v/>
      </c>
      <c r="S22" s="76" t="str">
        <f t="shared" si="5"/>
        <v/>
      </c>
      <c r="T22" s="76" t="str">
        <f t="shared" si="6"/>
        <v>-- 人種</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6"/>
      <c r="O23" s="76"/>
      <c r="P23" s="76" t="str">
        <f t="shared" si="4"/>
        <v>,race_code</v>
      </c>
      <c r="Q23" s="76" t="str">
        <f t="shared" si="0"/>
        <v>TEXT</v>
      </c>
      <c r="R23" s="76" t="str">
        <f t="shared" si="1"/>
        <v/>
      </c>
      <c r="S23" s="76" t="str">
        <f t="shared" si="5"/>
        <v/>
      </c>
      <c r="T23" s="76" t="str">
        <f t="shared" si="6"/>
        <v>-- 人種コード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6"/>
      <c r="O24" s="76"/>
      <c r="P24" s="76" t="str">
        <f t="shared" si="4"/>
        <v>,race_code_id</v>
      </c>
      <c r="Q24" s="76" t="str">
        <f t="shared" si="0"/>
        <v>TEXT</v>
      </c>
      <c r="R24" s="76" t="str">
        <f t="shared" si="1"/>
        <v/>
      </c>
      <c r="S24" s="76" t="str">
        <f t="shared" si="5"/>
        <v/>
      </c>
      <c r="T24" s="76" t="str">
        <f t="shared" si="6"/>
        <v>-- 人種テーブル名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6"/>
      <c r="O25" s="76"/>
      <c r="P25" s="76" t="str">
        <f t="shared" si="4"/>
        <v>,marital</v>
      </c>
      <c r="Q25" s="76" t="str">
        <f t="shared" si="0"/>
        <v>TEXT</v>
      </c>
      <c r="R25" s="76" t="str">
        <f t="shared" si="1"/>
        <v/>
      </c>
      <c r="S25" s="76" t="str">
        <f t="shared" si="5"/>
        <v/>
      </c>
      <c r="T25" s="76" t="str">
        <f t="shared" si="6"/>
        <v>-- 婚姻状態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6"/>
      <c r="O26" s="76"/>
      <c r="P26" s="76" t="str">
        <f t="shared" si="4"/>
        <v>,account_number</v>
      </c>
      <c r="Q26" s="76" t="str">
        <f t="shared" si="0"/>
        <v>TEXT</v>
      </c>
      <c r="R26" s="76" t="str">
        <f t="shared" si="1"/>
        <v/>
      </c>
      <c r="S26" s="76" t="str">
        <f t="shared" si="5"/>
        <v/>
      </c>
      <c r="T26" s="76" t="str">
        <f t="shared" si="6"/>
        <v>-- 会計番号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6"/>
      <c r="O27" s="76"/>
      <c r="P27" s="76" t="str">
        <f t="shared" si="4"/>
        <v>,social_identification</v>
      </c>
      <c r="Q27" s="76" t="str">
        <f t="shared" si="0"/>
        <v>TEXT</v>
      </c>
      <c r="R27" s="76" t="str">
        <f t="shared" si="1"/>
        <v/>
      </c>
      <c r="S27" s="76" t="str">
        <f t="shared" si="5"/>
        <v/>
      </c>
      <c r="T27" s="76" t="str">
        <f t="shared" si="6"/>
        <v>-- 社会番号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6"/>
      <c r="O28" s="76"/>
      <c r="P28" s="76" t="str">
        <f t="shared" si="4"/>
        <v>,death</v>
      </c>
      <c r="Q28" s="76" t="str">
        <f t="shared" si="0"/>
        <v>TEXT</v>
      </c>
      <c r="R28" s="76" t="str">
        <f t="shared" si="1"/>
        <v/>
      </c>
      <c r="S28" s="76" t="str">
        <f t="shared" si="5"/>
        <v/>
      </c>
      <c r="T28" s="76" t="str">
        <f t="shared" si="6"/>
        <v>-- 死亡フラグ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4" t="s">
        <v>2798</v>
      </c>
      <c r="N29" s="76"/>
      <c r="O29" s="76"/>
      <c r="P29" s="76" t="str">
        <f t="shared" si="4"/>
        <v>,death_date</v>
      </c>
      <c r="Q29" s="76" t="str">
        <f t="shared" si="0"/>
        <v>TEXT</v>
      </c>
      <c r="R29" s="76" t="str">
        <f t="shared" si="1"/>
        <v/>
      </c>
      <c r="S29" s="76" t="str">
        <f t="shared" si="5"/>
        <v/>
      </c>
      <c r="T29" s="76" t="str">
        <f t="shared" si="6"/>
        <v>-- 死亡日時</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milscm_2023_009.sny_202310_backup_text_mml_mmlre_pi.death_date IS '死亡日時';</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ENT_01_A6-58</v>
      </c>
      <c r="E6" s="234"/>
      <c r="F6" s="234"/>
      <c r="G6" s="234"/>
      <c r="H6" s="234"/>
      <c r="I6" s="234"/>
      <c r="J6" s="235"/>
    </row>
    <row r="7" spans="1:45">
      <c r="B7" s="223" t="s">
        <v>115</v>
      </c>
      <c r="C7" s="224"/>
      <c r="D7" s="225" t="s">
        <v>3057</v>
      </c>
      <c r="E7" s="226"/>
      <c r="F7" s="226"/>
      <c r="G7" s="226"/>
      <c r="H7" s="226"/>
      <c r="I7" s="226"/>
      <c r="J7" s="227"/>
    </row>
    <row r="8" spans="1:45">
      <c r="B8" s="223" t="s">
        <v>116</v>
      </c>
      <c r="C8" s="224"/>
      <c r="D8" s="225" t="str">
        <f>エンティティ一覧!AE2&amp;"_"&amp;D5&amp;"_text_mml_mmlre_pi_address"</f>
        <v>sny_202310_backup_text_mml_mmlre_pi_address</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milscm_2023_009.sny_202310_backup_text_mml_mmlre_pi_address;</v>
      </c>
      <c r="O10" s="76"/>
      <c r="P10" s="76"/>
      <c r="Q10" s="76"/>
      <c r="R10" s="76"/>
      <c r="S10" s="76"/>
      <c r="T10" s="76"/>
      <c r="AJ10" s="76" t="str">
        <f>"ALTER TABLE ONLY "&amp;エンティティ一覧!$O$2&amp;"."&amp;D$8</f>
        <v>ALTER TABLE ONLY milscm_2023_009.sny_202310_backup_text_mml_mmlre_pi_address</v>
      </c>
      <c r="AS10" s="76" t="str">
        <f>"ALTER TABLE "&amp;エンティティ一覧!$O$2&amp;"."&amp;D$8&amp;" OWNER TO pgmisgrp1;"</f>
        <v>ALTER TABLE milscm_2023_009.sny_202310_backup_text_mml_mmlre_pi_address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milscm_2023_009.sny_202310_backup_text_mml_mmlre_pi_address</v>
      </c>
      <c r="O11" s="76"/>
      <c r="P11" s="76"/>
      <c r="Q11" s="76"/>
      <c r="R11" s="76"/>
      <c r="S11" s="76"/>
      <c r="T11" s="76"/>
      <c r="AJ11" s="76" t="str">
        <f>"ADD CONSTRAINT "&amp;D$8&amp;"_pkey PRIMARY KEY"</f>
        <v>ADD CONSTRAINT sny_202310_backup_text_mml_mmlre_pi_address_pkey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8" si="0">UPPER(G13)</f>
        <v>INTEGER</v>
      </c>
      <c r="R13" s="76" t="str">
        <f t="shared" ref="R13:R28"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6"/>
      <c r="O14" s="76"/>
      <c r="P14" s="76" t="str">
        <f t="shared" ref="P14:P28" si="4">IF(B14&lt;&gt;1,","&amp;D14,D14)</f>
        <v>,file_no</v>
      </c>
      <c r="Q14" s="76" t="str">
        <f t="shared" si="0"/>
        <v>INTEGER</v>
      </c>
      <c r="R14" s="76" t="str">
        <f t="shared" si="1"/>
        <v/>
      </c>
      <c r="S14" s="76" t="str">
        <f t="shared" ref="S14:S28" si="5">IF(I14="○","NOT NULL","")</f>
        <v>NOT NULL</v>
      </c>
      <c r="T14" s="76" t="str">
        <f t="shared" ref="T14:T28"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6"/>
      <c r="O18" s="76"/>
      <c r="P18" s="76" t="str">
        <f t="shared" si="4"/>
        <v>,address_no</v>
      </c>
      <c r="Q18" s="76" t="str">
        <f t="shared" si="0"/>
        <v>INTEGER</v>
      </c>
      <c r="R18" s="76" t="str">
        <f t="shared" si="1"/>
        <v/>
      </c>
      <c r="S18" s="76" t="str">
        <f t="shared" si="5"/>
        <v>NOT NULL</v>
      </c>
      <c r="T18" s="76" t="str">
        <f t="shared" si="6"/>
        <v>-- 住所No</v>
      </c>
      <c r="U18" s="4"/>
      <c r="AA18" s="4"/>
      <c r="AB18" s="4"/>
      <c r="AC18" s="4"/>
      <c r="AD18" s="4"/>
      <c r="AE18" s="4"/>
      <c r="AF18" s="4"/>
      <c r="AG18" s="4"/>
      <c r="AH18" s="4"/>
      <c r="AI18" s="4"/>
      <c r="AJ18" s="76" t="str">
        <f>IF(E18="○",IF(COUNTA(E$13:E18)=1,"",",")&amp;D18,"")</f>
        <v>,address_no</v>
      </c>
      <c r="AK18" s="4"/>
      <c r="AL18" s="4"/>
      <c r="AM18" s="4"/>
      <c r="AN18" s="4"/>
      <c r="AO18" s="4"/>
      <c r="AP18" s="4"/>
      <c r="AQ18" s="4"/>
      <c r="AR18" s="4"/>
      <c r="AS18" s="76" t="str">
        <f>"COMMENT ON COLUMN "&amp;エンティティ一覧!$O$2&amp;"."&amp;D$8&amp;"."&amp;D18&amp;" IS '"&amp;C18&amp;"';"</f>
        <v>COMMENT ON COLUMN milscm_2023_009.sny_202310_backup_text_mml_mmlre_pi_address.address_no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6"/>
      <c r="O19" s="76"/>
      <c r="P19" s="76" t="str">
        <f t="shared" si="4"/>
        <v>,rep_code</v>
      </c>
      <c r="Q19" s="76" t="str">
        <f t="shared" si="0"/>
        <v>TEXT</v>
      </c>
      <c r="R19" s="76" t="str">
        <f t="shared" si="1"/>
        <v/>
      </c>
      <c r="S19" s="76" t="str">
        <f t="shared" si="5"/>
        <v/>
      </c>
      <c r="T19" s="76" t="str">
        <f t="shared" si="6"/>
        <v>-- 表記法</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6"/>
      <c r="O20" s="76"/>
      <c r="P20" s="76" t="str">
        <f t="shared" si="4"/>
        <v>,address_class</v>
      </c>
      <c r="Q20" s="76" t="str">
        <f t="shared" si="0"/>
        <v>TEXT</v>
      </c>
      <c r="R20" s="76" t="str">
        <f t="shared" si="1"/>
        <v/>
      </c>
      <c r="S20" s="76" t="str">
        <f t="shared" si="5"/>
        <v/>
      </c>
      <c r="T20" s="76" t="str">
        <f t="shared" si="6"/>
        <v>-- 住所の種類コード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6"/>
      <c r="O21" s="76"/>
      <c r="P21" s="76" t="str">
        <f t="shared" si="4"/>
        <v>,table_id</v>
      </c>
      <c r="Q21" s="76" t="str">
        <f t="shared" si="0"/>
        <v>TEXT</v>
      </c>
      <c r="R21" s="76" t="str">
        <f t="shared" si="1"/>
        <v/>
      </c>
      <c r="S21" s="76" t="str">
        <f t="shared" si="5"/>
        <v/>
      </c>
      <c r="T21" s="76" t="str">
        <f t="shared" si="6"/>
        <v>-- テーブル名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6"/>
      <c r="O22" s="76"/>
      <c r="P22" s="76" t="str">
        <f t="shared" si="4"/>
        <v>,address_full</v>
      </c>
      <c r="Q22" s="76" t="str">
        <f t="shared" si="0"/>
        <v>TEXT</v>
      </c>
      <c r="R22" s="76" t="str">
        <f t="shared" si="1"/>
        <v/>
      </c>
      <c r="S22" s="76" t="str">
        <f t="shared" si="5"/>
        <v/>
      </c>
      <c r="T22" s="76" t="str">
        <f t="shared" si="6"/>
        <v>-- 一連住所</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6"/>
      <c r="O23" s="76"/>
      <c r="P23" s="76" t="str">
        <f t="shared" si="4"/>
        <v>,prefecture</v>
      </c>
      <c r="Q23" s="76" t="str">
        <f t="shared" si="0"/>
        <v>TEXT</v>
      </c>
      <c r="R23" s="76" t="str">
        <f t="shared" si="1"/>
        <v/>
      </c>
      <c r="S23" s="76" t="str">
        <f t="shared" si="5"/>
        <v/>
      </c>
      <c r="T23" s="76" t="str">
        <f t="shared" si="6"/>
        <v>-- 都道府県</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6"/>
      <c r="O24" s="76"/>
      <c r="P24" s="76" t="str">
        <f t="shared" si="4"/>
        <v>,city</v>
      </c>
      <c r="Q24" s="76" t="str">
        <f t="shared" si="0"/>
        <v>TEXT</v>
      </c>
      <c r="R24" s="76" t="str">
        <f t="shared" si="1"/>
        <v/>
      </c>
      <c r="S24" s="76" t="str">
        <f t="shared" si="5"/>
        <v/>
      </c>
      <c r="T24" s="76" t="str">
        <f t="shared" si="6"/>
        <v>-- 市，区，郡</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6"/>
      <c r="O25" s="76"/>
      <c r="P25" s="76" t="str">
        <f t="shared" si="4"/>
        <v>,town</v>
      </c>
      <c r="Q25" s="76" t="str">
        <f t="shared" si="0"/>
        <v>TEXT</v>
      </c>
      <c r="R25" s="76" t="str">
        <f t="shared" si="1"/>
        <v/>
      </c>
      <c r="S25" s="76" t="str">
        <f t="shared" si="5"/>
        <v/>
      </c>
      <c r="T25" s="76" t="str">
        <f t="shared" si="6"/>
        <v>-- 町，村</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6"/>
      <c r="O26" s="76"/>
      <c r="P26" s="76" t="str">
        <f t="shared" si="4"/>
        <v>,home_number</v>
      </c>
      <c r="Q26" s="76" t="str">
        <f t="shared" si="0"/>
        <v>TEXT</v>
      </c>
      <c r="R26" s="76" t="str">
        <f t="shared" si="1"/>
        <v/>
      </c>
      <c r="S26" s="76" t="str">
        <f t="shared" si="5"/>
        <v/>
      </c>
      <c r="T26" s="76" t="str">
        <f t="shared" si="6"/>
        <v>-- 番地，丁目等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6"/>
      <c r="O27" s="76"/>
      <c r="P27" s="76" t="str">
        <f t="shared" si="4"/>
        <v>,zip</v>
      </c>
      <c r="Q27" s="76" t="str">
        <f t="shared" si="0"/>
        <v>TEXT</v>
      </c>
      <c r="R27" s="76" t="str">
        <f t="shared" si="1"/>
        <v/>
      </c>
      <c r="S27" s="76" t="str">
        <f t="shared" si="5"/>
        <v/>
      </c>
      <c r="T27" s="76" t="str">
        <f t="shared" si="6"/>
        <v>-- 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4"/>
      <c r="N28" s="76"/>
      <c r="O28" s="76"/>
      <c r="P28" s="76" t="str">
        <f t="shared" si="4"/>
        <v>,country_code</v>
      </c>
      <c r="Q28" s="76" t="str">
        <f t="shared" si="0"/>
        <v>TEXT</v>
      </c>
      <c r="R28" s="76" t="str">
        <f t="shared" si="1"/>
        <v/>
      </c>
      <c r="S28" s="76" t="str">
        <f t="shared" si="5"/>
        <v/>
      </c>
      <c r="T28" s="76" t="str">
        <f t="shared" si="6"/>
        <v>-- 国コード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milscm_2023_009.sny_202310_backup_text_mml_mmlre_pi_address.country_code IS '国コード';</v>
      </c>
    </row>
    <row r="29" spans="1:52">
      <c r="L29" s="25"/>
      <c r="M29" s="25"/>
      <c r="N29" s="76" t="s">
        <v>142</v>
      </c>
      <c r="O29" s="76"/>
      <c r="P29" s="76"/>
      <c r="Q29" s="76"/>
      <c r="R29" s="76"/>
      <c r="S29" s="76"/>
      <c r="T29" s="76"/>
      <c r="V29" s="25"/>
      <c r="W29" s="25"/>
      <c r="X29" s="25"/>
      <c r="Y29" s="25"/>
      <c r="Z29" s="25"/>
      <c r="AJ29" s="76"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ENT_01_A6-59</v>
      </c>
      <c r="E6" s="234"/>
      <c r="F6" s="234"/>
      <c r="G6" s="234"/>
      <c r="H6" s="234"/>
      <c r="I6" s="234"/>
      <c r="J6" s="235"/>
    </row>
    <row r="7" spans="1:45">
      <c r="B7" s="223" t="s">
        <v>115</v>
      </c>
      <c r="C7" s="224"/>
      <c r="D7" s="225" t="s">
        <v>3075</v>
      </c>
      <c r="E7" s="226"/>
      <c r="F7" s="226"/>
      <c r="G7" s="226"/>
      <c r="H7" s="226"/>
      <c r="I7" s="226"/>
      <c r="J7" s="227"/>
    </row>
    <row r="8" spans="1:45">
      <c r="B8" s="223" t="s">
        <v>116</v>
      </c>
      <c r="C8" s="224"/>
      <c r="D8" s="225" t="str">
        <f>エンティティ一覧!AE2&amp;"_"&amp;D5&amp;"_text_mml_mmlre_ps"</f>
        <v>sny_202310_backup_text_mml_mmlre_ps</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milscm_2023_009.sny_202310_backup_text_mml_mmlre_ps;</v>
      </c>
      <c r="O10" s="76"/>
      <c r="P10" s="76"/>
      <c r="Q10" s="76"/>
      <c r="R10" s="76"/>
      <c r="S10" s="76"/>
      <c r="T10" s="76"/>
      <c r="AJ10" s="76" t="str">
        <f>"ALTER TABLE ONLY "&amp;エンティティ一覧!$O$2&amp;"."&amp;D$8</f>
        <v>ALTER TABLE ONLY milscm_2023_009.sny_202310_backup_text_mml_mmlre_ps</v>
      </c>
      <c r="AS10" s="76" t="str">
        <f>"ALTER TABLE "&amp;エンティティ一覧!$O$2&amp;"."&amp;D$8&amp;" OWNER TO pgmisgrp1;"</f>
        <v>ALTER TABLE milscm_2023_009.sny_202310_backup_text_mml_mmlre_ps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v>
      </c>
      <c r="O11" s="76"/>
      <c r="P11" s="76"/>
      <c r="Q11" s="76"/>
      <c r="R11" s="76"/>
      <c r="S11" s="76"/>
      <c r="T11" s="76"/>
      <c r="AJ11" s="76" t="str">
        <f>"ADD CONSTRAINT "&amp;D$8&amp;"_pkey PRIMARY KEY"</f>
        <v>ADD CONSTRAINT sny_202310_backup_text_mml_mmlre_ps_pkey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ENT_01_A6-60</v>
      </c>
      <c r="E6" s="234"/>
      <c r="F6" s="234"/>
      <c r="G6" s="234"/>
      <c r="H6" s="234"/>
      <c r="I6" s="234"/>
      <c r="J6" s="235"/>
    </row>
    <row r="7" spans="1:45">
      <c r="B7" s="223" t="s">
        <v>115</v>
      </c>
      <c r="C7" s="224"/>
      <c r="D7" s="225" t="s">
        <v>3076</v>
      </c>
      <c r="E7" s="226"/>
      <c r="F7" s="226"/>
      <c r="G7" s="226"/>
      <c r="H7" s="226"/>
      <c r="I7" s="226"/>
      <c r="J7" s="227"/>
    </row>
    <row r="8" spans="1:45">
      <c r="B8" s="223" t="s">
        <v>116</v>
      </c>
      <c r="C8" s="224"/>
      <c r="D8" s="225" t="str">
        <f>エンティティ一覧!AE2&amp;"_"&amp;D5&amp;"_text_mml_mmlre_ps_medication"</f>
        <v>sny_202310_backup_text_mml_mmlre_ps_medication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milscm_2023_009.sny_202310_backup_text_mml_mmlre_ps_medication;</v>
      </c>
      <c r="O10" s="76"/>
      <c r="P10" s="76"/>
      <c r="Q10" s="76"/>
      <c r="R10" s="76"/>
      <c r="S10" s="76"/>
      <c r="T10" s="76"/>
      <c r="AJ10" s="76" t="str">
        <f>"ALTER TABLE ONLY "&amp;エンティティ一覧!$O$2&amp;"."&amp;D$8</f>
        <v>ALTER TABLE ONLY milscm_2023_009.sny_202310_backup_text_mml_mmlre_ps_medication</v>
      </c>
      <c r="AS10" s="76" t="str">
        <f>"ALTER TABLE "&amp;エンティティ一覧!$O$2&amp;"."&amp;D$8&amp;" OWNER TO pgmisgrp1;"</f>
        <v>ALTER TABLE milscm_2023_009.sny_202310_backup_text_mml_mmlre_ps_medication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milscm_2023_009.sny_202310_backup_text_mml_mmlre_ps_medication</v>
      </c>
      <c r="O11" s="76"/>
      <c r="P11" s="76"/>
      <c r="Q11" s="76"/>
      <c r="R11" s="76"/>
      <c r="S11" s="76"/>
      <c r="T11" s="76"/>
      <c r="AJ11" s="76" t="str">
        <f>"ADD CONSTRAINT "&amp;D$8&amp;"_pkey PRIMARY KEY"</f>
        <v>ADD CONSTRAINT sny_202310_backup_text_mml_mmlre_ps_medication_pkey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6"/>
      <c r="O19" s="76"/>
      <c r="P19" s="76" t="str">
        <f t="shared" ref="P19:P31" si="8">IF(B19&lt;&gt;1,","&amp;D19,D19)</f>
        <v>,medicine_name</v>
      </c>
      <c r="Q19" s="76" t="str">
        <f t="shared" ref="Q19:Q31" si="9">UPPER(G19)</f>
        <v>TEXT</v>
      </c>
      <c r="R19" s="76" t="str">
        <f t="shared" ref="R19:R31" si="10">IF(H19&lt;&gt;"","default "&amp;IF(G19="text","'"&amp;H19&amp;"'",H19),"")</f>
        <v/>
      </c>
      <c r="S19" s="76" t="str">
        <f t="shared" ref="S19:S31" si="11">IF(I19="○","NOT NULL","")</f>
        <v/>
      </c>
      <c r="T19" s="76" t="str">
        <f t="shared" ref="T19:T31" si="12">"-- "&amp;C19</f>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6"/>
      <c r="O20" s="76"/>
      <c r="P20" s="76" t="str">
        <f t="shared" si="8"/>
        <v>,dose</v>
      </c>
      <c r="Q20" s="76" t="str">
        <f t="shared" si="9"/>
        <v>TEXT</v>
      </c>
      <c r="R20" s="76" t="str">
        <f t="shared" si="10"/>
        <v/>
      </c>
      <c r="S20" s="76" t="str">
        <f t="shared" si="11"/>
        <v/>
      </c>
      <c r="T20" s="76" t="str">
        <f t="shared" si="12"/>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6"/>
      <c r="O21" s="76"/>
      <c r="P21" s="76" t="str">
        <f t="shared" si="8"/>
        <v>,dose_unit</v>
      </c>
      <c r="Q21" s="76" t="str">
        <f t="shared" si="9"/>
        <v>TEXT</v>
      </c>
      <c r="R21" s="76" t="str">
        <f t="shared" si="10"/>
        <v/>
      </c>
      <c r="S21" s="76" t="str">
        <f t="shared" si="11"/>
        <v/>
      </c>
      <c r="T21" s="76" t="str">
        <f t="shared" si="12"/>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6"/>
      <c r="O22" s="76"/>
      <c r="P22" s="76" t="str">
        <f t="shared" si="8"/>
        <v>,frequency_per_day</v>
      </c>
      <c r="Q22" s="76" t="str">
        <f t="shared" si="9"/>
        <v>TEXT</v>
      </c>
      <c r="R22" s="76" t="str">
        <f t="shared" si="10"/>
        <v/>
      </c>
      <c r="S22" s="76" t="str">
        <f t="shared" si="11"/>
        <v/>
      </c>
      <c r="T22" s="76" t="str">
        <f t="shared" si="12"/>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6"/>
      <c r="O23" s="76"/>
      <c r="P23" s="76" t="str">
        <f t="shared" si="8"/>
        <v>,start_date</v>
      </c>
      <c r="Q23" s="76" t="str">
        <f t="shared" si="9"/>
        <v>TEXT</v>
      </c>
      <c r="R23" s="76" t="str">
        <f t="shared" si="10"/>
        <v/>
      </c>
      <c r="S23" s="76" t="str">
        <f t="shared" si="11"/>
        <v/>
      </c>
      <c r="T23" s="76" t="str">
        <f t="shared" si="12"/>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6"/>
      <c r="O24" s="76"/>
      <c r="P24" s="76" t="str">
        <f t="shared" si="8"/>
        <v>,duration</v>
      </c>
      <c r="Q24" s="76" t="str">
        <f t="shared" si="9"/>
        <v>TEXT</v>
      </c>
      <c r="R24" s="76" t="str">
        <f t="shared" si="10"/>
        <v/>
      </c>
      <c r="S24" s="76" t="str">
        <f t="shared" si="11"/>
        <v/>
      </c>
      <c r="T24" s="76" t="str">
        <f t="shared" si="12"/>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6"/>
      <c r="O25" s="76"/>
      <c r="P25" s="76" t="str">
        <f t="shared" si="8"/>
        <v>,instruction</v>
      </c>
      <c r="Q25" s="76" t="str">
        <f t="shared" si="9"/>
        <v>TEXT</v>
      </c>
      <c r="R25" s="76" t="str">
        <f t="shared" si="10"/>
        <v/>
      </c>
      <c r="S25" s="76" t="str">
        <f t="shared" si="11"/>
        <v/>
      </c>
      <c r="T25" s="76" t="str">
        <f t="shared" si="12"/>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6"/>
      <c r="O26" s="76"/>
      <c r="P26" s="76" t="str">
        <f t="shared" si="8"/>
        <v>,prn</v>
      </c>
      <c r="Q26" s="76" t="str">
        <f t="shared" si="9"/>
        <v>TEXT</v>
      </c>
      <c r="R26" s="76" t="str">
        <f t="shared" si="10"/>
        <v/>
      </c>
      <c r="S26" s="76" t="str">
        <f t="shared" si="11"/>
        <v/>
      </c>
      <c r="T26" s="76" t="str">
        <f t="shared" si="12"/>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6"/>
      <c r="O27" s="76"/>
      <c r="P27" s="76" t="str">
        <f t="shared" si="8"/>
        <v>,repetitions</v>
      </c>
      <c r="Q27" s="76" t="str">
        <f t="shared" si="9"/>
        <v>TEXT</v>
      </c>
      <c r="R27" s="76" t="str">
        <f t="shared" si="10"/>
        <v/>
      </c>
      <c r="S27" s="76" t="str">
        <f t="shared" si="11"/>
        <v/>
      </c>
      <c r="T27" s="76" t="str">
        <f t="shared" si="12"/>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6"/>
      <c r="O28" s="76"/>
      <c r="P28" s="76" t="str">
        <f t="shared" si="8"/>
        <v>,route</v>
      </c>
      <c r="Q28" s="76" t="str">
        <f t="shared" si="9"/>
        <v>TEXT</v>
      </c>
      <c r="R28" s="76" t="str">
        <f t="shared" si="10"/>
        <v/>
      </c>
      <c r="S28" s="76" t="str">
        <f t="shared" si="11"/>
        <v/>
      </c>
      <c r="T28" s="76" t="str">
        <f t="shared" si="12"/>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6"/>
      <c r="O29" s="76"/>
      <c r="P29" s="76" t="str">
        <f t="shared" si="8"/>
        <v>,form</v>
      </c>
      <c r="Q29" s="76" t="str">
        <f t="shared" si="9"/>
        <v>TEXT</v>
      </c>
      <c r="R29" s="76" t="str">
        <f t="shared" si="10"/>
        <v/>
      </c>
      <c r="S29" s="76" t="str">
        <f t="shared" si="11"/>
        <v/>
      </c>
      <c r="T29" s="76" t="str">
        <f t="shared" si="12"/>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6"/>
      <c r="O30" s="76"/>
      <c r="P30" s="76" t="str">
        <f t="shared" si="8"/>
        <v>,batch_no</v>
      </c>
      <c r="Q30" s="76" t="str">
        <f t="shared" si="9"/>
        <v>TEXT</v>
      </c>
      <c r="R30" s="76" t="str">
        <f t="shared" si="10"/>
        <v/>
      </c>
      <c r="S30" s="76" t="str">
        <f t="shared" si="11"/>
        <v/>
      </c>
      <c r="T30" s="76" t="str">
        <f t="shared" si="12"/>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6"/>
      <c r="O31" s="76"/>
      <c r="P31" s="76" t="str">
        <f t="shared" si="8"/>
        <v>,brand_substitution_permitted</v>
      </c>
      <c r="Q31" s="76" t="str">
        <f t="shared" si="9"/>
        <v>TEXT</v>
      </c>
      <c r="R31" s="76" t="str">
        <f t="shared" si="10"/>
        <v/>
      </c>
      <c r="S31" s="76" t="str">
        <f t="shared" si="11"/>
        <v/>
      </c>
      <c r="T31" s="76" t="str">
        <f t="shared" si="12"/>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milscm_2023_009.sny_202310_backup_text_mml_mmlre_ps_medication.additional_instruction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ENT_01_A6-61</v>
      </c>
      <c r="E6" s="234"/>
      <c r="F6" s="234"/>
      <c r="G6" s="234"/>
      <c r="H6" s="234"/>
      <c r="I6" s="234"/>
      <c r="J6" s="235"/>
    </row>
    <row r="7" spans="1:45">
      <c r="B7" s="223" t="s">
        <v>115</v>
      </c>
      <c r="C7" s="224"/>
      <c r="D7" s="225" t="s">
        <v>3077</v>
      </c>
      <c r="E7" s="226"/>
      <c r="F7" s="226"/>
      <c r="G7" s="226"/>
      <c r="H7" s="226"/>
      <c r="I7" s="226"/>
      <c r="J7" s="227"/>
    </row>
    <row r="8" spans="1:45">
      <c r="B8" s="223" t="s">
        <v>116</v>
      </c>
      <c r="C8" s="224"/>
      <c r="D8" s="225" t="str">
        <f>エンティティ一覧!AE2&amp;"_"&amp;D5&amp;"_text_mml_mmlre_ps_medicine"</f>
        <v>sny_202310_backup_text_mml_mmlre_ps_medicine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milscm_2023_009.sny_202310_backup_text_mml_mmlre_ps_medicine;</v>
      </c>
      <c r="O10" s="76"/>
      <c r="P10" s="76"/>
      <c r="Q10" s="76"/>
      <c r="R10" s="76"/>
      <c r="S10" s="76"/>
      <c r="T10" s="76"/>
      <c r="AJ10" s="76" t="str">
        <f>"ALTER TABLE ONLY "&amp;エンティティ一覧!$O$2&amp;"."&amp;D$8</f>
        <v>ALTER TABLE ONLY milscm_2023_009.sny_202310_backup_text_mml_mmlre_ps_medicine</v>
      </c>
      <c r="AS10" s="76" t="str">
        <f>"ALTER TABLE "&amp;エンティティ一覧!$O$2&amp;"."&amp;D$8&amp;" OWNER TO pgmisgrp1;"</f>
        <v>ALTER TABLE milscm_2023_009.sny_202310_backup_text_mml_mmlre_ps_medicine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milscm_2023_009.sny_202310_backup_text_mml_mmlre_ps_medicine</v>
      </c>
      <c r="O11" s="76"/>
      <c r="P11" s="76"/>
      <c r="Q11" s="76"/>
      <c r="R11" s="76"/>
      <c r="S11" s="76"/>
      <c r="T11" s="76"/>
      <c r="AJ11" s="76" t="str">
        <f>"ADD CONSTRAINT "&amp;D$8&amp;"_pkey PRIMARY KEY"</f>
        <v>ADD CONSTRAINT sny_202310_backup_text_mml_mmlre_ps_medicine_pkey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milscm_2023_009.sny_202310_backup_text_mml_mmlre_ps_medicine.medicine_no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ENT_01_A6-62</v>
      </c>
      <c r="E6" s="234"/>
      <c r="F6" s="234"/>
      <c r="G6" s="234"/>
      <c r="H6" s="234"/>
      <c r="I6" s="234"/>
      <c r="J6" s="235"/>
    </row>
    <row r="7" spans="1:45">
      <c r="B7" s="223" t="s">
        <v>115</v>
      </c>
      <c r="C7" s="224"/>
      <c r="D7" s="225" t="s">
        <v>3078</v>
      </c>
      <c r="E7" s="226"/>
      <c r="F7" s="226"/>
      <c r="G7" s="226"/>
      <c r="H7" s="226"/>
      <c r="I7" s="226"/>
      <c r="J7" s="227"/>
    </row>
    <row r="8" spans="1:45">
      <c r="B8" s="223" t="s">
        <v>116</v>
      </c>
      <c r="C8" s="224"/>
      <c r="D8" s="225" t="str">
        <f>エンティティ一覧!AE2&amp;"_"&amp;D5&amp;"_text_mml_mmlre_sm_clinical_record"</f>
        <v>sny_202310_backup_text_mml_mmlre_sm_clinical_record</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milscm_2023_009.sny_202310_backup_text_mml_mmlre_sm_clinical_record;</v>
      </c>
      <c r="O10" s="76"/>
      <c r="P10" s="76"/>
      <c r="Q10" s="76"/>
      <c r="R10" s="76"/>
      <c r="S10" s="76"/>
      <c r="T10" s="76"/>
      <c r="AJ10" s="76" t="str">
        <f>"ALTER TABLE ONLY "&amp;エンティティ一覧!$O$2&amp;"."&amp;D$8</f>
        <v>ALTER TABLE ONLY milscm_2023_009.sny_202310_backup_text_mml_mmlre_sm_clinical_record</v>
      </c>
      <c r="AS10" s="76" t="str">
        <f>"ALTER TABLE "&amp;エンティティ一覧!$O$2&amp;"."&amp;D$8&amp;" OWNER TO pgmisgrp1;"</f>
        <v>ALTER TABLE milscm_2023_009.sny_202310_backup_text_mml_mmlre_sm_clinical_record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milscm_2023_009.sny_202310_backup_text_mml_mmlre_sm_clinical_record</v>
      </c>
      <c r="O11" s="76"/>
      <c r="P11" s="76"/>
      <c r="Q11" s="76"/>
      <c r="R11" s="76"/>
      <c r="S11" s="76"/>
      <c r="T11" s="76"/>
      <c r="AJ11" s="76" t="str">
        <f>"ADD CONSTRAINT "&amp;D$8&amp;"_pkey PRIMARY KEY"</f>
        <v>ADD CONSTRAINT sny_202310_backup_text_mml_mmlre_sm_clinical_record_pkey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6"/>
      <c r="O18" s="76"/>
      <c r="P18" s="76" t="str">
        <f t="shared" si="4"/>
        <v>,clinical_record_no</v>
      </c>
      <c r="Q18" s="76" t="str">
        <f t="shared" si="0"/>
        <v>INTEGER</v>
      </c>
      <c r="R18" s="76" t="str">
        <f t="shared" si="1"/>
        <v/>
      </c>
      <c r="S18" s="76" t="str">
        <f t="shared" si="5"/>
        <v>NOT NULL</v>
      </c>
      <c r="T18" s="76" t="str">
        <f t="shared" si="6"/>
        <v>-- 経過記録No</v>
      </c>
      <c r="U18" s="4"/>
      <c r="AA18" s="4"/>
      <c r="AB18" s="4"/>
      <c r="AC18" s="4"/>
      <c r="AD18" s="4"/>
      <c r="AE18" s="4"/>
      <c r="AF18" s="4"/>
      <c r="AG18" s="4"/>
      <c r="AH18" s="4"/>
      <c r="AI18" s="4"/>
      <c r="AJ18" s="76" t="str">
        <f>IF(E18="○",IF(COUNTA(E$13:E18)=1,"",",")&amp;D18,"")</f>
        <v>,clinical_record_no</v>
      </c>
      <c r="AK18" s="4"/>
      <c r="AL18" s="4"/>
      <c r="AM18" s="4"/>
      <c r="AN18" s="4"/>
      <c r="AO18" s="4"/>
      <c r="AP18" s="4"/>
      <c r="AQ18" s="4"/>
      <c r="AR18" s="4"/>
      <c r="AS18" s="76" t="str">
        <f>"COMMENT ON COLUMN "&amp;エンティティ一覧!$O$2&amp;"."&amp;D$8&amp;"."&amp;D18&amp;" IS '"&amp;C18&amp;"';"</f>
        <v>COMMENT ON COLUMN milscm_2023_009.sny_202310_backup_text_mml_mmlre_sm_clinical_record.clinical_record_no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6"/>
      <c r="O19" s="76"/>
      <c r="P19" s="76" t="str">
        <f t="shared" si="4"/>
        <v>,clinical_record</v>
      </c>
      <c r="Q19" s="76" t="str">
        <f t="shared" si="0"/>
        <v>TEXT</v>
      </c>
      <c r="R19" s="76" t="str">
        <f t="shared" si="1"/>
        <v/>
      </c>
      <c r="S19" s="76" t="str">
        <f t="shared" si="5"/>
        <v/>
      </c>
      <c r="T19" s="76" t="str">
        <f t="shared" si="6"/>
        <v>-- 経過記録</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6"/>
      <c r="O20" s="76"/>
      <c r="P20" s="76" t="str">
        <f t="shared" ref="P20" si="8">IF(B20&lt;&gt;1,","&amp;D20,D20)</f>
        <v>,clinical_record_date</v>
      </c>
      <c r="Q20" s="76" t="str">
        <f t="shared" ref="Q20" si="9">UPPER(G20)</f>
        <v>TEXT</v>
      </c>
      <c r="R20" s="76" t="str">
        <f t="shared" ref="R20" si="10">IF(H20&lt;&gt;"","default "&amp;IF(G20="text","'"&amp;H20&amp;"'",H20),"")</f>
        <v/>
      </c>
      <c r="S20" s="76" t="str">
        <f t="shared" ref="S20" si="11">IF(I20="○","NOT NULL","")</f>
        <v/>
      </c>
      <c r="T20" s="76" t="str">
        <f t="shared" ref="T20" si="12">"-- "&amp;C20</f>
        <v>-- イベント発生日時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6"/>
      <c r="O21" s="76"/>
      <c r="P21" s="76" t="str">
        <f t="shared" si="4"/>
        <v>,related_doc</v>
      </c>
      <c r="Q21" s="76" t="str">
        <f t="shared" si="0"/>
        <v>TEXT</v>
      </c>
      <c r="R21" s="76" t="str">
        <f t="shared" si="1"/>
        <v/>
      </c>
      <c r="S21" s="76" t="str">
        <f t="shared" si="5"/>
        <v/>
      </c>
      <c r="T21" s="76" t="str">
        <f t="shared" si="6"/>
        <v>-- 関連文書</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4"/>
      <c r="N22" s="76"/>
      <c r="O22" s="76"/>
      <c r="P22" s="76" t="str">
        <f t="shared" si="4"/>
        <v>,related_doc_relation</v>
      </c>
      <c r="Q22" s="76" t="str">
        <f t="shared" si="0"/>
        <v>TEXT</v>
      </c>
      <c r="R22" s="76" t="str">
        <f t="shared" si="1"/>
        <v/>
      </c>
      <c r="S22" s="76" t="str">
        <f t="shared" si="5"/>
        <v/>
      </c>
      <c r="T22" s="76" t="str">
        <f t="shared" si="6"/>
        <v>-- 関連文書_関連の種別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milscm_2023_009.sny_202310_backup_text_mml_mmlre_sm_clinical_record.related_doc_relation IS '関連文書_関連の種別';</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ENT_01_A6-63</v>
      </c>
      <c r="E6" s="234"/>
      <c r="F6" s="234"/>
      <c r="G6" s="234"/>
      <c r="H6" s="234"/>
      <c r="I6" s="234"/>
      <c r="J6" s="235"/>
    </row>
    <row r="7" spans="1:45">
      <c r="B7" s="223" t="s">
        <v>115</v>
      </c>
      <c r="C7" s="224"/>
      <c r="D7" s="225" t="s">
        <v>3089</v>
      </c>
      <c r="E7" s="226"/>
      <c r="F7" s="226"/>
      <c r="G7" s="226"/>
      <c r="H7" s="226"/>
      <c r="I7" s="226"/>
      <c r="J7" s="227"/>
    </row>
    <row r="8" spans="1:45">
      <c r="B8" s="223" t="s">
        <v>116</v>
      </c>
      <c r="C8" s="224"/>
      <c r="D8" s="225" t="str">
        <f>エンティティ一覧!AE2&amp;"_"&amp;D5&amp;"_text_mml_mmlre_dp"</f>
        <v>sny_202310_backup_text_mml_mmlre_dp</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milscm_2023_009.sny_202310_backup_text_mml_mmlre_dp;</v>
      </c>
      <c r="O10" s="76"/>
      <c r="P10" s="76"/>
      <c r="Q10" s="76"/>
      <c r="R10" s="76"/>
      <c r="S10" s="76"/>
      <c r="T10" s="76"/>
      <c r="AJ10" s="76" t="str">
        <f>"ALTER TABLE ONLY "&amp;エンティティ一覧!$O$2&amp;"."&amp;D$8</f>
        <v>ALTER TABLE ONLY milscm_2023_009.sny_202310_backup_text_mml_mmlre_dp</v>
      </c>
      <c r="AS10" s="76" t="str">
        <f>"ALTER TABLE "&amp;エンティティ一覧!$O$2&amp;"."&amp;D$8&amp;" OWNER TO pgmisgrp1;"</f>
        <v>ALTER TABLE milscm_2023_009.sny_202310_backup_text_mml_mmlre_dp OWNER TO pgmisgrp1;</v>
      </c>
    </row>
    <row r="11" spans="1:45" ht="18" thickBot="1">
      <c r="B11" s="20" t="s">
        <v>118</v>
      </c>
      <c r="C11" s="19"/>
      <c r="D11" s="5"/>
      <c r="E11" s="5"/>
      <c r="F11" s="5"/>
      <c r="G11" s="5"/>
      <c r="H11" s="5"/>
      <c r="I11" s="5"/>
      <c r="J11" s="18"/>
      <c r="N11" s="76" t="str">
        <f>"CREATE TABLE  "&amp;エンティティ一覧!$O$2&amp;"."&amp;D$8</f>
        <v>CREATE TABLE  milscm_2023_009.sny_202310_backup_text_mml_mmlre_dp</v>
      </c>
      <c r="O11" s="76"/>
      <c r="P11" s="76"/>
      <c r="Q11" s="76"/>
      <c r="R11" s="76"/>
      <c r="S11" s="76"/>
      <c r="T11" s="76"/>
      <c r="AJ11" s="76" t="str">
        <f>"ADD CONSTRAINT "&amp;D$8&amp;"_pkey PRIMARY KEY"</f>
        <v>ADD CONSTRAINT sny_202310_backup_text_mml_mmlre_dp_pkey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7" si="0">UPPER(G13)</f>
        <v>INTEGER</v>
      </c>
      <c r="R13" s="76" t="str">
        <f t="shared" ref="R13:R27"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6"/>
      <c r="O14" s="76"/>
      <c r="P14" s="76" t="str">
        <f t="shared" ref="P14:P27" si="4">IF(B14&lt;&gt;1,","&amp;D14,D14)</f>
        <v>,file_no</v>
      </c>
      <c r="Q14" s="76" t="str">
        <f t="shared" si="0"/>
        <v>INTEGER</v>
      </c>
      <c r="R14" s="76" t="str">
        <f t="shared" si="1"/>
        <v/>
      </c>
      <c r="S14" s="76" t="str">
        <f t="shared" ref="S14:S27" si="5">IF(I14="○","NOT NULL","")</f>
        <v>NOT NULL</v>
      </c>
      <c r="T14" s="76" t="str">
        <f t="shared" ref="T14:T27"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6"/>
      <c r="O18" s="76"/>
      <c r="P18" s="76" t="str">
        <f t="shared" si="4"/>
        <v>,dp_no</v>
      </c>
      <c r="Q18" s="76" t="str">
        <f t="shared" si="0"/>
        <v>INTEGER</v>
      </c>
      <c r="R18" s="76" t="str">
        <f t="shared" si="1"/>
        <v/>
      </c>
      <c r="S18" s="76" t="str">
        <f t="shared" si="5"/>
        <v>NOT NULL</v>
      </c>
      <c r="T18" s="76" t="str">
        <f t="shared" si="6"/>
        <v>-- 診療科情報No</v>
      </c>
      <c r="U18" s="4"/>
      <c r="AA18" s="4"/>
      <c r="AB18" s="4"/>
      <c r="AC18" s="4"/>
      <c r="AD18" s="4"/>
      <c r="AE18" s="4"/>
      <c r="AF18" s="4"/>
      <c r="AG18" s="4"/>
      <c r="AH18" s="4"/>
      <c r="AI18" s="4"/>
      <c r="AJ18" s="76" t="str">
        <f>IF(E18="○",IF(COUNTA(E$13:E18)=1,"",",")&amp;D18,"")</f>
        <v>,dp_no</v>
      </c>
      <c r="AK18" s="4"/>
      <c r="AL18" s="4"/>
      <c r="AM18" s="4"/>
      <c r="AN18" s="4"/>
      <c r="AO18" s="4"/>
      <c r="AP18" s="4"/>
      <c r="AQ18" s="4"/>
      <c r="AR18" s="4"/>
      <c r="AS18" s="76" t="str">
        <f>"COMMENT ON COLUMN "&amp;エンティティ一覧!$O$2&amp;"."&amp;D$8&amp;"."&amp;D18&amp;" IS '"&amp;C18&amp;"';"</f>
        <v>COMMENT ON COLUMN milscm_2023_009.sny_202310_backup_text_mml_mmlre_dp.dp_no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6"/>
      <c r="O19" s="76"/>
      <c r="P19" s="76" t="str">
        <f t="shared" ref="P19:P26" si="8">IF(B19&lt;&gt;1,","&amp;D19,D19)</f>
        <v>,dp_name_no</v>
      </c>
      <c r="Q19" s="76" t="str">
        <f t="shared" ref="Q19:Q26" si="9">UPPER(G19)</f>
        <v>INTEGER</v>
      </c>
      <c r="R19" s="76" t="str">
        <f t="shared" ref="R19:R26" si="10">IF(H19&lt;&gt;"","default "&amp;IF(G19="text","'"&amp;H19&amp;"'",H19),"")</f>
        <v/>
      </c>
      <c r="S19" s="76" t="str">
        <f t="shared" ref="S19:S26" si="11">IF(I19="○","NOT NULL","")</f>
        <v>NOT NULL</v>
      </c>
      <c r="T19" s="76" t="str">
        <f t="shared" ref="T19:T26" si="12">"-- "&amp;C19</f>
        <v>-- 診療科名称No</v>
      </c>
      <c r="U19" s="4"/>
      <c r="AA19" s="4"/>
      <c r="AB19" s="4"/>
      <c r="AC19" s="4"/>
      <c r="AD19" s="4"/>
      <c r="AE19" s="4"/>
      <c r="AF19" s="4"/>
      <c r="AG19" s="4"/>
      <c r="AH19" s="4"/>
      <c r="AI19" s="4"/>
      <c r="AJ19" s="76" t="str">
        <f>IF(E19="○",IF(COUNTA(E$13:E19)=1,"",",")&amp;D19,"")</f>
        <v>,dp_name_no</v>
      </c>
      <c r="AK19" s="4"/>
      <c r="AL19" s="4"/>
      <c r="AM19" s="4"/>
      <c r="AN19" s="4"/>
      <c r="AO19" s="4"/>
      <c r="AP19" s="4"/>
      <c r="AQ19" s="4"/>
      <c r="AR19" s="4"/>
      <c r="AS19" s="76" t="str">
        <f>"COMMENT ON COLUMN "&amp;エンティティ一覧!$O$2&amp;"."&amp;D$8&amp;"."&amp;D19&amp;" IS '"&amp;C19&amp;"';"</f>
        <v>COMMENT ON COLUMN milscm_2023_009.sny_202310_backup_text_mml_mmlre_dp.dp_name_no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6"/>
      <c r="O20" s="76"/>
      <c r="P20" s="76" t="str">
        <f t="shared" si="8"/>
        <v>,id</v>
      </c>
      <c r="Q20" s="76" t="str">
        <f t="shared" si="9"/>
        <v>TEXT</v>
      </c>
      <c r="R20" s="76" t="str">
        <f t="shared" si="10"/>
        <v/>
      </c>
      <c r="S20" s="76" t="str">
        <f t="shared" si="11"/>
        <v/>
      </c>
      <c r="T20" s="76" t="str">
        <f t="shared" si="12"/>
        <v>-- 診療科ID</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6"/>
      <c r="O21" s="76"/>
      <c r="P21" s="76" t="str">
        <f t="shared" si="8"/>
        <v>,type</v>
      </c>
      <c r="Q21" s="76" t="str">
        <f t="shared" si="9"/>
        <v>TEXT</v>
      </c>
      <c r="R21" s="76" t="str">
        <f t="shared" si="10"/>
        <v/>
      </c>
      <c r="S21" s="76" t="str">
        <f t="shared" si="11"/>
        <v/>
      </c>
      <c r="T21" s="76" t="str">
        <f t="shared" si="12"/>
        <v>-- 診療科ID_種類コード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6"/>
      <c r="O22" s="76"/>
      <c r="P22" s="76" t="str">
        <f t="shared" si="8"/>
        <v>,table_id</v>
      </c>
      <c r="Q22" s="76" t="str">
        <f t="shared" si="9"/>
        <v>TEXT</v>
      </c>
      <c r="R22" s="76" t="str">
        <f t="shared" si="10"/>
        <v/>
      </c>
      <c r="S22" s="76" t="str">
        <f t="shared" si="11"/>
        <v/>
      </c>
      <c r="T22" s="76" t="str">
        <f t="shared" si="12"/>
        <v>-- 診療科ID_テーブル名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6"/>
      <c r="O23" s="76"/>
      <c r="P23" s="76" t="str">
        <f t="shared" si="8"/>
        <v>,check_digit</v>
      </c>
      <c r="Q23" s="76" t="str">
        <f t="shared" si="9"/>
        <v>INTEGER</v>
      </c>
      <c r="R23" s="76" t="str">
        <f t="shared" si="10"/>
        <v/>
      </c>
      <c r="S23" s="76" t="str">
        <f t="shared" si="11"/>
        <v/>
      </c>
      <c r="T23" s="76" t="str">
        <f t="shared" si="12"/>
        <v>-- 診療科ID_チェックディジット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6"/>
      <c r="O24" s="76"/>
      <c r="P24" s="76" t="str">
        <f t="shared" si="8"/>
        <v>,check_digit_schema</v>
      </c>
      <c r="Q24" s="76" t="str">
        <f t="shared" si="9"/>
        <v>TEXT</v>
      </c>
      <c r="R24" s="76" t="str">
        <f t="shared" si="10"/>
        <v/>
      </c>
      <c r="S24" s="76" t="str">
        <f t="shared" si="11"/>
        <v/>
      </c>
      <c r="T24" s="76" t="str">
        <f t="shared" si="12"/>
        <v>-- 診療科ID_チェックディジット方式</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6"/>
      <c r="O25" s="76"/>
      <c r="P25" s="76" t="str">
        <f t="shared" si="8"/>
        <v>,dp_name</v>
      </c>
      <c r="Q25" s="76" t="str">
        <f t="shared" si="9"/>
        <v>TEXT</v>
      </c>
      <c r="R25" s="76" t="str">
        <f t="shared" si="10"/>
        <v/>
      </c>
      <c r="S25" s="76" t="str">
        <f t="shared" si="11"/>
        <v/>
      </c>
      <c r="T25" s="76" t="str">
        <f t="shared" si="12"/>
        <v>-- 診療科名称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6"/>
      <c r="O26" s="76"/>
      <c r="P26" s="76" t="str">
        <f t="shared" si="8"/>
        <v>,dp_name_rep_code</v>
      </c>
      <c r="Q26" s="76" t="str">
        <f t="shared" si="9"/>
        <v>TEXT</v>
      </c>
      <c r="R26" s="76" t="str">
        <f t="shared" si="10"/>
        <v/>
      </c>
      <c r="S26" s="76" t="str">
        <f t="shared" si="11"/>
        <v/>
      </c>
      <c r="T26" s="76" t="str">
        <f t="shared" si="12"/>
        <v>-- 診療科名称_表記法</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4"/>
      <c r="N27" s="76"/>
      <c r="O27" s="76"/>
      <c r="P27" s="76" t="str">
        <f t="shared" si="4"/>
        <v>,dp_name_table_id</v>
      </c>
      <c r="Q27" s="76" t="str">
        <f t="shared" si="0"/>
        <v>TEXT</v>
      </c>
      <c r="R27" s="76" t="str">
        <f t="shared" si="1"/>
        <v/>
      </c>
      <c r="S27" s="76" t="str">
        <f t="shared" si="5"/>
        <v/>
      </c>
      <c r="T27" s="76" t="str">
        <f t="shared" si="6"/>
        <v>-- 診療科名称_テーブル名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milscm_2023_009.sny_202310_backup_text_mml_mmlre_dp.dp_name_table_id IS '診療科名称_テーブル名';</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ENT_01_C1-01</v>
      </c>
      <c r="E6" s="234"/>
      <c r="F6" s="234"/>
      <c r="G6" s="234"/>
      <c r="H6" s="234"/>
      <c r="I6" s="234"/>
      <c r="J6" s="235"/>
    </row>
    <row r="7" spans="1:45">
      <c r="B7" s="223" t="s">
        <v>115</v>
      </c>
      <c r="C7" s="224"/>
      <c r="D7" s="225" t="s">
        <v>198</v>
      </c>
      <c r="E7" s="226"/>
      <c r="F7" s="226"/>
      <c r="G7" s="226"/>
      <c r="H7" s="226"/>
      <c r="I7" s="226"/>
      <c r="J7" s="227"/>
    </row>
    <row r="8" spans="1:45">
      <c r="B8" s="223" t="s">
        <v>116</v>
      </c>
      <c r="C8" s="224"/>
      <c r="D8" s="225" t="str">
        <f>エンティティ一覧!AE2&amp;"_"&amp;D5&amp;"_merge_dpc_dn"</f>
        <v>sny_202310_backup_merge_dpc_dn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milscm_2023_009.sny_202310_backup_merge_dpc_dn;</v>
      </c>
      <c r="O10" s="76"/>
      <c r="P10" s="76"/>
      <c r="Q10" s="76"/>
      <c r="R10" s="76"/>
      <c r="S10" s="76"/>
      <c r="T10" s="76"/>
      <c r="AJ10" s="76" t="str">
        <f>"ALTER TABLE ONLY "&amp;エンティティ一覧!$O$2&amp;"."&amp;D$8</f>
        <v>ALTER TABLE ONLY milscm_2023_009.sny_202310_backup_merge_dpc_dn</v>
      </c>
      <c r="AS10" s="76" t="str">
        <f>"ALTER TABLE "&amp;エンティティ一覧!$O$2&amp;"."&amp;D$8&amp;" OWNER TO pgmisgrp1;"</f>
        <v>ALTER TABLE milscm_2023_009.sny_202310_backup_merge_dpc_dn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milscm_2023_009.sny_202310_backup_merge_dpc_dn</v>
      </c>
      <c r="O11" s="76"/>
      <c r="P11" s="76"/>
      <c r="Q11" s="76"/>
      <c r="R11" s="76"/>
      <c r="S11" s="76"/>
      <c r="T11" s="76"/>
      <c r="AJ11" s="76" t="str">
        <f>"ADD CONSTRAINT "&amp;D$8&amp;"_pkey PRIMARY KEY"</f>
        <v>ADD CONSTRAINT sny_202310_backup_merge_dpc_dn_pkey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milscm_2023_009.sny_202310_backup_merge_dpc_dn IS 'バックアップ_DPC調査データ_Dファイル';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milscm_2023_009.sny_202310_backup_merge_dpc_dn.torikomi_ym IS '取込年月';</v>
      </c>
    </row>
    <row r="14" spans="1:45" s="25" customFormat="1">
      <c r="A14" s="4"/>
      <c r="B14" s="21">
        <f t="shared" ref="B14:B45" si="2">ROW()-12</f>
        <v>2</v>
      </c>
      <c r="C14" s="6" t="s">
        <v>202</v>
      </c>
      <c r="D14" s="6" t="s">
        <v>203</v>
      </c>
      <c r="E14" s="8"/>
      <c r="F14" s="8" t="s">
        <v>204</v>
      </c>
      <c r="G14" s="7" t="str">
        <f t="shared" ref="G14:G46"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milscm_2023_009.sny_202310_backup_merge_dpc_dn.mil_karute_id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milscm_2023_009.sny_202310_backup_merge_dpc_dn.facility_id IS '施設ID';</v>
      </c>
    </row>
    <row r="16" spans="1:45" s="25" customFormat="1" ht="87">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milscm_2023_009.sny_202310_backup_merge_dpc_dn.shinryo_ym IS '診療年月';</v>
      </c>
    </row>
    <row r="17" spans="1:45" s="25" customFormat="1">
      <c r="B17" s="21">
        <f t="shared" si="2"/>
        <v>5</v>
      </c>
      <c r="C17" s="6" t="s">
        <v>207</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milscm_2023_009.sny_202310_backup_merge_dpc_dn.data_type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milscm_2023_009.sny_202310_backup_merge_dpc_dn.shikibetsu_no IS 'データ識別番号';</v>
      </c>
    </row>
    <row r="19" spans="1:45" s="25" customFormat="1" ht="34.799999999999997">
      <c r="B19" s="21">
        <f t="shared" si="2"/>
        <v>7</v>
      </c>
      <c r="C19" s="6" t="s">
        <v>211</v>
      </c>
      <c r="D19" s="6" t="s">
        <v>212</v>
      </c>
      <c r="E19" s="7" t="s">
        <v>127</v>
      </c>
      <c r="F19" s="7" t="s">
        <v>201</v>
      </c>
      <c r="G19" s="7" t="str">
        <f t="shared" si="3"/>
        <v>text</v>
      </c>
      <c r="H19" s="9"/>
      <c r="I19" s="10" t="s">
        <v>127</v>
      </c>
      <c r="J19" s="53" t="s">
        <v>261</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milscm_2023_009.sny_202310_backup_merge_dpc_dn.taiin_ymd IS '退院年月日';</v>
      </c>
    </row>
    <row r="20" spans="1:45" s="25" customFormat="1">
      <c r="B20" s="21">
        <f t="shared" si="2"/>
        <v>8</v>
      </c>
      <c r="C20" s="6" t="s">
        <v>143</v>
      </c>
      <c r="D20" s="6" t="s">
        <v>156</v>
      </c>
      <c r="E20" s="7" t="s">
        <v>127</v>
      </c>
      <c r="F20" s="7" t="s">
        <v>201</v>
      </c>
      <c r="G20" s="7" t="str">
        <f t="shared" si="3"/>
        <v>text</v>
      </c>
      <c r="H20" s="9"/>
      <c r="I20" s="10" t="s">
        <v>127</v>
      </c>
      <c r="J20" s="53" t="s">
        <v>144</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milscm_2023_009.sny_202310_backup_merge_dpc_dn.nyuin_ymd IS '入院年月日';</v>
      </c>
    </row>
    <row r="21" spans="1:45" s="25" customFormat="1">
      <c r="A21" s="4"/>
      <c r="B21" s="21">
        <f t="shared" si="2"/>
        <v>9</v>
      </c>
      <c r="C21" s="6" t="s">
        <v>213</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milscm_2023_009.sny_202310_backup_merge_dpc_dn.data_kubun IS 'データ区分';</v>
      </c>
    </row>
    <row r="22" spans="1:45" s="25" customFormat="1">
      <c r="A22" s="4"/>
      <c r="B22" s="21">
        <f t="shared" si="2"/>
        <v>10</v>
      </c>
      <c r="C22" s="14" t="s">
        <v>215</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milscm_2023_009.sny_202310_backup_merge_dpc_dn.junjo_no IS '順序番号';</v>
      </c>
    </row>
    <row r="23" spans="1:45" s="25" customFormat="1">
      <c r="A23" s="4"/>
      <c r="B23" s="21">
        <f t="shared" si="2"/>
        <v>11</v>
      </c>
      <c r="C23" s="14" t="s">
        <v>217</v>
      </c>
      <c r="D23" s="14" t="s">
        <v>218</v>
      </c>
      <c r="E23" s="7"/>
      <c r="F23" s="7" t="s">
        <v>201</v>
      </c>
      <c r="G23" s="7" t="str">
        <f t="shared" si="3"/>
        <v>text</v>
      </c>
      <c r="H23" s="26"/>
      <c r="I23" s="10"/>
      <c r="J23" s="53"/>
      <c r="N23" s="76"/>
      <c r="O23" s="76"/>
      <c r="P23" s="76" t="str">
        <f t="shared" si="4"/>
        <v>,tensu_master_code</v>
      </c>
      <c r="Q23" s="76" t="str">
        <f t="shared" si="0"/>
        <v>TEXT</v>
      </c>
      <c r="R23" s="76" t="str">
        <f t="shared" si="1"/>
        <v/>
      </c>
      <c r="S23" s="76" t="str">
        <f t="shared" si="5"/>
        <v/>
      </c>
      <c r="T23" s="76" t="str">
        <f t="shared" si="6"/>
        <v>-- 病院点数マスタコード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milscm_2023_009.sny_202310_backup_merge_dpc_dn.tensu_master_code IS '病院点数マスタコード';</v>
      </c>
    </row>
    <row r="24" spans="1:45" s="25" customFormat="1">
      <c r="A24" s="4"/>
      <c r="B24" s="21">
        <f t="shared" si="2"/>
        <v>12</v>
      </c>
      <c r="C24" s="6" t="s">
        <v>145</v>
      </c>
      <c r="D24" s="6" t="s">
        <v>154</v>
      </c>
      <c r="E24" s="8"/>
      <c r="F24" s="8" t="s">
        <v>201</v>
      </c>
      <c r="G24" s="7" t="str">
        <f t="shared" si="3"/>
        <v>text</v>
      </c>
      <c r="H24" s="9"/>
      <c r="I24" s="10"/>
      <c r="J24" s="53"/>
      <c r="N24" s="76"/>
      <c r="O24" s="76"/>
      <c r="P24" s="76" t="str">
        <f t="shared" ref="P24:P45" si="7">IF(B24&lt;&gt;1,","&amp;D24,D24)</f>
        <v>,receipt_densan_code</v>
      </c>
      <c r="Q24" s="76" t="str">
        <f t="shared" ref="Q24:Q45" si="8">UPPER(G24)</f>
        <v>TEXT</v>
      </c>
      <c r="R24" s="76" t="str">
        <f t="shared" ref="R24:R45" si="9">IF(H24&lt;&gt;"","default "&amp;IF(G24="text","'"&amp;H24&amp;"'",H24),"")</f>
        <v/>
      </c>
      <c r="S24" s="76" t="str">
        <f t="shared" ref="S24:S45" si="10">IF(I24="○","NOT NULL","")</f>
        <v/>
      </c>
      <c r="T24" s="76" t="str">
        <f t="shared" ref="T24:T45" si="11">"-- "&amp;C24</f>
        <v>-- レセプト電算処理システム用コード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milscm_2023_009.sny_202310_backup_merge_dpc_dn.receipt_densan_code IS 'レセプト電算処理システム用コード';</v>
      </c>
    </row>
    <row r="25" spans="1:45" s="25" customFormat="1">
      <c r="A25" s="4"/>
      <c r="B25" s="21">
        <f t="shared" si="2"/>
        <v>13</v>
      </c>
      <c r="C25" s="6" t="s">
        <v>219</v>
      </c>
      <c r="D25" s="6" t="s">
        <v>220</v>
      </c>
      <c r="E25" s="8"/>
      <c r="F25" s="8" t="s">
        <v>201</v>
      </c>
      <c r="G25" s="7" t="str">
        <f t="shared" si="3"/>
        <v>text</v>
      </c>
      <c r="H25" s="9"/>
      <c r="I25" s="10"/>
      <c r="J25" s="53"/>
      <c r="N25" s="76"/>
      <c r="O25" s="76"/>
      <c r="P25" s="76" t="str">
        <f t="shared" si="7"/>
        <v>,kaishaku_no</v>
      </c>
      <c r="Q25" s="76" t="str">
        <f t="shared" si="8"/>
        <v>TEXT</v>
      </c>
      <c r="R25" s="76" t="str">
        <f t="shared" si="9"/>
        <v/>
      </c>
      <c r="S25" s="76" t="str">
        <f t="shared" si="10"/>
        <v/>
      </c>
      <c r="T25" s="76" t="str">
        <f t="shared" si="11"/>
        <v>-- 解釈番号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milscm_2023_009.sny_202310_backup_merge_dpc_dn.kaishaku_no IS '解釈番号';</v>
      </c>
    </row>
    <row r="26" spans="1:45" s="25" customFormat="1">
      <c r="A26" s="4"/>
      <c r="B26" s="21">
        <f t="shared" si="2"/>
        <v>14</v>
      </c>
      <c r="C26" s="6" t="s">
        <v>221</v>
      </c>
      <c r="D26" s="6" t="s">
        <v>222</v>
      </c>
      <c r="E26" s="8"/>
      <c r="F26" s="8" t="s">
        <v>201</v>
      </c>
      <c r="G26" s="7" t="str">
        <f t="shared" si="3"/>
        <v>text</v>
      </c>
      <c r="H26" s="9"/>
      <c r="I26" s="10"/>
      <c r="J26" s="53" t="s">
        <v>147</v>
      </c>
      <c r="N26" s="76"/>
      <c r="O26" s="76"/>
      <c r="P26" s="76" t="str">
        <f t="shared" si="7"/>
        <v>,shinryo_koi_name</v>
      </c>
      <c r="Q26" s="76" t="str">
        <f t="shared" si="8"/>
        <v>TEXT</v>
      </c>
      <c r="R26" s="76" t="str">
        <f t="shared" si="9"/>
        <v/>
      </c>
      <c r="S26" s="76" t="str">
        <f t="shared" si="10"/>
        <v/>
      </c>
      <c r="T26" s="76" t="str">
        <f t="shared" si="11"/>
        <v>-- 診療行為名称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milscm_2023_009.sny_202310_backup_merge_dpc_dn.shinryo_koi_name IS '診療行為名称';</v>
      </c>
    </row>
    <row r="27" spans="1:45" s="25" customFormat="1">
      <c r="A27" s="4"/>
      <c r="B27" s="21">
        <f t="shared" si="2"/>
        <v>15</v>
      </c>
      <c r="C27" s="6" t="s">
        <v>223</v>
      </c>
      <c r="D27" s="6" t="s">
        <v>224</v>
      </c>
      <c r="E27" s="8"/>
      <c r="F27" s="8" t="s">
        <v>225</v>
      </c>
      <c r="G27" s="7" t="str">
        <f t="shared" si="3"/>
        <v>numeric</v>
      </c>
      <c r="H27" s="9"/>
      <c r="I27" s="10"/>
      <c r="J27" s="53"/>
      <c r="N27" s="76"/>
      <c r="O27" s="76"/>
      <c r="P27" s="76" t="str">
        <f t="shared" si="7"/>
        <v>,koi_tensu</v>
      </c>
      <c r="Q27" s="76" t="str">
        <f t="shared" si="8"/>
        <v>NUMERIC</v>
      </c>
      <c r="R27" s="76" t="str">
        <f t="shared" si="9"/>
        <v/>
      </c>
      <c r="S27" s="76" t="str">
        <f t="shared" si="10"/>
        <v/>
      </c>
      <c r="T27" s="76" t="str">
        <f t="shared" si="11"/>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milscm_2023_009.sny_202310_backup_merge_dpc_dn.koi_tensu IS '行為点数';</v>
      </c>
    </row>
    <row r="28" spans="1:45" s="25" customFormat="1">
      <c r="A28" s="4"/>
      <c r="B28" s="21">
        <f t="shared" si="2"/>
        <v>16</v>
      </c>
      <c r="C28" s="6" t="s">
        <v>226</v>
      </c>
      <c r="D28" s="6" t="s">
        <v>227</v>
      </c>
      <c r="E28" s="8"/>
      <c r="F28" s="8" t="s">
        <v>225</v>
      </c>
      <c r="G28" s="7" t="str">
        <f t="shared" si="3"/>
        <v>numeric</v>
      </c>
      <c r="H28" s="9"/>
      <c r="I28" s="10"/>
      <c r="J28" s="53"/>
      <c r="N28" s="76"/>
      <c r="O28" s="76"/>
      <c r="P28" s="76" t="str">
        <f t="shared" si="7"/>
        <v>,koi_yakuzai</v>
      </c>
      <c r="Q28" s="76" t="str">
        <f t="shared" si="8"/>
        <v>NUMERIC</v>
      </c>
      <c r="R28" s="76" t="str">
        <f t="shared" si="9"/>
        <v/>
      </c>
      <c r="S28" s="76" t="str">
        <f t="shared" si="10"/>
        <v/>
      </c>
      <c r="T28" s="76" t="str">
        <f t="shared" si="11"/>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milscm_2023_009.sny_202310_backup_merge_dpc_dn.koi_yakuzai IS '行為薬剤料';</v>
      </c>
    </row>
    <row r="29" spans="1:45" s="25" customFormat="1">
      <c r="A29" s="4"/>
      <c r="B29" s="21">
        <f t="shared" si="2"/>
        <v>17</v>
      </c>
      <c r="C29" s="6" t="s">
        <v>228</v>
      </c>
      <c r="D29" s="6" t="s">
        <v>229</v>
      </c>
      <c r="E29" s="8"/>
      <c r="F29" s="8" t="s">
        <v>225</v>
      </c>
      <c r="G29" s="7" t="str">
        <f t="shared" si="3"/>
        <v>numeric</v>
      </c>
      <c r="H29" s="9"/>
      <c r="I29" s="10"/>
      <c r="J29" s="53"/>
      <c r="N29" s="76"/>
      <c r="O29" s="76"/>
      <c r="P29" s="76" t="str">
        <f t="shared" si="7"/>
        <v>,koi_zairyo</v>
      </c>
      <c r="Q29" s="76" t="str">
        <f t="shared" si="8"/>
        <v>NUMERIC</v>
      </c>
      <c r="R29" s="76" t="str">
        <f t="shared" si="9"/>
        <v/>
      </c>
      <c r="S29" s="76" t="str">
        <f t="shared" si="10"/>
        <v/>
      </c>
      <c r="T29" s="76" t="str">
        <f t="shared" si="11"/>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milscm_2023_009.sny_202310_backup_merge_dpc_dn.koi_zairyo IS '行為材料料';</v>
      </c>
    </row>
    <row r="30" spans="1:45" s="25" customFormat="1">
      <c r="A30" s="4"/>
      <c r="B30" s="21">
        <f t="shared" si="2"/>
        <v>18</v>
      </c>
      <c r="C30" s="6" t="s">
        <v>151</v>
      </c>
      <c r="D30" s="6" t="s">
        <v>131</v>
      </c>
      <c r="E30" s="8"/>
      <c r="F30" s="8" t="s">
        <v>201</v>
      </c>
      <c r="G30" s="7" t="str">
        <f t="shared" si="3"/>
        <v>text</v>
      </c>
      <c r="H30" s="9"/>
      <c r="I30" s="10"/>
      <c r="J30" s="53" t="s">
        <v>152</v>
      </c>
      <c r="N30" s="76"/>
      <c r="O30" s="76"/>
      <c r="P30" s="76" t="str">
        <f t="shared" si="7"/>
        <v>,ten_kubun</v>
      </c>
      <c r="Q30" s="76" t="str">
        <f t="shared" si="8"/>
        <v>TEXT</v>
      </c>
      <c r="R30" s="76" t="str">
        <f t="shared" si="9"/>
        <v/>
      </c>
      <c r="S30" s="76" t="str">
        <f t="shared" si="10"/>
        <v/>
      </c>
      <c r="T30" s="76" t="str">
        <f t="shared" si="11"/>
        <v>-- 円・点区分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milscm_2023_009.sny_202310_backup_merge_dpc_dn.ten_kubun IS '円・点区分';</v>
      </c>
    </row>
    <row r="31" spans="1:45" s="25" customFormat="1">
      <c r="A31" s="4"/>
      <c r="B31" s="21">
        <f t="shared" si="2"/>
        <v>19</v>
      </c>
      <c r="C31" s="6" t="s">
        <v>148</v>
      </c>
      <c r="D31" s="6" t="s">
        <v>133</v>
      </c>
      <c r="E31" s="8"/>
      <c r="F31" s="8" t="s">
        <v>225</v>
      </c>
      <c r="G31" s="7" t="str">
        <f t="shared" si="3"/>
        <v>numeric</v>
      </c>
      <c r="H31" s="9"/>
      <c r="I31" s="10"/>
      <c r="J31" s="53"/>
      <c r="N31" s="76"/>
      <c r="O31" s="76"/>
      <c r="P31" s="76" t="str">
        <f t="shared" si="7"/>
        <v>,koi_times</v>
      </c>
      <c r="Q31" s="76" t="str">
        <f t="shared" si="8"/>
        <v>NUMERIC</v>
      </c>
      <c r="R31" s="76" t="str">
        <f t="shared" si="9"/>
        <v/>
      </c>
      <c r="S31" s="76" t="str">
        <f t="shared" si="10"/>
        <v/>
      </c>
      <c r="T31" s="76" t="str">
        <f t="shared" si="11"/>
        <v>-- 行為回数</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milscm_2023_009.sny_202310_backup_merge_dpc_dn.koi_times IS '行為回数';</v>
      </c>
    </row>
    <row r="32" spans="1:45" s="25" customFormat="1">
      <c r="A32" s="4"/>
      <c r="B32" s="21">
        <f t="shared" si="2"/>
        <v>20</v>
      </c>
      <c r="C32" s="6" t="s">
        <v>230</v>
      </c>
      <c r="D32" s="6" t="s">
        <v>231</v>
      </c>
      <c r="E32" s="8"/>
      <c r="F32" s="8" t="s">
        <v>201</v>
      </c>
      <c r="G32" s="7" t="str">
        <f t="shared" si="3"/>
        <v>text</v>
      </c>
      <c r="H32" s="9"/>
      <c r="I32" s="10"/>
      <c r="J32" s="53"/>
      <c r="N32" s="76"/>
      <c r="O32" s="76"/>
      <c r="P32" s="76" t="str">
        <f t="shared" si="7"/>
        <v>,hoken_no</v>
      </c>
      <c r="Q32" s="76" t="str">
        <f t="shared" si="8"/>
        <v>TEXT</v>
      </c>
      <c r="R32" s="76" t="str">
        <f t="shared" si="9"/>
        <v/>
      </c>
      <c r="S32" s="76" t="str">
        <f t="shared" si="10"/>
        <v/>
      </c>
      <c r="T32" s="76" t="str">
        <f t="shared" si="11"/>
        <v>-- 保険者番号</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milscm_2023_009.sny_202310_backup_merge_dpc_dn.hoken_no IS '保険者番号';</v>
      </c>
    </row>
    <row r="33" spans="1:45" s="25" customFormat="1">
      <c r="A33" s="4"/>
      <c r="B33" s="21">
        <f t="shared" si="2"/>
        <v>21</v>
      </c>
      <c r="C33" s="6" t="s">
        <v>232</v>
      </c>
      <c r="D33" s="6" t="s">
        <v>233</v>
      </c>
      <c r="E33" s="8"/>
      <c r="F33" s="8" t="s">
        <v>201</v>
      </c>
      <c r="G33" s="7" t="str">
        <f t="shared" si="3"/>
        <v>text</v>
      </c>
      <c r="H33" s="9"/>
      <c r="I33" s="10"/>
      <c r="J33" s="53"/>
      <c r="N33" s="76"/>
      <c r="O33" s="76"/>
      <c r="P33" s="76" t="str">
        <f t="shared" si="7"/>
        <v>,receipt_type_code</v>
      </c>
      <c r="Q33" s="76" t="str">
        <f t="shared" si="8"/>
        <v>TEXT</v>
      </c>
      <c r="R33" s="76" t="str">
        <f t="shared" si="9"/>
        <v/>
      </c>
      <c r="S33" s="76" t="str">
        <f t="shared" si="10"/>
        <v/>
      </c>
      <c r="T33" s="76" t="str">
        <f t="shared" si="11"/>
        <v>-- レセプト種別コード</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milscm_2023_009.sny_202310_backup_merge_dpc_dn.receipt_type_code IS 'レセプト種別コード';</v>
      </c>
    </row>
    <row r="34" spans="1:45" s="25" customFormat="1">
      <c r="A34" s="4"/>
      <c r="B34" s="21">
        <f t="shared" si="2"/>
        <v>22</v>
      </c>
      <c r="C34" s="6" t="s">
        <v>149</v>
      </c>
      <c r="D34" s="6" t="s">
        <v>155</v>
      </c>
      <c r="E34" s="8"/>
      <c r="F34" s="8" t="s">
        <v>201</v>
      </c>
      <c r="G34" s="7" t="str">
        <f t="shared" si="3"/>
        <v>text</v>
      </c>
      <c r="H34" s="9"/>
      <c r="I34" s="10"/>
      <c r="J34" s="53" t="s">
        <v>144</v>
      </c>
      <c r="N34" s="76"/>
      <c r="O34" s="76"/>
      <c r="P34" s="76" t="str">
        <f t="shared" si="7"/>
        <v>,jisshi_ymd</v>
      </c>
      <c r="Q34" s="76" t="str">
        <f t="shared" si="8"/>
        <v>TEXT</v>
      </c>
      <c r="R34" s="76" t="str">
        <f t="shared" si="9"/>
        <v/>
      </c>
      <c r="S34" s="76" t="str">
        <f t="shared" si="10"/>
        <v/>
      </c>
      <c r="T34" s="76" t="str">
        <f t="shared" si="11"/>
        <v>-- 実施年月日</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milscm_2023_009.sny_202310_backup_merge_dpc_dn.jisshi_ymd IS '実施年月日';</v>
      </c>
    </row>
    <row r="35" spans="1:45" s="25" customFormat="1">
      <c r="A35" s="4"/>
      <c r="B35" s="21">
        <f t="shared" si="2"/>
        <v>23</v>
      </c>
      <c r="C35" s="6" t="s">
        <v>234</v>
      </c>
      <c r="D35" s="6" t="s">
        <v>235</v>
      </c>
      <c r="E35" s="8"/>
      <c r="F35" s="8" t="s">
        <v>201</v>
      </c>
      <c r="G35" s="7" t="str">
        <f t="shared" si="3"/>
        <v>text</v>
      </c>
      <c r="H35" s="9"/>
      <c r="I35" s="10"/>
      <c r="J35" s="53"/>
      <c r="N35" s="76"/>
      <c r="O35" s="76"/>
      <c r="P35" s="76" t="str">
        <f t="shared" si="7"/>
        <v>,receipt_ka_kubun</v>
      </c>
      <c r="Q35" s="76" t="str">
        <f t="shared" si="8"/>
        <v>TEXT</v>
      </c>
      <c r="R35" s="76" t="str">
        <f t="shared" si="9"/>
        <v/>
      </c>
      <c r="S35" s="76" t="str">
        <f t="shared" si="10"/>
        <v/>
      </c>
      <c r="T35" s="76" t="str">
        <f t="shared" si="11"/>
        <v>-- レセプト科区分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milscm_2023_009.sny_202310_backup_merge_dpc_dn.receipt_ka_kubun IS 'レセプト科区分';</v>
      </c>
    </row>
    <row r="36" spans="1:45" s="25" customFormat="1">
      <c r="A36" s="4"/>
      <c r="B36" s="21">
        <f t="shared" si="2"/>
        <v>24</v>
      </c>
      <c r="C36" s="6" t="s">
        <v>134</v>
      </c>
      <c r="D36" s="6" t="s">
        <v>135</v>
      </c>
      <c r="E36" s="8"/>
      <c r="F36" s="8" t="s">
        <v>201</v>
      </c>
      <c r="G36" s="7" t="str">
        <f t="shared" si="3"/>
        <v>text</v>
      </c>
      <c r="H36" s="9"/>
      <c r="I36" s="10"/>
      <c r="J36" s="53"/>
      <c r="N36" s="76"/>
      <c r="O36" s="76"/>
      <c r="P36" s="76" t="str">
        <f t="shared" si="7"/>
        <v>,department_kubun</v>
      </c>
      <c r="Q36" s="76" t="str">
        <f t="shared" si="8"/>
        <v>TEXT</v>
      </c>
      <c r="R36" s="76" t="str">
        <f t="shared" si="9"/>
        <v/>
      </c>
      <c r="S36" s="76" t="str">
        <f t="shared" si="10"/>
        <v/>
      </c>
      <c r="T36" s="76" t="str">
        <f t="shared" si="11"/>
        <v>-- 診療科区分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milscm_2023_009.sny_202310_backup_merge_dpc_dn.department_kubun IS '診療科区分';</v>
      </c>
    </row>
    <row r="37" spans="1:45" s="25" customFormat="1">
      <c r="A37" s="4"/>
      <c r="B37" s="21">
        <f t="shared" si="2"/>
        <v>25</v>
      </c>
      <c r="C37" s="6" t="s">
        <v>236</v>
      </c>
      <c r="D37" s="6" t="s">
        <v>237</v>
      </c>
      <c r="E37" s="8"/>
      <c r="F37" s="8" t="s">
        <v>201</v>
      </c>
      <c r="G37" s="7" t="str">
        <f t="shared" si="3"/>
        <v>text</v>
      </c>
      <c r="H37" s="9"/>
      <c r="I37" s="10"/>
      <c r="J37" s="53"/>
      <c r="N37" s="76"/>
      <c r="O37" s="76"/>
      <c r="P37" s="76" t="str">
        <f t="shared" si="7"/>
        <v>,doctor_code</v>
      </c>
      <c r="Q37" s="76" t="str">
        <f t="shared" si="8"/>
        <v>TEXT</v>
      </c>
      <c r="R37" s="76" t="str">
        <f t="shared" si="9"/>
        <v/>
      </c>
      <c r="S37" s="76" t="str">
        <f t="shared" si="10"/>
        <v/>
      </c>
      <c r="T37" s="76" t="str">
        <f t="shared" si="11"/>
        <v>-- 医師コード</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milscm_2023_009.sny_202310_backup_merge_dpc_dn.doctor_code IS '医師コード';</v>
      </c>
    </row>
    <row r="38" spans="1:45" s="25" customFormat="1">
      <c r="A38" s="4"/>
      <c r="B38" s="21">
        <f t="shared" si="2"/>
        <v>26</v>
      </c>
      <c r="C38" s="6" t="s">
        <v>238</v>
      </c>
      <c r="D38" s="6" t="s">
        <v>239</v>
      </c>
      <c r="E38" s="8"/>
      <c r="F38" s="8" t="s">
        <v>201</v>
      </c>
      <c r="G38" s="7" t="str">
        <f t="shared" si="3"/>
        <v>text</v>
      </c>
      <c r="H38" s="9"/>
      <c r="I38" s="10"/>
      <c r="J38" s="53"/>
      <c r="N38" s="76"/>
      <c r="O38" s="76"/>
      <c r="P38" s="76" t="str">
        <f t="shared" si="7"/>
        <v>,ward_code</v>
      </c>
      <c r="Q38" s="76" t="str">
        <f t="shared" si="8"/>
        <v>TEXT</v>
      </c>
      <c r="R38" s="76" t="str">
        <f t="shared" si="9"/>
        <v/>
      </c>
      <c r="S38" s="76" t="str">
        <f t="shared" si="10"/>
        <v/>
      </c>
      <c r="T38" s="76" t="str">
        <f t="shared" si="11"/>
        <v>-- 病棟コード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milscm_2023_009.sny_202310_backup_merge_dpc_dn.ward_code IS '病棟コード';</v>
      </c>
    </row>
    <row r="39" spans="1:45" s="25" customFormat="1">
      <c r="A39" s="4"/>
      <c r="B39" s="21">
        <f t="shared" si="2"/>
        <v>27</v>
      </c>
      <c r="C39" s="6" t="s">
        <v>240</v>
      </c>
      <c r="D39" s="6" t="s">
        <v>241</v>
      </c>
      <c r="E39" s="8"/>
      <c r="F39" s="8" t="s">
        <v>201</v>
      </c>
      <c r="G39" s="7" t="str">
        <f t="shared" si="3"/>
        <v>text</v>
      </c>
      <c r="H39" s="9"/>
      <c r="I39" s="10"/>
      <c r="J39" s="53" t="s">
        <v>262</v>
      </c>
      <c r="N39" s="76"/>
      <c r="O39" s="76"/>
      <c r="P39" s="76" t="str">
        <f t="shared" si="7"/>
        <v>,ward_kubun</v>
      </c>
      <c r="Q39" s="76" t="str">
        <f t="shared" si="8"/>
        <v>TEXT</v>
      </c>
      <c r="R39" s="76" t="str">
        <f t="shared" si="9"/>
        <v/>
      </c>
      <c r="S39" s="76" t="str">
        <f t="shared" si="10"/>
        <v/>
      </c>
      <c r="T39" s="76" t="str">
        <f t="shared" si="11"/>
        <v>-- 病棟区分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milscm_2023_009.sny_202310_backup_merge_dpc_dn.ward_kubun IS '病棟区分';</v>
      </c>
    </row>
    <row r="40" spans="1:45" s="25" customFormat="1">
      <c r="A40" s="4"/>
      <c r="B40" s="21">
        <f t="shared" si="2"/>
        <v>28</v>
      </c>
      <c r="C40" s="6" t="s">
        <v>242</v>
      </c>
      <c r="D40" s="6" t="s">
        <v>243</v>
      </c>
      <c r="E40" s="8"/>
      <c r="F40" s="8" t="s">
        <v>201</v>
      </c>
      <c r="G40" s="7" t="str">
        <f t="shared" si="3"/>
        <v>text</v>
      </c>
      <c r="H40" s="9"/>
      <c r="I40" s="10"/>
      <c r="J40" s="53" t="s">
        <v>263</v>
      </c>
      <c r="N40" s="76"/>
      <c r="O40" s="76"/>
      <c r="P40" s="76" t="str">
        <f t="shared" si="7"/>
        <v>,nyugai_kubun</v>
      </c>
      <c r="Q40" s="76" t="str">
        <f t="shared" si="8"/>
        <v>TEXT</v>
      </c>
      <c r="R40" s="76" t="str">
        <f t="shared" si="9"/>
        <v/>
      </c>
      <c r="S40" s="76" t="str">
        <f t="shared" si="10"/>
        <v/>
      </c>
      <c r="T40" s="76" t="str">
        <f t="shared" si="11"/>
        <v>-- 入外区分</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milscm_2023_009.sny_202310_backup_merge_dpc_dn.nyugai_kubun IS '入外区分';</v>
      </c>
    </row>
    <row r="41" spans="1:45" s="25" customFormat="1">
      <c r="A41" s="4"/>
      <c r="B41" s="21">
        <f t="shared" si="2"/>
        <v>29</v>
      </c>
      <c r="C41" s="6" t="s">
        <v>244</v>
      </c>
      <c r="D41" s="6" t="s">
        <v>245</v>
      </c>
      <c r="E41" s="8"/>
      <c r="F41" s="8" t="s">
        <v>201</v>
      </c>
      <c r="G41" s="7" t="str">
        <f t="shared" si="3"/>
        <v>text</v>
      </c>
      <c r="H41" s="9"/>
      <c r="I41" s="10"/>
      <c r="J41" s="53"/>
      <c r="N41" s="76"/>
      <c r="O41" s="76"/>
      <c r="P41" s="76" t="str">
        <f t="shared" si="7"/>
        <v>,facility_type</v>
      </c>
      <c r="Q41" s="76" t="str">
        <f t="shared" si="8"/>
        <v>TEXT</v>
      </c>
      <c r="R41" s="76" t="str">
        <f t="shared" si="9"/>
        <v/>
      </c>
      <c r="S41" s="76" t="str">
        <f t="shared" si="10"/>
        <v/>
      </c>
      <c r="T41" s="76" t="str">
        <f t="shared" si="11"/>
        <v>-- 施設タイプ</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milscm_2023_009.sny_202310_backup_merge_dpc_dn.facility_type IS '施設タイプ';</v>
      </c>
    </row>
    <row r="42" spans="1:45" s="25" customFormat="1">
      <c r="A42" s="4"/>
      <c r="B42" s="21">
        <f t="shared" si="2"/>
        <v>30</v>
      </c>
      <c r="C42" s="6" t="s">
        <v>246</v>
      </c>
      <c r="D42" s="6" t="s">
        <v>247</v>
      </c>
      <c r="E42" s="8"/>
      <c r="F42" s="8" t="s">
        <v>201</v>
      </c>
      <c r="G42" s="7" t="str">
        <f t="shared" si="3"/>
        <v>text</v>
      </c>
      <c r="H42" s="9"/>
      <c r="I42" s="10"/>
      <c r="J42" s="53" t="s">
        <v>144</v>
      </c>
      <c r="N42" s="76"/>
      <c r="O42" s="76"/>
      <c r="P42" s="76" t="str">
        <f t="shared" si="7"/>
        <v>,santei_start_ymd</v>
      </c>
      <c r="Q42" s="76" t="str">
        <f t="shared" si="8"/>
        <v>TEXT</v>
      </c>
      <c r="R42" s="76" t="str">
        <f t="shared" si="9"/>
        <v/>
      </c>
      <c r="S42" s="76" t="str">
        <f t="shared" si="10"/>
        <v/>
      </c>
      <c r="T42" s="76" t="str">
        <f t="shared" si="11"/>
        <v>-- 算定開始日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milscm_2023_009.sny_202310_backup_merge_dpc_dn.santei_start_ymd IS '算定開始日';</v>
      </c>
    </row>
    <row r="43" spans="1:45" s="25" customFormat="1">
      <c r="A43" s="4"/>
      <c r="B43" s="21">
        <f t="shared" si="2"/>
        <v>31</v>
      </c>
      <c r="C43" s="6" t="s">
        <v>248</v>
      </c>
      <c r="D43" s="6" t="s">
        <v>249</v>
      </c>
      <c r="E43" s="8"/>
      <c r="F43" s="8" t="s">
        <v>201</v>
      </c>
      <c r="G43" s="7" t="str">
        <f t="shared" si="3"/>
        <v>text</v>
      </c>
      <c r="H43" s="9"/>
      <c r="I43" s="10"/>
      <c r="J43" s="53" t="s">
        <v>144</v>
      </c>
      <c r="N43" s="76"/>
      <c r="O43" s="76"/>
      <c r="P43" s="76" t="str">
        <f t="shared" si="7"/>
        <v>,santei_end_ymd</v>
      </c>
      <c r="Q43" s="76" t="str">
        <f t="shared" si="8"/>
        <v>TEXT</v>
      </c>
      <c r="R43" s="76" t="str">
        <f t="shared" si="9"/>
        <v/>
      </c>
      <c r="S43" s="76" t="str">
        <f t="shared" si="10"/>
        <v/>
      </c>
      <c r="T43" s="76" t="str">
        <f t="shared" si="11"/>
        <v>-- 算定終了日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milscm_2023_009.sny_202310_backup_merge_dpc_dn.santei_end_ymd IS '算定終了日';</v>
      </c>
    </row>
    <row r="44" spans="1:45" s="25" customFormat="1">
      <c r="A44" s="4"/>
      <c r="B44" s="21">
        <f t="shared" si="2"/>
        <v>32</v>
      </c>
      <c r="C44" s="6" t="s">
        <v>250</v>
      </c>
      <c r="D44" s="6" t="s">
        <v>251</v>
      </c>
      <c r="E44" s="8"/>
      <c r="F44" s="8" t="s">
        <v>201</v>
      </c>
      <c r="G44" s="7" t="str">
        <f t="shared" si="3"/>
        <v>text</v>
      </c>
      <c r="H44" s="9"/>
      <c r="I44" s="10"/>
      <c r="J44" s="53" t="s">
        <v>144</v>
      </c>
      <c r="N44" s="76"/>
      <c r="O44" s="76"/>
      <c r="P44" s="76" t="str">
        <f t="shared" si="7"/>
        <v>,santei_kisan_ymd</v>
      </c>
      <c r="Q44" s="76" t="str">
        <f t="shared" si="8"/>
        <v>TEXT</v>
      </c>
      <c r="R44" s="76" t="str">
        <f t="shared" si="9"/>
        <v/>
      </c>
      <c r="S44" s="76" t="str">
        <f t="shared" si="10"/>
        <v/>
      </c>
      <c r="T44" s="76" t="str">
        <f t="shared" si="11"/>
        <v>-- 算定起算日</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milscm_2023_009.sny_202310_backup_merge_dpc_dn.santei_kisan_ymd IS '算定起算日';</v>
      </c>
    </row>
    <row r="45" spans="1:45" s="25" customFormat="1">
      <c r="A45" s="4"/>
      <c r="B45" s="21">
        <f t="shared" si="2"/>
        <v>33</v>
      </c>
      <c r="C45" s="6" t="s">
        <v>252</v>
      </c>
      <c r="D45" s="6" t="s">
        <v>253</v>
      </c>
      <c r="E45" s="8"/>
      <c r="F45" s="8" t="s">
        <v>201</v>
      </c>
      <c r="G45" s="7" t="str">
        <f t="shared" si="3"/>
        <v>text</v>
      </c>
      <c r="H45" s="9"/>
      <c r="I45" s="10"/>
      <c r="J45" s="53"/>
      <c r="N45" s="76"/>
      <c r="O45" s="76"/>
      <c r="P45" s="76" t="str">
        <f t="shared" si="7"/>
        <v>,bunrui_no</v>
      </c>
      <c r="Q45" s="76" t="str">
        <f t="shared" si="8"/>
        <v>TEXT</v>
      </c>
      <c r="R45" s="76" t="str">
        <f t="shared" si="9"/>
        <v/>
      </c>
      <c r="S45" s="76" t="str">
        <f t="shared" si="10"/>
        <v/>
      </c>
      <c r="T45" s="76" t="str">
        <f t="shared" si="11"/>
        <v>-- 分類番号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milscm_2023_009.sny_202310_backup_merge_dpc_dn.bunrui_no IS '分類番号';</v>
      </c>
    </row>
    <row r="46" spans="1:45" s="25" customFormat="1" ht="35.4" thickBot="1">
      <c r="A46" s="4"/>
      <c r="B46" s="27">
        <f>ROW()-12</f>
        <v>34</v>
      </c>
      <c r="C46" s="28" t="s">
        <v>254</v>
      </c>
      <c r="D46" s="28" t="s">
        <v>255</v>
      </c>
      <c r="E46" s="29"/>
      <c r="F46" s="29" t="s">
        <v>201</v>
      </c>
      <c r="G46" s="56" t="str">
        <f t="shared" si="3"/>
        <v>text</v>
      </c>
      <c r="H46" s="30"/>
      <c r="I46" s="31"/>
      <c r="J46" s="55" t="s">
        <v>264</v>
      </c>
      <c r="N46" s="76"/>
      <c r="O46" s="76"/>
      <c r="P46" s="76" t="str">
        <f t="shared" si="4"/>
        <v>,hospital_keisu</v>
      </c>
      <c r="Q46" s="76" t="str">
        <f t="shared" si="0"/>
        <v>TEXT</v>
      </c>
      <c r="R46" s="76" t="str">
        <f t="shared" si="1"/>
        <v/>
      </c>
      <c r="S46" s="76" t="str">
        <f t="shared" si="5"/>
        <v/>
      </c>
      <c r="T46" s="76" t="str">
        <f t="shared" si="6"/>
        <v>-- 医療機関係数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milscm_2023_009.sny_202310_backup_merge_dpc_dn.hospital_keisu IS '医療機関係数';</v>
      </c>
    </row>
    <row r="47" spans="1:45">
      <c r="M47" s="25"/>
      <c r="N47" s="76" t="s">
        <v>142</v>
      </c>
      <c r="O47" s="76"/>
      <c r="P47" s="76"/>
      <c r="Q47" s="76"/>
      <c r="R47" s="76"/>
      <c r="S47" s="76"/>
      <c r="T47" s="76"/>
      <c r="V47" s="25"/>
      <c r="W47" s="25"/>
      <c r="X47" s="25"/>
      <c r="Y47" s="25"/>
      <c r="Z47" s="25"/>
      <c r="AJ47" s="76"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ENT_01_C1-02</v>
      </c>
      <c r="E6" s="234"/>
      <c r="F6" s="234"/>
      <c r="G6" s="234"/>
      <c r="H6" s="234"/>
      <c r="I6" s="234"/>
      <c r="J6" s="235"/>
    </row>
    <row r="7" spans="1:45">
      <c r="B7" s="223" t="s">
        <v>115</v>
      </c>
      <c r="C7" s="224"/>
      <c r="D7" s="225" t="s">
        <v>192</v>
      </c>
      <c r="E7" s="226"/>
      <c r="F7" s="226"/>
      <c r="G7" s="226"/>
      <c r="H7" s="226"/>
      <c r="I7" s="226"/>
      <c r="J7" s="227"/>
    </row>
    <row r="8" spans="1:45">
      <c r="B8" s="223" t="s">
        <v>116</v>
      </c>
      <c r="C8" s="224"/>
      <c r="D8" s="225" t="str">
        <f>エンティティ一覧!AE2&amp;"_"&amp;D5&amp;"_merge_dpc_efn"</f>
        <v>sny_202310_backup_merge_dpc_efn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milscm_2023_009.sny_202310_backup_merge_dpc_efn;</v>
      </c>
      <c r="O10" s="76"/>
      <c r="P10" s="76"/>
      <c r="Q10" s="76"/>
      <c r="R10" s="76"/>
      <c r="S10" s="76"/>
      <c r="T10" s="76"/>
      <c r="AJ10" s="76" t="str">
        <f>"ALTER TABLE ONLY "&amp;エンティティ一覧!$O$2&amp;"."&amp;D$8</f>
        <v>ALTER TABLE ONLY milscm_2023_009.sny_202310_backup_merge_dpc_efn</v>
      </c>
      <c r="AS10" s="76" t="str">
        <f>"ALTER TABLE "&amp;エンティティ一覧!$O$2&amp;"."&amp;D$8&amp;" OWNER TO pgmisgrp1;"</f>
        <v>ALTER TABLE milscm_2023_009.sny_202310_backup_merge_dpc_efn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milscm_2023_009.sny_202310_backup_merge_dpc_efn</v>
      </c>
      <c r="O11" s="76"/>
      <c r="P11" s="76"/>
      <c r="Q11" s="76"/>
      <c r="R11" s="76"/>
      <c r="S11" s="76"/>
      <c r="T11" s="76"/>
      <c r="AJ11" s="76" t="str">
        <f>"ADD CONSTRAINT "&amp;D$8&amp;"_pkey PRIMARY KEY"</f>
        <v>ADD CONSTRAINT sny_202310_backup_merge_dpc_efn_pkey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milscm_2023_009.sny_202310_backup_merge_dpc_efn IS 'バックアップ_DPC調査データ_入院EF統合ファイル';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46" si="0">UPPER(G13)</f>
        <v>TEXT</v>
      </c>
      <c r="R13" s="76" t="str">
        <f t="shared" ref="R13:R4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4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46" si="5">IF(I16="○","NOT NULL","")</f>
        <v>NOT NULL</v>
      </c>
      <c r="T16" s="76" t="str">
        <f t="shared" ref="T16:T46"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milscm_2023_009.sny_202310_backup_merge_dpc_efn.taiin_ymd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milscm_2023_009.sny_202310_backup_merge_dpc_efn.nyuin_ymd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milscm_2023_009.sny_202310_backup_merge_dpc_efn.dekidaka_tensu IS '出来高実績点数';</v>
      </c>
    </row>
    <row r="33" spans="1:47" s="25" customFormat="1" ht="52.2">
      <c r="A33" s="4"/>
      <c r="B33" s="21">
        <f t="shared" si="2"/>
        <v>21</v>
      </c>
      <c r="C33" s="6" t="s">
        <v>281</v>
      </c>
      <c r="D33" s="6" t="s">
        <v>132</v>
      </c>
      <c r="E33" s="8"/>
      <c r="F33" s="8" t="s">
        <v>201</v>
      </c>
      <c r="G33" s="7" t="str">
        <f t="shared" si="3"/>
        <v>text</v>
      </c>
      <c r="H33" s="9"/>
      <c r="I33" s="10"/>
      <c r="J33" s="53" t="s">
        <v>298</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milscm_2023_009.sny_202310_backup_merge_dpc_efn.koi_meisai_kubun IS '行為明細区分情報';</v>
      </c>
    </row>
    <row r="34" spans="1:47" s="25" customFormat="1" ht="52.2">
      <c r="A34" s="4"/>
      <c r="B34" s="21">
        <f t="shared" si="2"/>
        <v>22</v>
      </c>
      <c r="C34" s="6" t="s">
        <v>282</v>
      </c>
      <c r="D34" s="6" t="s">
        <v>224</v>
      </c>
      <c r="E34" s="8"/>
      <c r="F34" s="8" t="s">
        <v>225</v>
      </c>
      <c r="G34" s="7" t="str">
        <f t="shared" si="3"/>
        <v>numeric</v>
      </c>
      <c r="H34" s="9"/>
      <c r="I34" s="10"/>
      <c r="J34" s="53"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milscm_2023_009.sny_202310_backup_merge_dpc_efn.koi_tensu IS '行為点数';</v>
      </c>
    </row>
    <row r="35" spans="1:47" s="25" customFormat="1">
      <c r="A35" s="4"/>
      <c r="B35" s="21">
        <f t="shared" si="2"/>
        <v>23</v>
      </c>
      <c r="C35" s="6" t="s">
        <v>283</v>
      </c>
      <c r="D35" s="6" t="s">
        <v>227</v>
      </c>
      <c r="E35" s="8"/>
      <c r="F35" s="8" t="s">
        <v>225</v>
      </c>
      <c r="G35" s="7" t="str">
        <f t="shared" si="3"/>
        <v>numeric</v>
      </c>
      <c r="H35" s="9"/>
      <c r="I35" s="10"/>
      <c r="J35" s="53"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milscm_2023_009.sny_202310_backup_merge_dpc_efn.koi_yakuzai IS '行為薬剤料';</v>
      </c>
    </row>
    <row r="36" spans="1:47" s="25" customFormat="1">
      <c r="A36" s="4"/>
      <c r="B36" s="21">
        <f t="shared" si="2"/>
        <v>24</v>
      </c>
      <c r="C36" s="6" t="s">
        <v>284</v>
      </c>
      <c r="D36" s="6" t="s">
        <v>229</v>
      </c>
      <c r="E36" s="8"/>
      <c r="F36" s="8" t="s">
        <v>225</v>
      </c>
      <c r="G36" s="7" t="str">
        <f t="shared" si="3"/>
        <v>numeric</v>
      </c>
      <c r="H36" s="9"/>
      <c r="I36" s="10"/>
      <c r="J36" s="53"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milscm_2023_009.sny_202310_backup_merge_dpc_efn.koi_zairyo IS '行為材料料';</v>
      </c>
    </row>
    <row r="37" spans="1:47" s="25" customFormat="1">
      <c r="A37" s="4"/>
      <c r="B37" s="21">
        <f t="shared" si="2"/>
        <v>25</v>
      </c>
      <c r="C37" s="6" t="s">
        <v>285</v>
      </c>
      <c r="D37" s="6" t="s">
        <v>133</v>
      </c>
      <c r="E37" s="8"/>
      <c r="F37" s="8" t="s">
        <v>225</v>
      </c>
      <c r="G37" s="7" t="str">
        <f t="shared" si="3"/>
        <v>numeric</v>
      </c>
      <c r="H37" s="9"/>
      <c r="I37" s="10"/>
      <c r="J37" s="53"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milscm_2023_009.sny_202310_backup_merge_dpc_efn.koi_times IS '行為回数';</v>
      </c>
    </row>
    <row r="38" spans="1:47" s="25" customFormat="1">
      <c r="A38" s="4"/>
      <c r="B38" s="21">
        <f t="shared" si="2"/>
        <v>26</v>
      </c>
      <c r="C38" s="6" t="s">
        <v>286</v>
      </c>
      <c r="D38" s="6" t="s">
        <v>231</v>
      </c>
      <c r="E38" s="8"/>
      <c r="F38" s="8" t="s">
        <v>201</v>
      </c>
      <c r="G38" s="7" t="str">
        <f t="shared" si="3"/>
        <v>text</v>
      </c>
      <c r="H38" s="9"/>
      <c r="I38" s="10"/>
      <c r="J38" s="53"/>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milscm_2023_009.sny_202310_backup_merge_dpc_efn.hoken_no IS '保険者番号';</v>
      </c>
    </row>
    <row r="39" spans="1:47" s="25" customFormat="1">
      <c r="A39" s="4"/>
      <c r="B39" s="21">
        <f t="shared" si="2"/>
        <v>27</v>
      </c>
      <c r="C39" s="6" t="s">
        <v>287</v>
      </c>
      <c r="D39" s="6" t="s">
        <v>233</v>
      </c>
      <c r="E39" s="8"/>
      <c r="F39" s="8" t="s">
        <v>201</v>
      </c>
      <c r="G39" s="7" t="str">
        <f t="shared" si="3"/>
        <v>text</v>
      </c>
      <c r="H39" s="9"/>
      <c r="I39" s="10"/>
      <c r="J39" s="53"/>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milscm_2023_009.sny_202310_backup_merge_dpc_efn.receipt_type_code IS 'レセプト種別コード';</v>
      </c>
    </row>
    <row r="40" spans="1:47" s="25" customFormat="1">
      <c r="A40" s="4"/>
      <c r="B40" s="21">
        <f t="shared" si="2"/>
        <v>28</v>
      </c>
      <c r="C40" s="6" t="s">
        <v>288</v>
      </c>
      <c r="D40" s="6" t="s">
        <v>155</v>
      </c>
      <c r="E40" s="8"/>
      <c r="F40" s="8" t="s">
        <v>201</v>
      </c>
      <c r="G40" s="7" t="str">
        <f t="shared" si="3"/>
        <v>text</v>
      </c>
      <c r="H40" s="9"/>
      <c r="I40" s="10" t="s">
        <v>127</v>
      </c>
      <c r="J40" s="53" t="s">
        <v>144</v>
      </c>
      <c r="N40" s="76"/>
      <c r="O40" s="76"/>
      <c r="P40" s="76" t="str">
        <f t="shared" si="4"/>
        <v>,jisshi_ymd</v>
      </c>
      <c r="Q40" s="76" t="str">
        <f t="shared" si="0"/>
        <v>TEXT</v>
      </c>
      <c r="R40" s="76" t="str">
        <f t="shared" si="1"/>
        <v/>
      </c>
      <c r="S40" s="76" t="str">
        <f t="shared" si="5"/>
        <v>NOT NULL</v>
      </c>
      <c r="T40" s="76" t="str">
        <f t="shared" si="6"/>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milscm_2023_009.sny_202310_backup_merge_dpc_efn.jisshi_ymd IS '実施年月日';</v>
      </c>
    </row>
    <row r="41" spans="1:47" s="25" customFormat="1">
      <c r="A41" s="4"/>
      <c r="B41" s="21">
        <f t="shared" si="2"/>
        <v>29</v>
      </c>
      <c r="C41" s="6" t="s">
        <v>289</v>
      </c>
      <c r="D41" s="6" t="s">
        <v>235</v>
      </c>
      <c r="E41" s="8"/>
      <c r="F41" s="8" t="s">
        <v>201</v>
      </c>
      <c r="G41" s="7" t="str">
        <f t="shared" si="3"/>
        <v>text</v>
      </c>
      <c r="H41" s="9"/>
      <c r="I41" s="10"/>
      <c r="J41" s="53"/>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milscm_2023_009.sny_202310_backup_merge_dpc_efn.receipt_ka_kubun IS 'レセプト科区分';</v>
      </c>
    </row>
    <row r="42" spans="1:47" s="25" customFormat="1">
      <c r="A42" s="4"/>
      <c r="B42" s="21">
        <f t="shared" si="2"/>
        <v>30</v>
      </c>
      <c r="C42" s="6" t="s">
        <v>134</v>
      </c>
      <c r="D42" s="6" t="s">
        <v>135</v>
      </c>
      <c r="E42" s="8"/>
      <c r="F42" s="8" t="s">
        <v>201</v>
      </c>
      <c r="G42" s="7" t="str">
        <f t="shared" si="3"/>
        <v>text</v>
      </c>
      <c r="H42" s="9"/>
      <c r="I42" s="10"/>
      <c r="J42" s="53"/>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milscm_2023_009.sny_202310_backup_merge_dpc_efn.department_kubun IS '診療科区分';</v>
      </c>
    </row>
    <row r="43" spans="1:47" s="25" customFormat="1">
      <c r="A43" s="4"/>
      <c r="B43" s="21">
        <f t="shared" si="2"/>
        <v>31</v>
      </c>
      <c r="C43" s="6" t="s">
        <v>290</v>
      </c>
      <c r="D43" s="6" t="s">
        <v>237</v>
      </c>
      <c r="E43" s="8"/>
      <c r="F43" s="8" t="s">
        <v>201</v>
      </c>
      <c r="G43" s="7" t="str">
        <f t="shared" si="3"/>
        <v>text</v>
      </c>
      <c r="H43" s="9"/>
      <c r="I43" s="10"/>
      <c r="J43" s="53"/>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milscm_2023_009.sny_202310_backup_merge_dpc_efn.doctor_code IS '医師コード';</v>
      </c>
    </row>
    <row r="44" spans="1:47" s="25" customFormat="1">
      <c r="A44" s="4"/>
      <c r="B44" s="21">
        <f t="shared" si="2"/>
        <v>32</v>
      </c>
      <c r="C44" s="6" t="s">
        <v>291</v>
      </c>
      <c r="D44" s="6" t="s">
        <v>239</v>
      </c>
      <c r="E44" s="8"/>
      <c r="F44" s="8" t="s">
        <v>201</v>
      </c>
      <c r="G44" s="7" t="str">
        <f t="shared" si="3"/>
        <v>text</v>
      </c>
      <c r="H44" s="9"/>
      <c r="I44" s="10"/>
      <c r="J44" s="53"/>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milscm_2023_009.sny_202310_backup_merge_dpc_efn.ward_code IS '病棟コード';</v>
      </c>
    </row>
    <row r="45" spans="1:47" s="25" customFormat="1">
      <c r="A45" s="4"/>
      <c r="B45" s="21">
        <f t="shared" si="2"/>
        <v>33</v>
      </c>
      <c r="C45" s="6" t="s">
        <v>292</v>
      </c>
      <c r="D45" s="6" t="s">
        <v>241</v>
      </c>
      <c r="E45" s="8"/>
      <c r="F45" s="8" t="s">
        <v>201</v>
      </c>
      <c r="G45" s="7" t="str">
        <f t="shared" si="3"/>
        <v>text</v>
      </c>
      <c r="H45" s="9"/>
      <c r="I45" s="10"/>
      <c r="J45" s="53" t="s">
        <v>302</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milscm_2023_009.sny_202310_backup_merge_dpc_efn.ward_kubun IS '病棟区分';</v>
      </c>
    </row>
    <row r="46" spans="1:47" s="25" customFormat="1">
      <c r="A46" s="4"/>
      <c r="B46" s="21">
        <f t="shared" si="2"/>
        <v>34</v>
      </c>
      <c r="C46" s="6" t="s">
        <v>293</v>
      </c>
      <c r="D46" s="6" t="s">
        <v>243</v>
      </c>
      <c r="E46" s="8"/>
      <c r="F46" s="8" t="s">
        <v>201</v>
      </c>
      <c r="G46" s="7" t="str">
        <f t="shared" si="3"/>
        <v>text</v>
      </c>
      <c r="H46" s="9"/>
      <c r="I46" s="10"/>
      <c r="J46" s="53"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milscm_2023_009.sny_202310_backup_merge_dpc_efn.nyugai_kubun IS '入外区分';</v>
      </c>
    </row>
    <row r="47" spans="1:47" s="25" customFormat="1" ht="18" thickBot="1">
      <c r="A47" s="4"/>
      <c r="B47" s="27">
        <f>ROW()-12</f>
        <v>35</v>
      </c>
      <c r="C47" s="28" t="s">
        <v>294</v>
      </c>
      <c r="D47" s="28" t="s">
        <v>245</v>
      </c>
      <c r="E47" s="29"/>
      <c r="F47" s="29" t="s">
        <v>201</v>
      </c>
      <c r="G47" s="56" t="str">
        <f t="shared" si="3"/>
        <v>text</v>
      </c>
      <c r="H47" s="30"/>
      <c r="I47" s="31"/>
      <c r="J47" s="55"/>
      <c r="N47" s="76"/>
      <c r="O47" s="76"/>
      <c r="P47" s="76" t="str">
        <f t="shared" ref="P47" si="7">IF(B47&lt;&gt;1,","&amp;D47,D47)</f>
        <v>,facility_type</v>
      </c>
      <c r="Q47" s="76" t="str">
        <f t="shared" ref="Q47" si="8">UPPER(G47)</f>
        <v>TEXT</v>
      </c>
      <c r="R47" s="76" t="str">
        <f t="shared" ref="R47" si="9">IF(H47&lt;&gt;"","default "&amp;IF(G47="text","'"&amp;H47&amp;"'",H47),"")</f>
        <v/>
      </c>
      <c r="S47" s="76" t="str">
        <f t="shared" ref="S47" si="10">IF(I47="○","NOT NULL","")</f>
        <v/>
      </c>
      <c r="T47" s="76" t="str">
        <f t="shared" ref="T47" si="11">"-- "&amp;C47</f>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milscm_2023_009.sny_202310_backup_merge_dpc_efn.facility_type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ENT_01_C1-03</v>
      </c>
      <c r="E6" s="234"/>
      <c r="F6" s="234"/>
      <c r="G6" s="234"/>
      <c r="H6" s="234"/>
      <c r="I6" s="234"/>
      <c r="J6" s="235"/>
    </row>
    <row r="7" spans="1:45">
      <c r="B7" s="223" t="s">
        <v>115</v>
      </c>
      <c r="C7" s="224"/>
      <c r="D7" s="225" t="s">
        <v>180</v>
      </c>
      <c r="E7" s="226"/>
      <c r="F7" s="226"/>
      <c r="G7" s="226"/>
      <c r="H7" s="226"/>
      <c r="I7" s="226"/>
      <c r="J7" s="227"/>
    </row>
    <row r="8" spans="1:45">
      <c r="B8" s="223" t="s">
        <v>116</v>
      </c>
      <c r="C8" s="224"/>
      <c r="D8" s="225" t="str">
        <f>エンティティ一覧!AE2&amp;"_"&amp;D5&amp;"_merge_dpc_efg"</f>
        <v>sny_202310_backup_merge_dpc_efg</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milscm_2023_009.sny_202310_backup_merge_dpc_efg;</v>
      </c>
      <c r="O10" s="76"/>
      <c r="P10" s="76"/>
      <c r="Q10" s="76"/>
      <c r="R10" s="76"/>
      <c r="S10" s="76"/>
      <c r="T10" s="76"/>
      <c r="AJ10" s="76" t="str">
        <f>"ALTER TABLE ONLY "&amp;エンティティ一覧!$O$2&amp;"."&amp;D$8</f>
        <v>ALTER TABLE ONLY milscm_2023_009.sny_202310_backup_merge_dpc_efg</v>
      </c>
      <c r="AS10" s="76" t="str">
        <f>"ALTER TABLE "&amp;エンティティ一覧!$O$2&amp;"."&amp;D$8&amp;" OWNER TO pgmisgrp1;"</f>
        <v>ALTER TABLE milscm_2023_009.sny_202310_backup_merge_dpc_efg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milscm_2023_009.sny_202310_backup_merge_dpc_efg</v>
      </c>
      <c r="O11" s="76"/>
      <c r="P11" s="76"/>
      <c r="Q11" s="76"/>
      <c r="R11" s="76"/>
      <c r="S11" s="76"/>
      <c r="T11" s="76"/>
      <c r="AJ11" s="76" t="str">
        <f>"ADD CONSTRAINT "&amp;D$8&amp;"_pkey PRIMARY KEY"</f>
        <v>ADD CONSTRAINT sny_202310_backup_merge_dpc_efg_pkey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milscm_2023_009.sny_202310_backup_merge_dpc_efg IS 'バックアップ_DPC調査データ_外来EF統合ファイル';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milscm_2023_009.sny_202310_backup_merge_dpc_efg.birthday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milscm_2023_009.sny_202310_backup_merge_dpc_efg.gairai_ymd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milscm_2023_009.sny_202310_backup_merge_dpc_efg.data_kubun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milscm_2023_009.sny_202310_backup_merge_dpc_efg.junjo_no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milscm_2023_009.sny_202310_backup_merge_dpc_efg.koi_meisai_no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si="4"/>
        <v>,ten_kubun</v>
      </c>
      <c r="Q31" s="76" t="str">
        <f t="shared" si="0"/>
        <v>TEXT</v>
      </c>
      <c r="R31" s="76" t="str">
        <f t="shared" si="1"/>
        <v/>
      </c>
      <c r="S31" s="76" t="str">
        <f t="shared" si="5"/>
        <v/>
      </c>
      <c r="T31" s="76" t="str">
        <f t="shared" si="6"/>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4"/>
        <v>,dekidaka_tensu</v>
      </c>
      <c r="Q32" s="76" t="str">
        <f t="shared" si="0"/>
        <v>NUMERIC</v>
      </c>
      <c r="R32" s="76" t="str">
        <f t="shared" si="1"/>
        <v/>
      </c>
      <c r="S32" s="76" t="str">
        <f t="shared" si="5"/>
        <v/>
      </c>
      <c r="T32" s="76" t="str">
        <f t="shared" si="6"/>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milscm_2023_009.sny_202310_backup_merge_dpc_efg.dekidaka_tensu IS '出来高実績点数';</v>
      </c>
    </row>
    <row r="33" spans="1:47" s="25" customFormat="1" ht="52.2">
      <c r="A33" s="4"/>
      <c r="B33" s="21">
        <f t="shared" si="2"/>
        <v>21</v>
      </c>
      <c r="C33" s="6" t="s">
        <v>338</v>
      </c>
      <c r="D33" s="6" t="s">
        <v>132</v>
      </c>
      <c r="E33" s="8"/>
      <c r="F33" s="7" t="s">
        <v>317</v>
      </c>
      <c r="G33" s="7" t="str">
        <f t="shared" si="3"/>
        <v>text</v>
      </c>
      <c r="H33" s="26"/>
      <c r="I33" s="10"/>
      <c r="J33" s="11" t="s">
        <v>903</v>
      </c>
      <c r="N33" s="76"/>
      <c r="O33" s="76"/>
      <c r="P33" s="76" t="str">
        <f t="shared" si="4"/>
        <v>,koi_meisai_kubun</v>
      </c>
      <c r="Q33" s="76" t="str">
        <f t="shared" si="0"/>
        <v>TEXT</v>
      </c>
      <c r="R33" s="76" t="str">
        <f t="shared" si="1"/>
        <v/>
      </c>
      <c r="S33" s="76" t="str">
        <f t="shared" si="5"/>
        <v/>
      </c>
      <c r="T33" s="76" t="str">
        <f t="shared" si="6"/>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milscm_2023_009.sny_202310_backup_merge_dpc_efg.koi_meisai_kubun IS '行為明細区分情報';</v>
      </c>
    </row>
    <row r="34" spans="1:47" s="25" customFormat="1" ht="52.2">
      <c r="A34" s="4"/>
      <c r="B34" s="21">
        <f t="shared" si="2"/>
        <v>22</v>
      </c>
      <c r="C34" s="13" t="s">
        <v>339</v>
      </c>
      <c r="D34" s="13" t="s">
        <v>340</v>
      </c>
      <c r="E34" s="7"/>
      <c r="F34" s="7" t="s">
        <v>332</v>
      </c>
      <c r="G34" s="7" t="str">
        <f t="shared" si="3"/>
        <v>numeric</v>
      </c>
      <c r="H34" s="58"/>
      <c r="I34" s="23"/>
      <c r="J34" s="24" t="s">
        <v>299</v>
      </c>
      <c r="N34" s="76"/>
      <c r="O34" s="76"/>
      <c r="P34" s="76" t="str">
        <f t="shared" si="4"/>
        <v>,koi_tensu</v>
      </c>
      <c r="Q34" s="76" t="str">
        <f t="shared" si="0"/>
        <v>NUMERIC</v>
      </c>
      <c r="R34" s="76" t="str">
        <f t="shared" si="1"/>
        <v/>
      </c>
      <c r="S34" s="76" t="str">
        <f t="shared" si="5"/>
        <v/>
      </c>
      <c r="T34" s="76" t="str">
        <f t="shared" si="6"/>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milscm_2023_009.sny_202310_backup_merge_dpc_efg.koi_tensu IS '行為点数';</v>
      </c>
    </row>
    <row r="35" spans="1:47" s="25" customFormat="1">
      <c r="A35" s="4"/>
      <c r="B35" s="21">
        <f t="shared" si="2"/>
        <v>23</v>
      </c>
      <c r="C35" s="6" t="s">
        <v>341</v>
      </c>
      <c r="D35" s="6" t="s">
        <v>227</v>
      </c>
      <c r="E35" s="8"/>
      <c r="F35" s="7" t="s">
        <v>332</v>
      </c>
      <c r="G35" s="7" t="str">
        <f t="shared" si="3"/>
        <v>numeric</v>
      </c>
      <c r="H35" s="26"/>
      <c r="I35" s="10"/>
      <c r="J35" s="11" t="s">
        <v>300</v>
      </c>
      <c r="N35" s="76"/>
      <c r="O35" s="76"/>
      <c r="P35" s="76" t="str">
        <f t="shared" si="4"/>
        <v>,koi_yakuzai</v>
      </c>
      <c r="Q35" s="76" t="str">
        <f t="shared" si="0"/>
        <v>NUMERIC</v>
      </c>
      <c r="R35" s="76" t="str">
        <f t="shared" si="1"/>
        <v/>
      </c>
      <c r="S35" s="76" t="str">
        <f t="shared" si="5"/>
        <v/>
      </c>
      <c r="T35" s="76" t="str">
        <f t="shared" si="6"/>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milscm_2023_009.sny_202310_backup_merge_dpc_efg.koi_yakuzai IS '行為薬剤料';</v>
      </c>
    </row>
    <row r="36" spans="1:47" s="25" customFormat="1">
      <c r="A36" s="4"/>
      <c r="B36" s="21">
        <f t="shared" si="2"/>
        <v>24</v>
      </c>
      <c r="C36" s="6" t="s">
        <v>342</v>
      </c>
      <c r="D36" s="6" t="s">
        <v>229</v>
      </c>
      <c r="E36" s="8"/>
      <c r="F36" s="7" t="s">
        <v>332</v>
      </c>
      <c r="G36" s="7" t="str">
        <f t="shared" si="3"/>
        <v>numeric</v>
      </c>
      <c r="H36" s="26"/>
      <c r="I36" s="10"/>
      <c r="J36" s="11" t="s">
        <v>300</v>
      </c>
      <c r="N36" s="76"/>
      <c r="O36" s="76"/>
      <c r="P36" s="76" t="str">
        <f t="shared" si="4"/>
        <v>,koi_zairyo</v>
      </c>
      <c r="Q36" s="76" t="str">
        <f t="shared" si="0"/>
        <v>NUMERIC</v>
      </c>
      <c r="R36" s="76" t="str">
        <f t="shared" si="1"/>
        <v/>
      </c>
      <c r="S36" s="76" t="str">
        <f t="shared" si="5"/>
        <v/>
      </c>
      <c r="T36" s="76" t="str">
        <f t="shared" si="6"/>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milscm_2023_009.sny_202310_backup_merge_dpc_efg.koi_zairyo IS '行為材料料';</v>
      </c>
    </row>
    <row r="37" spans="1:47" s="25" customFormat="1">
      <c r="A37" s="4"/>
      <c r="B37" s="21">
        <f t="shared" si="2"/>
        <v>25</v>
      </c>
      <c r="C37" s="13" t="s">
        <v>343</v>
      </c>
      <c r="D37" s="13" t="s">
        <v>133</v>
      </c>
      <c r="E37" s="7"/>
      <c r="F37" s="7" t="s">
        <v>332</v>
      </c>
      <c r="G37" s="7" t="str">
        <f t="shared" si="3"/>
        <v>numeric</v>
      </c>
      <c r="H37" s="58"/>
      <c r="I37" s="23"/>
      <c r="J37" s="24" t="s">
        <v>301</v>
      </c>
      <c r="N37" s="76"/>
      <c r="O37" s="76"/>
      <c r="P37" s="76" t="str">
        <f t="shared" si="4"/>
        <v>,koi_times</v>
      </c>
      <c r="Q37" s="76" t="str">
        <f t="shared" si="0"/>
        <v>NUMERIC</v>
      </c>
      <c r="R37" s="76" t="str">
        <f t="shared" si="1"/>
        <v/>
      </c>
      <c r="S37" s="76" t="str">
        <f t="shared" si="5"/>
        <v/>
      </c>
      <c r="T37" s="76" t="str">
        <f t="shared" si="6"/>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milscm_2023_009.sny_202310_backup_merge_dpc_efg.koi_times IS '行為回数';</v>
      </c>
    </row>
    <row r="38" spans="1:47" s="25" customFormat="1">
      <c r="A38" s="4"/>
      <c r="B38" s="21">
        <f t="shared" si="2"/>
        <v>26</v>
      </c>
      <c r="C38" s="6" t="s">
        <v>344</v>
      </c>
      <c r="D38" s="6" t="s">
        <v>231</v>
      </c>
      <c r="E38" s="8"/>
      <c r="F38" s="7" t="s">
        <v>317</v>
      </c>
      <c r="G38" s="7" t="str">
        <f t="shared" si="3"/>
        <v>text</v>
      </c>
      <c r="H38" s="26"/>
      <c r="I38" s="10"/>
      <c r="J38" s="11"/>
      <c r="N38" s="76"/>
      <c r="O38" s="76"/>
      <c r="P38" s="76" t="str">
        <f t="shared" si="4"/>
        <v>,hoken_no</v>
      </c>
      <c r="Q38" s="76" t="str">
        <f t="shared" si="0"/>
        <v>TEXT</v>
      </c>
      <c r="R38" s="76" t="str">
        <f t="shared" si="1"/>
        <v/>
      </c>
      <c r="S38" s="76" t="str">
        <f t="shared" si="5"/>
        <v/>
      </c>
      <c r="T38" s="76" t="str">
        <f t="shared" si="6"/>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milscm_2023_009.sny_202310_backup_merge_dpc_efg.hoken_no IS '保険者番号';</v>
      </c>
    </row>
    <row r="39" spans="1:47" s="25" customFormat="1">
      <c r="A39" s="4"/>
      <c r="B39" s="21">
        <f t="shared" si="2"/>
        <v>27</v>
      </c>
      <c r="C39" s="13" t="s">
        <v>345</v>
      </c>
      <c r="D39" s="13" t="s">
        <v>233</v>
      </c>
      <c r="E39" s="7"/>
      <c r="F39" s="7" t="s">
        <v>317</v>
      </c>
      <c r="G39" s="7" t="str">
        <f t="shared" si="3"/>
        <v>text</v>
      </c>
      <c r="H39" s="58"/>
      <c r="I39" s="23"/>
      <c r="J39" s="24"/>
      <c r="N39" s="76"/>
      <c r="O39" s="76"/>
      <c r="P39" s="76" t="str">
        <f t="shared" si="4"/>
        <v>,receipt_type_code</v>
      </c>
      <c r="Q39" s="76" t="str">
        <f t="shared" si="0"/>
        <v>TEXT</v>
      </c>
      <c r="R39" s="76" t="str">
        <f t="shared" si="1"/>
        <v/>
      </c>
      <c r="S39" s="76" t="str">
        <f t="shared" si="5"/>
        <v/>
      </c>
      <c r="T39" s="76" t="str">
        <f t="shared" si="6"/>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milscm_2023_009.sny_202310_backup_merge_dpc_efg.receipt_type_code IS 'レセプト種別コード';</v>
      </c>
    </row>
    <row r="40" spans="1:47" s="25" customFormat="1">
      <c r="A40" s="4"/>
      <c r="B40" s="21">
        <f t="shared" si="2"/>
        <v>28</v>
      </c>
      <c r="C40" s="6" t="s">
        <v>346</v>
      </c>
      <c r="D40" s="6" t="s">
        <v>155</v>
      </c>
      <c r="E40" s="8"/>
      <c r="F40" s="7" t="s">
        <v>317</v>
      </c>
      <c r="G40" s="7" t="str">
        <f t="shared" si="3"/>
        <v>text</v>
      </c>
      <c r="H40" s="26"/>
      <c r="I40" s="10" t="s">
        <v>127</v>
      </c>
      <c r="J40" s="11" t="s">
        <v>144</v>
      </c>
      <c r="N40" s="76"/>
      <c r="O40" s="76"/>
      <c r="P40" s="76" t="str">
        <f t="shared" si="4"/>
        <v>,jisshi_ymd</v>
      </c>
      <c r="Q40" s="76" t="str">
        <f t="shared" si="0"/>
        <v>TEXT</v>
      </c>
      <c r="R40" s="76" t="str">
        <f t="shared" si="1"/>
        <v/>
      </c>
      <c r="S40" s="76" t="str">
        <f t="shared" si="5"/>
        <v>NOT NULL</v>
      </c>
      <c r="T40" s="76" t="str">
        <f t="shared" si="6"/>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milscm_2023_009.sny_202310_backup_merge_dpc_efg.jisshi_ymd IS '実施年月日・診療開始日';</v>
      </c>
    </row>
    <row r="41" spans="1:47" s="25" customFormat="1">
      <c r="A41" s="4"/>
      <c r="B41" s="21">
        <f t="shared" si="2"/>
        <v>29</v>
      </c>
      <c r="C41" s="13" t="s">
        <v>347</v>
      </c>
      <c r="D41" s="13" t="s">
        <v>235</v>
      </c>
      <c r="E41" s="7"/>
      <c r="F41" s="7" t="s">
        <v>317</v>
      </c>
      <c r="G41" s="7" t="str">
        <f t="shared" si="3"/>
        <v>text</v>
      </c>
      <c r="H41" s="58"/>
      <c r="I41" s="23"/>
      <c r="J41" s="24"/>
      <c r="N41" s="76"/>
      <c r="O41" s="76"/>
      <c r="P41" s="76" t="str">
        <f t="shared" si="4"/>
        <v>,receipt_ka_kubun</v>
      </c>
      <c r="Q41" s="76" t="str">
        <f t="shared" si="0"/>
        <v>TEXT</v>
      </c>
      <c r="R41" s="76" t="str">
        <f t="shared" si="1"/>
        <v/>
      </c>
      <c r="S41" s="76" t="str">
        <f t="shared" si="5"/>
        <v/>
      </c>
      <c r="T41" s="76" t="str">
        <f t="shared" si="6"/>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milscm_2023_009.sny_202310_backup_merge_dpc_efg.receipt_ka_kubun IS 'レセプト科区分';</v>
      </c>
    </row>
    <row r="42" spans="1:47" s="25" customFormat="1">
      <c r="A42" s="4"/>
      <c r="B42" s="21">
        <f t="shared" si="2"/>
        <v>30</v>
      </c>
      <c r="C42" s="6" t="s">
        <v>134</v>
      </c>
      <c r="D42" s="6" t="s">
        <v>135</v>
      </c>
      <c r="E42" s="8"/>
      <c r="F42" s="7" t="s">
        <v>317</v>
      </c>
      <c r="G42" s="7" t="str">
        <f t="shared" si="3"/>
        <v>text</v>
      </c>
      <c r="H42" s="26"/>
      <c r="I42" s="10"/>
      <c r="J42" s="11"/>
      <c r="N42" s="76"/>
      <c r="O42" s="76"/>
      <c r="P42" s="76" t="str">
        <f t="shared" si="4"/>
        <v>,department_kubun</v>
      </c>
      <c r="Q42" s="76" t="str">
        <f t="shared" si="0"/>
        <v>TEXT</v>
      </c>
      <c r="R42" s="76" t="str">
        <f t="shared" si="1"/>
        <v/>
      </c>
      <c r="S42" s="76" t="str">
        <f t="shared" si="5"/>
        <v/>
      </c>
      <c r="T42" s="76" t="str">
        <f t="shared" si="6"/>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milscm_2023_009.sny_202310_backup_merge_dpc_efg.department_kubun IS '診療科区分';</v>
      </c>
    </row>
    <row r="43" spans="1:47" s="25" customFormat="1">
      <c r="A43" s="4"/>
      <c r="B43" s="21">
        <f t="shared" si="2"/>
        <v>31</v>
      </c>
      <c r="C43" s="13" t="s">
        <v>348</v>
      </c>
      <c r="D43" s="13" t="s">
        <v>237</v>
      </c>
      <c r="E43" s="7"/>
      <c r="F43" s="7" t="s">
        <v>317</v>
      </c>
      <c r="G43" s="7" t="str">
        <f t="shared" si="3"/>
        <v>text</v>
      </c>
      <c r="H43" s="58"/>
      <c r="I43" s="23"/>
      <c r="J43" s="24"/>
      <c r="N43" s="76"/>
      <c r="O43" s="76"/>
      <c r="P43" s="76" t="str">
        <f t="shared" si="4"/>
        <v>,doctor_code</v>
      </c>
      <c r="Q43" s="76" t="str">
        <f t="shared" si="0"/>
        <v>TEXT</v>
      </c>
      <c r="R43" s="76" t="str">
        <f t="shared" si="1"/>
        <v/>
      </c>
      <c r="S43" s="76" t="str">
        <f t="shared" si="5"/>
        <v/>
      </c>
      <c r="T43" s="76" t="str">
        <f t="shared" si="6"/>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milscm_2023_009.sny_202310_backup_merge_dpc_efg.doctor_code IS '医師コード';</v>
      </c>
    </row>
    <row r="44" spans="1:47" s="25" customFormat="1">
      <c r="A44" s="4"/>
      <c r="B44" s="21">
        <f t="shared" si="2"/>
        <v>32</v>
      </c>
      <c r="C44" s="6" t="s">
        <v>349</v>
      </c>
      <c r="D44" s="6" t="s">
        <v>239</v>
      </c>
      <c r="E44" s="8"/>
      <c r="F44" s="7" t="s">
        <v>317</v>
      </c>
      <c r="G44" s="7" t="str">
        <f t="shared" si="3"/>
        <v>text</v>
      </c>
      <c r="H44" s="26"/>
      <c r="I44" s="10"/>
      <c r="J44" s="11"/>
      <c r="N44" s="76"/>
      <c r="O44" s="76"/>
      <c r="P44" s="76" t="str">
        <f t="shared" si="4"/>
        <v>,ward_code</v>
      </c>
      <c r="Q44" s="76" t="str">
        <f t="shared" si="0"/>
        <v>TEXT</v>
      </c>
      <c r="R44" s="76" t="str">
        <f t="shared" si="1"/>
        <v/>
      </c>
      <c r="S44" s="76" t="str">
        <f t="shared" si="5"/>
        <v/>
      </c>
      <c r="T44" s="76" t="str">
        <f t="shared" si="6"/>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milscm_2023_009.sny_202310_backup_merge_dpc_efg.ward_code IS '病棟コード';</v>
      </c>
    </row>
    <row r="45" spans="1:47" s="25" customFormat="1">
      <c r="A45" s="4"/>
      <c r="B45" s="21">
        <f t="shared" si="2"/>
        <v>33</v>
      </c>
      <c r="C45" s="13" t="s">
        <v>350</v>
      </c>
      <c r="D45" s="13" t="s">
        <v>241</v>
      </c>
      <c r="E45" s="7"/>
      <c r="F45" s="7" t="s">
        <v>317</v>
      </c>
      <c r="G45" s="7" t="str">
        <f t="shared" si="3"/>
        <v>text</v>
      </c>
      <c r="H45" s="58"/>
      <c r="I45" s="23"/>
      <c r="J45" s="24" t="s">
        <v>356</v>
      </c>
      <c r="N45" s="76"/>
      <c r="O45" s="76"/>
      <c r="P45" s="76" t="str">
        <f t="shared" si="4"/>
        <v>,ward_kubun</v>
      </c>
      <c r="Q45" s="76" t="str">
        <f t="shared" si="0"/>
        <v>TEXT</v>
      </c>
      <c r="R45" s="76" t="str">
        <f t="shared" si="1"/>
        <v/>
      </c>
      <c r="S45" s="76" t="str">
        <f t="shared" si="5"/>
        <v/>
      </c>
      <c r="T45" s="76" t="str">
        <f t="shared" si="6"/>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milscm_2023_009.sny_202310_backup_merge_dpc_efg.ward_kubun IS '病棟区分';</v>
      </c>
    </row>
    <row r="46" spans="1:47" s="25" customFormat="1">
      <c r="A46" s="4"/>
      <c r="B46" s="21">
        <f t="shared" si="2"/>
        <v>34</v>
      </c>
      <c r="C46" s="13" t="s">
        <v>351</v>
      </c>
      <c r="D46" s="13" t="s">
        <v>243</v>
      </c>
      <c r="E46" s="7"/>
      <c r="F46" s="7" t="s">
        <v>317</v>
      </c>
      <c r="G46" s="7" t="str">
        <f t="shared" si="3"/>
        <v>text</v>
      </c>
      <c r="H46" s="58"/>
      <c r="I46" s="23"/>
      <c r="J46" s="24" t="s">
        <v>303</v>
      </c>
      <c r="N46" s="76"/>
      <c r="O46" s="76"/>
      <c r="P46" s="76" t="str">
        <f t="shared" si="4"/>
        <v>,nyugai_kubun</v>
      </c>
      <c r="Q46" s="76" t="str">
        <f t="shared" si="0"/>
        <v>TEXT</v>
      </c>
      <c r="R46" s="76" t="str">
        <f t="shared" si="1"/>
        <v/>
      </c>
      <c r="S46" s="76" t="str">
        <f t="shared" si="5"/>
        <v/>
      </c>
      <c r="T46" s="76" t="str">
        <f t="shared" si="6"/>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milscm_2023_009.sny_202310_backup_merge_dpc_efg.nyugai_kubun IS '入外区分';</v>
      </c>
    </row>
    <row r="47" spans="1:47" s="25" customFormat="1" ht="18" thickBot="1">
      <c r="A47" s="4"/>
      <c r="B47" s="27">
        <f>ROW()-12</f>
        <v>35</v>
      </c>
      <c r="C47" s="57" t="s">
        <v>352</v>
      </c>
      <c r="D47" s="57" t="s">
        <v>245</v>
      </c>
      <c r="E47" s="56"/>
      <c r="F47" s="56" t="s">
        <v>317</v>
      </c>
      <c r="G47" s="56" t="str">
        <f t="shared" si="3"/>
        <v>text</v>
      </c>
      <c r="H47" s="59"/>
      <c r="I47" s="60"/>
      <c r="J47" s="61"/>
      <c r="N47" s="76"/>
      <c r="O47" s="76"/>
      <c r="P47" s="76" t="str">
        <f t="shared" si="4"/>
        <v>,facility_type</v>
      </c>
      <c r="Q47" s="76" t="str">
        <f t="shared" si="0"/>
        <v>TEXT</v>
      </c>
      <c r="R47" s="76" t="str">
        <f t="shared" si="1"/>
        <v/>
      </c>
      <c r="S47" s="76" t="str">
        <f t="shared" si="5"/>
        <v/>
      </c>
      <c r="T47" s="76" t="str">
        <f t="shared" si="6"/>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milscm_2023_009.sny_202310_backup_merge_dpc_efg.facility_type IS '施設タイプ';</v>
      </c>
      <c r="AT47" s="4"/>
      <c r="AU47" s="4"/>
    </row>
    <row r="48" spans="1:47">
      <c r="M48" s="25"/>
      <c r="N48" s="76" t="s">
        <v>142</v>
      </c>
      <c r="O48" s="76"/>
      <c r="P48" s="76"/>
      <c r="Q48" s="76"/>
      <c r="R48" s="76"/>
      <c r="S48" s="76"/>
      <c r="T48" s="76"/>
      <c r="V48" s="25"/>
      <c r="W48" s="25"/>
      <c r="X48" s="25"/>
      <c r="Y48" s="25"/>
      <c r="Z48" s="25"/>
      <c r="AJ48" s="76"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ENT_01_C1-04</v>
      </c>
      <c r="E6" s="234"/>
      <c r="F6" s="234"/>
      <c r="G6" s="234"/>
      <c r="H6" s="234"/>
      <c r="I6" s="234"/>
      <c r="J6" s="235"/>
    </row>
    <row r="7" spans="1:45">
      <c r="B7" s="223" t="s">
        <v>115</v>
      </c>
      <c r="C7" s="224"/>
      <c r="D7" s="225" t="s">
        <v>357</v>
      </c>
      <c r="E7" s="226"/>
      <c r="F7" s="226"/>
      <c r="G7" s="226"/>
      <c r="H7" s="226"/>
      <c r="I7" s="226"/>
      <c r="J7" s="227"/>
    </row>
    <row r="8" spans="1:45">
      <c r="B8" s="223" t="s">
        <v>116</v>
      </c>
      <c r="C8" s="224"/>
      <c r="D8" s="225" t="str">
        <f>エンティティ一覧!AE2&amp;"_"&amp;D5&amp;"_merge_dpc_hn"</f>
        <v>sny_202310_backup_merge_dpc_hn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milscm_2023_009.sny_202310_backup_merge_dpc_hn;</v>
      </c>
      <c r="O10" s="76"/>
      <c r="P10" s="76"/>
      <c r="Q10" s="76"/>
      <c r="R10" s="76"/>
      <c r="S10" s="76"/>
      <c r="T10" s="76"/>
      <c r="AJ10" s="76" t="str">
        <f>"ALTER TABLE ONLY "&amp;エンティティ一覧!$O$2&amp;"."&amp;D$8</f>
        <v>ALTER TABLE ONLY milscm_2023_009.sny_202310_backup_merge_dpc_hn</v>
      </c>
      <c r="AS10" s="76" t="str">
        <f>"ALTER TABLE "&amp;エンティティ一覧!$O$2&amp;"."&amp;D$8&amp;" OWNER TO pgmisgrp1;"</f>
        <v>ALTER TABLE milscm_2023_009.sny_202310_backup_merge_dpc_hn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milscm_2023_009.sny_202310_backup_merge_dpc_hn</v>
      </c>
      <c r="O11" s="76"/>
      <c r="P11" s="76"/>
      <c r="Q11" s="76"/>
      <c r="R11" s="76"/>
      <c r="S11" s="76"/>
      <c r="T11" s="76"/>
      <c r="AJ11" s="76" t="str">
        <f>"ADD CONSTRAINT "&amp;D$8&amp;"_pkey PRIMARY KEY"</f>
        <v>ADD CONSTRAINT sny_202310_backup_merge_dpc_hn_pkey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milscm_2023_009.sny_202310_backup_merge_dpc_hn IS 'バックアップ_DPC調査データ_Hファイル';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milscm_2023_009.sny_202310_backup_merge_dpc_hn.torikomi_ym IS '取込年月';</v>
      </c>
    </row>
    <row r="14" spans="1:45" s="25" customFormat="1">
      <c r="A14" s="4"/>
      <c r="B14" s="21">
        <f t="shared" ref="B14:B152" si="2">ROW()-12</f>
        <v>2</v>
      </c>
      <c r="C14" s="6" t="s">
        <v>202</v>
      </c>
      <c r="D14" s="6" t="s">
        <v>203</v>
      </c>
      <c r="E14" s="8"/>
      <c r="F14" s="7" t="s">
        <v>204</v>
      </c>
      <c r="G14" s="7" t="str">
        <f t="shared" ref="G14:G153"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milscm_2023_009.sny_202310_backup_merge_dpc_hn.mil_karute_id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milscm_2023_009.sny_202310_backup_merge_dpc_hn.facility_id IS '施設ID';</v>
      </c>
    </row>
    <row r="16" spans="1:45" s="25" customFormat="1" ht="87">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47" si="5">IF(I16="○","NOT NULL","")</f>
        <v>NOT NULL</v>
      </c>
      <c r="T16" s="76" t="str">
        <f t="shared" ref="T16:T47"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milscm_2023_009.sny_202310_backup_merge_dpc_hn.shinryo_ym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milscm_2023_009.sny_202310_backup_merge_dpc_hn.data_type IS 'データ種別';</v>
      </c>
    </row>
    <row r="18" spans="1:45" s="25" customFormat="1">
      <c r="B18" s="21">
        <f t="shared" si="2"/>
        <v>6</v>
      </c>
      <c r="C18" s="6" t="s">
        <v>349</v>
      </c>
      <c r="D18" s="6" t="s">
        <v>239</v>
      </c>
      <c r="E18" s="8" t="s">
        <v>127</v>
      </c>
      <c r="F18" s="7" t="s">
        <v>317</v>
      </c>
      <c r="G18" s="7" t="str">
        <f t="shared" si="3"/>
        <v>text</v>
      </c>
      <c r="H18" s="26"/>
      <c r="I18" s="10" t="s">
        <v>127</v>
      </c>
      <c r="J18" s="11"/>
      <c r="N18" s="76"/>
      <c r="O18" s="76"/>
      <c r="P18" s="76" t="str">
        <f t="shared" si="4"/>
        <v>,ward_code</v>
      </c>
      <c r="Q18" s="76" t="str">
        <f t="shared" si="0"/>
        <v>TEXT</v>
      </c>
      <c r="R18" s="76" t="str">
        <f t="shared" si="1"/>
        <v/>
      </c>
      <c r="S18" s="76" t="str">
        <f t="shared" si="5"/>
        <v>NOT NULL</v>
      </c>
      <c r="T18" s="76" t="str">
        <f t="shared" si="6"/>
        <v>-- 病棟コード</v>
      </c>
      <c r="U18" s="4"/>
      <c r="AA18" s="4"/>
      <c r="AB18" s="4"/>
      <c r="AC18" s="4"/>
      <c r="AD18" s="4"/>
      <c r="AE18" s="4"/>
      <c r="AF18" s="4"/>
      <c r="AG18" s="4"/>
      <c r="AH18" s="4"/>
      <c r="AI18" s="4"/>
      <c r="AJ18" s="76" t="str">
        <f>IF(E18="○",IF(COUNTA(E$13:E18)=1,"",",")&amp;D18,"")</f>
        <v>,ward_code</v>
      </c>
      <c r="AK18" s="4"/>
      <c r="AL18" s="4"/>
      <c r="AM18" s="4"/>
      <c r="AN18" s="4"/>
      <c r="AO18" s="4"/>
      <c r="AP18" s="4"/>
      <c r="AQ18" s="4"/>
      <c r="AR18" s="4"/>
      <c r="AS18" s="76" t="str">
        <f>"COMMENT ON COLUMN "&amp;エンティティ一覧!$O$2&amp;"."&amp;D$8&amp;"."&amp;D18&amp;" IS '"&amp;C18&amp;"';"</f>
        <v>COMMENT ON COLUMN milscm_2023_009.sny_202310_backup_merge_dpc_hn.ward_code IS '病棟コード';</v>
      </c>
    </row>
    <row r="19" spans="1:45" s="25" customFormat="1">
      <c r="B19" s="21">
        <f t="shared" si="2"/>
        <v>7</v>
      </c>
      <c r="C19" s="13" t="s">
        <v>320</v>
      </c>
      <c r="D19" s="13" t="s">
        <v>210</v>
      </c>
      <c r="E19" s="7" t="s">
        <v>127</v>
      </c>
      <c r="F19" s="7" t="s">
        <v>317</v>
      </c>
      <c r="G19" s="7" t="str">
        <f t="shared" si="3"/>
        <v>text</v>
      </c>
      <c r="H19" s="58"/>
      <c r="I19" s="23" t="s">
        <v>127</v>
      </c>
      <c r="J19" s="24"/>
      <c r="N19" s="76"/>
      <c r="O19" s="76"/>
      <c r="P19" s="76" t="str">
        <f t="shared" si="4"/>
        <v>,shikibetsu_no</v>
      </c>
      <c r="Q19" s="76" t="str">
        <f t="shared" si="0"/>
        <v>TEXT</v>
      </c>
      <c r="R19" s="76" t="str">
        <f t="shared" si="1"/>
        <v/>
      </c>
      <c r="S19" s="76" t="str">
        <f t="shared" si="5"/>
        <v>NOT NULL</v>
      </c>
      <c r="T19" s="76" t="str">
        <f t="shared" si="6"/>
        <v>-- データ識別番号</v>
      </c>
      <c r="U19" s="4"/>
      <c r="AA19" s="4"/>
      <c r="AB19" s="4"/>
      <c r="AC19" s="4"/>
      <c r="AD19" s="4"/>
      <c r="AE19" s="4"/>
      <c r="AF19" s="4"/>
      <c r="AG19" s="4"/>
      <c r="AH19" s="4"/>
      <c r="AI19" s="4"/>
      <c r="AJ19" s="76" t="str">
        <f>IF(E19="○",IF(COUNTA(E$13:E19)=1,"",",")&amp;D19,"")</f>
        <v>,shikibetsu_no</v>
      </c>
      <c r="AK19" s="4"/>
      <c r="AL19" s="4"/>
      <c r="AM19" s="4"/>
      <c r="AN19" s="4"/>
      <c r="AO19" s="4"/>
      <c r="AP19" s="4"/>
      <c r="AQ19" s="4"/>
      <c r="AR19" s="4"/>
      <c r="AS19" s="76" t="str">
        <f>"COMMENT ON COLUMN "&amp;エンティティ一覧!$O$2&amp;"."&amp;D$8&amp;"."&amp;D19&amp;" IS '"&amp;C19&amp;"';"</f>
        <v>COMMENT ON COLUMN milscm_2023_009.sny_202310_backup_merge_dpc_hn.shikibetsu_no IS 'データ識別番号';</v>
      </c>
    </row>
    <row r="20" spans="1:45" s="25" customFormat="1" ht="34.799999999999997">
      <c r="B20" s="21">
        <f t="shared" si="2"/>
        <v>8</v>
      </c>
      <c r="C20" s="6" t="s">
        <v>211</v>
      </c>
      <c r="D20" s="6" t="s">
        <v>212</v>
      </c>
      <c r="E20" s="8" t="s">
        <v>127</v>
      </c>
      <c r="F20" s="7" t="s">
        <v>317</v>
      </c>
      <c r="G20" s="7" t="str">
        <f t="shared" si="3"/>
        <v>text</v>
      </c>
      <c r="H20" s="26"/>
      <c r="I20" s="10" t="s">
        <v>127</v>
      </c>
      <c r="J20" s="11" t="s">
        <v>261</v>
      </c>
      <c r="N20" s="76"/>
      <c r="O20" s="76"/>
      <c r="P20" s="76" t="str">
        <f t="shared" si="4"/>
        <v>,taiin_ymd</v>
      </c>
      <c r="Q20" s="76" t="str">
        <f t="shared" si="0"/>
        <v>TEXT</v>
      </c>
      <c r="R20" s="76" t="str">
        <f t="shared" si="1"/>
        <v/>
      </c>
      <c r="S20" s="76" t="str">
        <f t="shared" si="5"/>
        <v>NOT NULL</v>
      </c>
      <c r="T20" s="76" t="str">
        <f t="shared" si="6"/>
        <v>-- 退院年月日</v>
      </c>
      <c r="U20" s="4"/>
      <c r="AA20" s="4"/>
      <c r="AB20" s="4"/>
      <c r="AC20" s="4"/>
      <c r="AD20" s="4"/>
      <c r="AE20" s="4"/>
      <c r="AF20" s="4"/>
      <c r="AG20" s="4"/>
      <c r="AH20" s="4"/>
      <c r="AI20" s="4"/>
      <c r="AJ20" s="76" t="str">
        <f>IF(E20="○",IF(COUNTA(E$13:E20)=1,"",",")&amp;D20,"")</f>
        <v>,taiin_ymd</v>
      </c>
      <c r="AK20" s="4"/>
      <c r="AL20" s="4"/>
      <c r="AM20" s="4"/>
      <c r="AN20" s="4"/>
      <c r="AO20" s="4"/>
      <c r="AP20" s="4"/>
      <c r="AQ20" s="4"/>
      <c r="AR20" s="4"/>
      <c r="AS20" s="76" t="str">
        <f>"COMMENT ON COLUMN "&amp;エンティティ一覧!$O$2&amp;"."&amp;D$8&amp;"."&amp;D20&amp;" IS '"&amp;C20&amp;"';"</f>
        <v>COMMENT ON COLUMN milscm_2023_009.sny_202310_backup_merge_dpc_hn.taiin_ymd IS '退院年月日';</v>
      </c>
    </row>
    <row r="21" spans="1:45" s="25" customFormat="1">
      <c r="A21" s="4"/>
      <c r="B21" s="21">
        <f t="shared" si="2"/>
        <v>9</v>
      </c>
      <c r="C21" s="13" t="s">
        <v>143</v>
      </c>
      <c r="D21" s="13" t="s">
        <v>156</v>
      </c>
      <c r="E21" s="7" t="s">
        <v>127</v>
      </c>
      <c r="F21" s="7" t="s">
        <v>317</v>
      </c>
      <c r="G21" s="7" t="str">
        <f t="shared" si="3"/>
        <v>text</v>
      </c>
      <c r="H21" s="58"/>
      <c r="I21" s="23" t="s">
        <v>127</v>
      </c>
      <c r="J21" s="24" t="s">
        <v>144</v>
      </c>
      <c r="N21" s="76"/>
      <c r="O21" s="76"/>
      <c r="P21" s="76" t="str">
        <f t="shared" si="4"/>
        <v>,nyuin_ymd</v>
      </c>
      <c r="Q21" s="76" t="str">
        <f t="shared" si="0"/>
        <v>TEXT</v>
      </c>
      <c r="R21" s="76" t="str">
        <f t="shared" si="1"/>
        <v/>
      </c>
      <c r="S21" s="76" t="str">
        <f t="shared" si="5"/>
        <v>NOT NULL</v>
      </c>
      <c r="T21" s="76" t="str">
        <f t="shared" si="6"/>
        <v>-- 入院年月日</v>
      </c>
      <c r="U21" s="4"/>
      <c r="AA21" s="4"/>
      <c r="AB21" s="4"/>
      <c r="AC21" s="4"/>
      <c r="AD21" s="4"/>
      <c r="AE21" s="4"/>
      <c r="AF21" s="4"/>
      <c r="AG21" s="4"/>
      <c r="AH21" s="4"/>
      <c r="AI21" s="4"/>
      <c r="AJ21" s="76" t="str">
        <f>IF(E21="○",IF(COUNTA(E$13:E21)=1,"",",")&amp;D21,"")</f>
        <v>,nyuin_ymd</v>
      </c>
      <c r="AK21" s="4"/>
      <c r="AL21" s="4"/>
      <c r="AM21" s="4"/>
      <c r="AN21" s="4"/>
      <c r="AO21" s="4"/>
      <c r="AP21" s="4"/>
      <c r="AQ21" s="4"/>
      <c r="AR21" s="4"/>
      <c r="AS21" s="76" t="str">
        <f>"COMMENT ON COLUMN "&amp;エンティティ一覧!$O$2&amp;"."&amp;D$8&amp;"."&amp;D21&amp;" IS '"&amp;C21&amp;"';"</f>
        <v>COMMENT ON COLUMN milscm_2023_009.sny_202310_backup_merge_dpc_hn.nyuin_ymd IS '入院年月日';</v>
      </c>
    </row>
    <row r="22" spans="1:45" s="25" customFormat="1">
      <c r="A22" s="4"/>
      <c r="B22" s="21">
        <f t="shared" si="2"/>
        <v>10</v>
      </c>
      <c r="C22" s="6" t="s">
        <v>149</v>
      </c>
      <c r="D22" s="6" t="s">
        <v>155</v>
      </c>
      <c r="E22" s="8" t="s">
        <v>127</v>
      </c>
      <c r="F22" s="7" t="s">
        <v>317</v>
      </c>
      <c r="G22" s="7" t="str">
        <f t="shared" si="3"/>
        <v>text</v>
      </c>
      <c r="H22" s="26"/>
      <c r="I22" s="10" t="s">
        <v>127</v>
      </c>
      <c r="J22" s="11" t="s">
        <v>144</v>
      </c>
      <c r="N22" s="76"/>
      <c r="O22" s="76"/>
      <c r="P22" s="76" t="str">
        <f t="shared" si="4"/>
        <v>,jisshi_ymd</v>
      </c>
      <c r="Q22" s="76" t="str">
        <f t="shared" si="0"/>
        <v>TEXT</v>
      </c>
      <c r="R22" s="76" t="str">
        <f t="shared" si="1"/>
        <v/>
      </c>
      <c r="S22" s="76" t="str">
        <f t="shared" si="5"/>
        <v>NOT NULL</v>
      </c>
      <c r="T22" s="76" t="str">
        <f t="shared" si="6"/>
        <v>-- 実施年月日</v>
      </c>
      <c r="U22" s="4"/>
      <c r="AA22" s="4"/>
      <c r="AB22" s="4"/>
      <c r="AC22" s="4"/>
      <c r="AD22" s="4"/>
      <c r="AE22" s="4"/>
      <c r="AF22" s="4"/>
      <c r="AG22" s="4"/>
      <c r="AH22" s="4"/>
      <c r="AI22" s="4"/>
      <c r="AJ22" s="76" t="str">
        <f>IF(E22="○",IF(COUNTA(E$13:E22)=1,"",",")&amp;D22,"")</f>
        <v>,jisshi_ymd</v>
      </c>
      <c r="AK22" s="4"/>
      <c r="AL22" s="4"/>
      <c r="AM22" s="4"/>
      <c r="AN22" s="4"/>
      <c r="AO22" s="4"/>
      <c r="AP22" s="4"/>
      <c r="AQ22" s="4"/>
      <c r="AR22" s="4"/>
      <c r="AS22" s="76" t="str">
        <f>"COMMENT ON COLUMN "&amp;エンティティ一覧!$O$2&amp;"."&amp;D$8&amp;"."&amp;D22&amp;" IS '"&amp;C22&amp;"';"</f>
        <v>COMMENT ON COLUMN milscm_2023_009.sny_202310_backup_merge_dpc_hn.jisshi_ymd IS '実施年月日';</v>
      </c>
    </row>
    <row r="23" spans="1:45" s="25" customFormat="1">
      <c r="A23" s="4"/>
      <c r="B23" s="21">
        <f t="shared" si="2"/>
        <v>11</v>
      </c>
      <c r="C23" s="13" t="s">
        <v>358</v>
      </c>
      <c r="D23" s="13" t="s">
        <v>359</v>
      </c>
      <c r="E23" s="7" t="s">
        <v>127</v>
      </c>
      <c r="F23" s="7" t="s">
        <v>317</v>
      </c>
      <c r="G23" s="7" t="str">
        <f t="shared" si="3"/>
        <v>text</v>
      </c>
      <c r="H23" s="58" t="s">
        <v>539</v>
      </c>
      <c r="I23" s="23" t="s">
        <v>127</v>
      </c>
      <c r="J23" s="24" t="s">
        <v>540</v>
      </c>
      <c r="N23" s="76"/>
      <c r="O23" s="76"/>
      <c r="P23" s="76" t="str">
        <f t="shared" si="4"/>
        <v>,code</v>
      </c>
      <c r="Q23" s="76" t="str">
        <f t="shared" si="0"/>
        <v>TEXT</v>
      </c>
      <c r="R23" s="76" t="str">
        <f t="shared" si="1"/>
        <v>default 'ASS0010'</v>
      </c>
      <c r="S23" s="76" t="str">
        <f t="shared" si="5"/>
        <v>NOT NULL</v>
      </c>
      <c r="T23" s="76" t="str">
        <f t="shared" si="6"/>
        <v>-- コード</v>
      </c>
      <c r="U23" s="4"/>
      <c r="AA23" s="4"/>
      <c r="AB23" s="4"/>
      <c r="AC23" s="4"/>
      <c r="AD23" s="4"/>
      <c r="AE23" s="4"/>
      <c r="AF23" s="4"/>
      <c r="AG23" s="4"/>
      <c r="AH23" s="4"/>
      <c r="AI23" s="4"/>
      <c r="AJ23" s="76" t="str">
        <f>IF(E23="○",IF(COUNTA(E$13:E23)=1,"",",")&amp;D23,"")</f>
        <v>,code</v>
      </c>
      <c r="AK23" s="4"/>
      <c r="AL23" s="4"/>
      <c r="AM23" s="4"/>
      <c r="AN23" s="4"/>
      <c r="AO23" s="4"/>
      <c r="AP23" s="4"/>
      <c r="AQ23" s="4"/>
      <c r="AR23" s="4"/>
      <c r="AS23" s="76" t="str">
        <f>"COMMENT ON COLUMN "&amp;エンティティ一覧!$O$2&amp;"."&amp;D$8&amp;"."&amp;D23&amp;" IS '"&amp;C23&amp;"';"</f>
        <v>COMMENT ON COLUMN milscm_2023_009.sny_202310_backup_merge_dpc_hn.code IS 'コード';</v>
      </c>
    </row>
    <row r="24" spans="1:45" s="25" customFormat="1">
      <c r="A24" s="4"/>
      <c r="B24" s="21">
        <f t="shared" si="2"/>
        <v>12</v>
      </c>
      <c r="C24" s="6" t="s">
        <v>360</v>
      </c>
      <c r="D24" s="6" t="s">
        <v>361</v>
      </c>
      <c r="E24" s="8" t="s">
        <v>127</v>
      </c>
      <c r="F24" s="7" t="s">
        <v>317</v>
      </c>
      <c r="G24" s="7" t="str">
        <f t="shared" si="3"/>
        <v>text</v>
      </c>
      <c r="H24" s="26" t="s">
        <v>541</v>
      </c>
      <c r="I24" s="10" t="s">
        <v>127</v>
      </c>
      <c r="J24" s="11" t="s">
        <v>542</v>
      </c>
      <c r="N24" s="76"/>
      <c r="O24" s="76"/>
      <c r="P24" s="76" t="str">
        <f t="shared" si="4"/>
        <v>,version</v>
      </c>
      <c r="Q24" s="76" t="str">
        <f t="shared" si="0"/>
        <v>TEXT</v>
      </c>
      <c r="R24" s="76" t="str">
        <f t="shared" si="1"/>
        <v>default '20160401'</v>
      </c>
      <c r="S24" s="76" t="str">
        <f t="shared" si="5"/>
        <v>NOT NULL</v>
      </c>
      <c r="T24" s="76" t="str">
        <f t="shared" si="6"/>
        <v>-- バージョン</v>
      </c>
      <c r="U24" s="4"/>
      <c r="AA24" s="4"/>
      <c r="AB24" s="4"/>
      <c r="AC24" s="4"/>
      <c r="AD24" s="4"/>
      <c r="AE24" s="4"/>
      <c r="AF24" s="4"/>
      <c r="AG24" s="4"/>
      <c r="AH24" s="4"/>
      <c r="AI24" s="4"/>
      <c r="AJ24" s="76" t="str">
        <f>IF(E24="○",IF(COUNTA(E$13:E24)=1,"",",")&amp;D24,"")</f>
        <v>,version</v>
      </c>
      <c r="AK24" s="4"/>
      <c r="AL24" s="4"/>
      <c r="AM24" s="4"/>
      <c r="AN24" s="4"/>
      <c r="AO24" s="4"/>
      <c r="AP24" s="4"/>
      <c r="AQ24" s="4"/>
      <c r="AR24" s="4"/>
      <c r="AS24" s="76" t="str">
        <f>"COMMENT ON COLUMN "&amp;エンティティ一覧!$O$2&amp;"."&amp;D$8&amp;"."&amp;D24&amp;" IS '"&amp;C24&amp;"';"</f>
        <v>COMMENT ON COLUMN milscm_2023_009.sny_202310_backup_merge_dpc_hn.version IS 'バージョン';</v>
      </c>
    </row>
    <row r="25" spans="1:45" s="25" customFormat="1">
      <c r="A25" s="4"/>
      <c r="B25" s="21">
        <f t="shared" si="2"/>
        <v>13</v>
      </c>
      <c r="C25" s="13" t="s">
        <v>362</v>
      </c>
      <c r="D25" s="13" t="s">
        <v>363</v>
      </c>
      <c r="E25" s="7" t="s">
        <v>127</v>
      </c>
      <c r="F25" s="7" t="s">
        <v>317</v>
      </c>
      <c r="G25" s="7" t="str">
        <f t="shared" si="3"/>
        <v>text</v>
      </c>
      <c r="H25" s="58"/>
      <c r="I25" s="23" t="s">
        <v>127</v>
      </c>
      <c r="J25" s="24"/>
      <c r="N25" s="76"/>
      <c r="O25" s="76"/>
      <c r="P25" s="76" t="str">
        <f t="shared" si="4"/>
        <v>,number</v>
      </c>
      <c r="Q25" s="76" t="str">
        <f t="shared" si="0"/>
        <v>TEXT</v>
      </c>
      <c r="R25" s="76" t="str">
        <f t="shared" si="1"/>
        <v/>
      </c>
      <c r="S25" s="76" t="str">
        <f t="shared" si="5"/>
        <v>NOT NULL</v>
      </c>
      <c r="T25" s="76" t="str">
        <f t="shared" si="6"/>
        <v>-- 連番</v>
      </c>
      <c r="U25" s="4"/>
      <c r="AA25" s="4"/>
      <c r="AB25" s="4"/>
      <c r="AC25" s="4"/>
      <c r="AD25" s="4"/>
      <c r="AE25" s="4"/>
      <c r="AF25" s="4"/>
      <c r="AG25" s="4"/>
      <c r="AH25" s="4"/>
      <c r="AI25" s="4"/>
      <c r="AJ25" s="76" t="str">
        <f>IF(E25="○",IF(COUNTA(E$13:E25)=1,"",",")&amp;D25,"")</f>
        <v>,number</v>
      </c>
      <c r="AK25" s="4"/>
      <c r="AL25" s="4"/>
      <c r="AM25" s="4"/>
      <c r="AN25" s="4"/>
      <c r="AO25" s="4"/>
      <c r="AP25" s="4"/>
      <c r="AQ25" s="4"/>
      <c r="AR25" s="4"/>
      <c r="AS25" s="76" t="str">
        <f>"COMMENT ON COLUMN "&amp;エンティティ一覧!$O$2&amp;"."&amp;D$8&amp;"."&amp;D25&amp;" IS '"&amp;C25&amp;"';"</f>
        <v>COMMENT ON COLUMN milscm_2023_009.sny_202310_backup_merge_dpc_hn.number IS '連番';</v>
      </c>
    </row>
    <row r="26" spans="1:45" s="25" customFormat="1" ht="156.6">
      <c r="A26" s="4"/>
      <c r="B26" s="21">
        <f t="shared" si="2"/>
        <v>14</v>
      </c>
      <c r="C26" s="6" t="s">
        <v>364</v>
      </c>
      <c r="D26" s="6" t="s">
        <v>365</v>
      </c>
      <c r="E26" s="8"/>
      <c r="F26" s="7" t="s">
        <v>317</v>
      </c>
      <c r="G26" s="7" t="str">
        <f t="shared" si="3"/>
        <v>text</v>
      </c>
      <c r="H26" s="26"/>
      <c r="I26" s="10"/>
      <c r="J26" s="11" t="s">
        <v>543</v>
      </c>
      <c r="N26" s="76"/>
      <c r="O26" s="76"/>
      <c r="P26" s="76" t="str">
        <f t="shared" si="4"/>
        <v>,ass0010_sosho_shochi</v>
      </c>
      <c r="Q26" s="76" t="str">
        <f t="shared" si="0"/>
        <v>TEXT</v>
      </c>
      <c r="R26" s="76" t="str">
        <f t="shared" si="1"/>
        <v/>
      </c>
      <c r="S26" s="76" t="str">
        <f t="shared" si="5"/>
        <v/>
      </c>
      <c r="T26" s="76" t="str">
        <f t="shared" si="6"/>
        <v>-- 創傷処置</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milscm_2023_009.sny_202310_backup_merge_dpc_hn.ass0010_sosho_shochi IS '創傷処置';</v>
      </c>
    </row>
    <row r="27" spans="1:45" s="25" customFormat="1">
      <c r="A27" s="4"/>
      <c r="B27" s="21">
        <f t="shared" si="2"/>
        <v>15</v>
      </c>
      <c r="C27" s="6" t="s">
        <v>366</v>
      </c>
      <c r="D27" s="6" t="s">
        <v>367</v>
      </c>
      <c r="E27" s="8"/>
      <c r="F27" s="7" t="s">
        <v>317</v>
      </c>
      <c r="G27" s="7" t="str">
        <f t="shared" si="3"/>
        <v>text</v>
      </c>
      <c r="H27" s="26"/>
      <c r="I27" s="10"/>
      <c r="J27" s="11" t="s">
        <v>544</v>
      </c>
      <c r="N27" s="76"/>
      <c r="O27" s="76"/>
      <c r="P27" s="76" t="str">
        <f t="shared" si="4"/>
        <v>,ass0010_kokyu_care</v>
      </c>
      <c r="Q27" s="76" t="str">
        <f t="shared" si="0"/>
        <v>TEXT</v>
      </c>
      <c r="R27" s="76" t="str">
        <f t="shared" si="1"/>
        <v/>
      </c>
      <c r="S27" s="76" t="str">
        <f t="shared" si="5"/>
        <v/>
      </c>
      <c r="T27" s="76" t="str">
        <f t="shared" si="6"/>
        <v>-- 呼吸ケア</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milscm_2023_009.sny_202310_backup_merge_dpc_hn.ass0010_kokyu_care IS '呼吸ケア';</v>
      </c>
    </row>
    <row r="28" spans="1:45" s="25" customFormat="1">
      <c r="A28" s="4"/>
      <c r="B28" s="21">
        <f t="shared" si="2"/>
        <v>16</v>
      </c>
      <c r="C28" s="13" t="s">
        <v>368</v>
      </c>
      <c r="D28" s="13" t="s">
        <v>369</v>
      </c>
      <c r="E28" s="7"/>
      <c r="F28" s="7" t="s">
        <v>317</v>
      </c>
      <c r="G28" s="7" t="str">
        <f t="shared" si="3"/>
        <v>text</v>
      </c>
      <c r="H28" s="58"/>
      <c r="I28" s="23"/>
      <c r="J28" s="24" t="s">
        <v>544</v>
      </c>
      <c r="N28" s="76"/>
      <c r="O28" s="76"/>
      <c r="P28" s="76" t="str">
        <f t="shared" si="4"/>
        <v>,ass0010_tenteki_kanri</v>
      </c>
      <c r="Q28" s="76" t="str">
        <f t="shared" si="0"/>
        <v>TEXT</v>
      </c>
      <c r="R28" s="76" t="str">
        <f t="shared" si="1"/>
        <v/>
      </c>
      <c r="S28" s="76" t="str">
        <f t="shared" si="5"/>
        <v/>
      </c>
      <c r="T28" s="76" t="str">
        <f t="shared" si="6"/>
        <v>-- 点滴ライン同時3本以上の管理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milscm_2023_009.sny_202310_backup_merge_dpc_hn.ass0010_tenteki_kanri IS '点滴ライン同時3本以上の管理';</v>
      </c>
    </row>
    <row r="29" spans="1:45" s="25" customFormat="1" ht="30">
      <c r="A29" s="4"/>
      <c r="B29" s="21">
        <f t="shared" si="2"/>
        <v>17</v>
      </c>
      <c r="C29" s="6" t="s">
        <v>370</v>
      </c>
      <c r="D29" s="6" t="s">
        <v>371</v>
      </c>
      <c r="E29" s="8"/>
      <c r="F29" s="7" t="s">
        <v>317</v>
      </c>
      <c r="G29" s="7" t="str">
        <f t="shared" si="3"/>
        <v>text</v>
      </c>
      <c r="H29" s="26"/>
      <c r="I29" s="10"/>
      <c r="J29" s="11" t="s">
        <v>544</v>
      </c>
      <c r="N29" s="76"/>
      <c r="O29" s="76"/>
      <c r="P29" s="76" t="str">
        <f t="shared" si="4"/>
        <v>,ass0010_shindenzu_kanri</v>
      </c>
      <c r="Q29" s="76" t="str">
        <f t="shared" si="0"/>
        <v>TEXT</v>
      </c>
      <c r="R29" s="76" t="str">
        <f t="shared" si="1"/>
        <v/>
      </c>
      <c r="S29" s="76" t="str">
        <f t="shared" si="5"/>
        <v/>
      </c>
      <c r="T29" s="76" t="str">
        <f t="shared" si="6"/>
        <v>-- 心電図モニターの管理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milscm_2023_009.sny_202310_backup_merge_dpc_hn.ass0010_shindenzu_kanri IS '心電図モニターの管理';</v>
      </c>
    </row>
    <row r="30" spans="1:45" s="25" customFormat="1" ht="30">
      <c r="A30" s="4"/>
      <c r="B30" s="21">
        <f t="shared" si="2"/>
        <v>18</v>
      </c>
      <c r="C30" s="13" t="s">
        <v>372</v>
      </c>
      <c r="D30" s="13" t="s">
        <v>373</v>
      </c>
      <c r="E30" s="7"/>
      <c r="F30" s="7" t="s">
        <v>317</v>
      </c>
      <c r="G30" s="7" t="str">
        <f t="shared" si="3"/>
        <v>text</v>
      </c>
      <c r="H30" s="58"/>
      <c r="I30" s="23"/>
      <c r="J30" s="24" t="s">
        <v>544</v>
      </c>
      <c r="N30" s="76"/>
      <c r="O30" s="76"/>
      <c r="P30" s="76" t="str">
        <f t="shared" si="4"/>
        <v>,ass0010_syringe_pump_kanri</v>
      </c>
      <c r="Q30" s="76" t="str">
        <f t="shared" si="0"/>
        <v>TEXT</v>
      </c>
      <c r="R30" s="76" t="str">
        <f t="shared" si="1"/>
        <v/>
      </c>
      <c r="S30" s="76" t="str">
        <f t="shared" si="5"/>
        <v/>
      </c>
      <c r="T30" s="76" t="str">
        <f t="shared" si="6"/>
        <v>-- シリンジポンプの管理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milscm_2023_009.sny_202310_backup_merge_dpc_hn.ass0010_syringe_pump_kanri IS 'シリンジポンプの管理';</v>
      </c>
    </row>
    <row r="31" spans="1:45" s="25" customFormat="1" ht="30">
      <c r="A31" s="4"/>
      <c r="B31" s="21">
        <f t="shared" si="2"/>
        <v>19</v>
      </c>
      <c r="C31" s="6" t="s">
        <v>374</v>
      </c>
      <c r="D31" s="6" t="s">
        <v>375</v>
      </c>
      <c r="E31" s="8"/>
      <c r="F31" s="7" t="s">
        <v>317</v>
      </c>
      <c r="G31" s="7" t="str">
        <f t="shared" si="3"/>
        <v>text</v>
      </c>
      <c r="H31" s="26"/>
      <c r="I31" s="10"/>
      <c r="J31" s="11" t="s">
        <v>544</v>
      </c>
      <c r="N31" s="76"/>
      <c r="O31" s="76"/>
      <c r="P31" s="76" t="str">
        <f t="shared" si="4"/>
        <v>,ass0010_blood_products_kanri</v>
      </c>
      <c r="Q31" s="76" t="str">
        <f t="shared" si="0"/>
        <v>TEXT</v>
      </c>
      <c r="R31" s="76" t="str">
        <f t="shared" si="1"/>
        <v/>
      </c>
      <c r="S31" s="76" t="str">
        <f t="shared" si="5"/>
        <v/>
      </c>
      <c r="T31" s="76" t="str">
        <f t="shared" si="6"/>
        <v>-- 輸血や血液製剤の管理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milscm_2023_009.sny_202310_backup_merge_dpc_hn.ass0010_blood_products_kanri IS '輸血や血液製剤の管理';</v>
      </c>
    </row>
    <row r="32" spans="1:45" s="25" customFormat="1" ht="261">
      <c r="A32" s="4"/>
      <c r="B32" s="21">
        <f t="shared" si="2"/>
        <v>20</v>
      </c>
      <c r="C32" s="13" t="s">
        <v>376</v>
      </c>
      <c r="D32" s="13" t="s">
        <v>377</v>
      </c>
      <c r="E32" s="7"/>
      <c r="F32" s="7" t="s">
        <v>317</v>
      </c>
      <c r="G32" s="7" t="str">
        <f t="shared" si="3"/>
        <v>text</v>
      </c>
      <c r="H32" s="58"/>
      <c r="I32" s="23"/>
      <c r="J32" s="24" t="s">
        <v>545</v>
      </c>
      <c r="N32" s="76"/>
      <c r="O32" s="76"/>
      <c r="P32" s="76" t="str">
        <f t="shared" si="4"/>
        <v>,ass0010_expert_chiryo</v>
      </c>
      <c r="Q32" s="76" t="str">
        <f t="shared" si="0"/>
        <v>TEXT</v>
      </c>
      <c r="R32" s="76" t="str">
        <f t="shared" si="1"/>
        <v/>
      </c>
      <c r="S32" s="76" t="str">
        <f t="shared" si="5"/>
        <v/>
      </c>
      <c r="T32" s="76" t="str">
        <f t="shared" si="6"/>
        <v>-- 専門的な治療・処置</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milscm_2023_009.sny_202310_backup_merge_dpc_hn.ass0010_expert_chiryo IS '専門的な治療・処置';</v>
      </c>
    </row>
    <row r="33" spans="1:52" s="25" customFormat="1" ht="30">
      <c r="A33" s="4"/>
      <c r="B33" s="21">
        <f t="shared" si="2"/>
        <v>21</v>
      </c>
      <c r="C33" s="6" t="s">
        <v>378</v>
      </c>
      <c r="D33" s="6" t="s">
        <v>379</v>
      </c>
      <c r="E33" s="8"/>
      <c r="F33" s="7" t="s">
        <v>317</v>
      </c>
      <c r="G33" s="7" t="str">
        <f t="shared" si="3"/>
        <v>text</v>
      </c>
      <c r="H33" s="26"/>
      <c r="I33" s="10"/>
      <c r="J33" s="11" t="s">
        <v>544</v>
      </c>
      <c r="N33" s="76"/>
      <c r="O33" s="76"/>
      <c r="P33" s="76" t="str">
        <f t="shared" si="4"/>
        <v>,ass0010_hanso_nyuin_flag</v>
      </c>
      <c r="Q33" s="76" t="str">
        <f t="shared" si="0"/>
        <v>TEXT</v>
      </c>
      <c r="R33" s="76" t="str">
        <f t="shared" si="1"/>
        <v/>
      </c>
      <c r="S33" s="76" t="str">
        <f t="shared" si="5"/>
        <v/>
      </c>
      <c r="T33" s="76" t="str">
        <f t="shared" si="6"/>
        <v>-- 救急搬送後の入院</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milscm_2023_009.sny_202310_backup_merge_dpc_hn.ass0010_hanso_nyuin_flag IS '救急搬送後の入院';</v>
      </c>
    </row>
    <row r="34" spans="1:52" s="25" customFormat="1" ht="156.6">
      <c r="A34" s="4"/>
      <c r="B34" s="21">
        <f t="shared" si="2"/>
        <v>22</v>
      </c>
      <c r="C34" s="13" t="s">
        <v>364</v>
      </c>
      <c r="D34" s="13" t="s">
        <v>380</v>
      </c>
      <c r="E34" s="7"/>
      <c r="F34" s="7" t="s">
        <v>317</v>
      </c>
      <c r="G34" s="7" t="str">
        <f t="shared" si="3"/>
        <v>text</v>
      </c>
      <c r="H34" s="58"/>
      <c r="I34" s="23"/>
      <c r="J34" s="24" t="s">
        <v>543</v>
      </c>
      <c r="N34" s="76"/>
      <c r="O34" s="76"/>
      <c r="P34" s="76" t="str">
        <f t="shared" si="4"/>
        <v>,ass0011_sosho_shochi</v>
      </c>
      <c r="Q34" s="76" t="str">
        <f t="shared" si="0"/>
        <v>TEXT</v>
      </c>
      <c r="R34" s="76" t="str">
        <f t="shared" si="1"/>
        <v/>
      </c>
      <c r="S34" s="76" t="str">
        <f t="shared" si="5"/>
        <v/>
      </c>
      <c r="T34" s="76" t="str">
        <f t="shared" si="6"/>
        <v>-- 創傷処置</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milscm_2023_009.sny_202310_backup_merge_dpc_hn.ass0011_sosho_shochi IS '創傷処置';</v>
      </c>
    </row>
    <row r="35" spans="1:52" s="25" customFormat="1">
      <c r="A35" s="4"/>
      <c r="B35" s="21">
        <f t="shared" si="2"/>
        <v>23</v>
      </c>
      <c r="C35" s="6" t="s">
        <v>366</v>
      </c>
      <c r="D35" s="6" t="s">
        <v>381</v>
      </c>
      <c r="E35" s="8"/>
      <c r="F35" s="7" t="s">
        <v>317</v>
      </c>
      <c r="G35" s="7" t="str">
        <f t="shared" si="3"/>
        <v>text</v>
      </c>
      <c r="H35" s="26"/>
      <c r="I35" s="10"/>
      <c r="J35" s="11" t="s">
        <v>544</v>
      </c>
      <c r="N35" s="76"/>
      <c r="O35" s="76"/>
      <c r="P35" s="76" t="str">
        <f t="shared" si="4"/>
        <v>,ass0011_kokyu_care</v>
      </c>
      <c r="Q35" s="76" t="str">
        <f t="shared" si="0"/>
        <v>TEXT</v>
      </c>
      <c r="R35" s="76" t="str">
        <f t="shared" si="1"/>
        <v/>
      </c>
      <c r="S35" s="76" t="str">
        <f t="shared" si="5"/>
        <v/>
      </c>
      <c r="T35" s="76" t="str">
        <f t="shared" si="6"/>
        <v>-- 呼吸ケア</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milscm_2023_009.sny_202310_backup_merge_dpc_hn.ass0011_kokyu_care IS '呼吸ケア';</v>
      </c>
    </row>
    <row r="36" spans="1:52" s="25" customFormat="1">
      <c r="A36" s="4"/>
      <c r="B36" s="21">
        <f t="shared" si="2"/>
        <v>24</v>
      </c>
      <c r="C36" s="6" t="s">
        <v>368</v>
      </c>
      <c r="D36" s="6" t="s">
        <v>382</v>
      </c>
      <c r="E36" s="8"/>
      <c r="F36" s="7" t="s">
        <v>317</v>
      </c>
      <c r="G36" s="7" t="str">
        <f t="shared" si="3"/>
        <v>text</v>
      </c>
      <c r="H36" s="26"/>
      <c r="I36" s="10"/>
      <c r="J36" s="11" t="s">
        <v>544</v>
      </c>
      <c r="N36" s="76"/>
      <c r="O36" s="76"/>
      <c r="P36" s="76" t="str">
        <f t="shared" si="4"/>
        <v>,ass0011_tenteki_kanri</v>
      </c>
      <c r="Q36" s="76" t="str">
        <f t="shared" si="0"/>
        <v>TEXT</v>
      </c>
      <c r="R36" s="76" t="str">
        <f t="shared" si="1"/>
        <v/>
      </c>
      <c r="S36" s="76" t="str">
        <f t="shared" si="5"/>
        <v/>
      </c>
      <c r="T36" s="76" t="str">
        <f t="shared" si="6"/>
        <v>-- 点滴ライン同時3本以上の管理</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milscm_2023_009.sny_202310_backup_merge_dpc_hn.ass0011_tenteki_kanri IS '点滴ライン同時3本以上の管理';</v>
      </c>
    </row>
    <row r="37" spans="1:52" s="25" customFormat="1" ht="30">
      <c r="A37" s="4"/>
      <c r="B37" s="21">
        <f t="shared" si="2"/>
        <v>25</v>
      </c>
      <c r="C37" s="13" t="s">
        <v>370</v>
      </c>
      <c r="D37" s="13" t="s">
        <v>383</v>
      </c>
      <c r="E37" s="7"/>
      <c r="F37" s="7" t="s">
        <v>317</v>
      </c>
      <c r="G37" s="7" t="str">
        <f t="shared" si="3"/>
        <v>text</v>
      </c>
      <c r="H37" s="58"/>
      <c r="I37" s="23"/>
      <c r="J37" s="24" t="s">
        <v>544</v>
      </c>
      <c r="N37" s="76"/>
      <c r="O37" s="76"/>
      <c r="P37" s="76" t="str">
        <f t="shared" si="4"/>
        <v>,ass0011_shindenzu_kanri</v>
      </c>
      <c r="Q37" s="76" t="str">
        <f t="shared" si="0"/>
        <v>TEXT</v>
      </c>
      <c r="R37" s="76" t="str">
        <f t="shared" si="1"/>
        <v/>
      </c>
      <c r="S37" s="76" t="str">
        <f t="shared" si="5"/>
        <v/>
      </c>
      <c r="T37" s="76" t="str">
        <f t="shared" si="6"/>
        <v>-- 心電図モニターの管理</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milscm_2023_009.sny_202310_backup_merge_dpc_hn.ass0011_shindenzu_kanri IS '心電図モニターの管理';</v>
      </c>
    </row>
    <row r="38" spans="1:52" s="25" customFormat="1" ht="30">
      <c r="A38" s="4"/>
      <c r="B38" s="21">
        <f t="shared" si="2"/>
        <v>26</v>
      </c>
      <c r="C38" s="6" t="s">
        <v>372</v>
      </c>
      <c r="D38" s="6" t="s">
        <v>384</v>
      </c>
      <c r="E38" s="8"/>
      <c r="F38" s="7" t="s">
        <v>317</v>
      </c>
      <c r="G38" s="7" t="str">
        <f t="shared" si="3"/>
        <v>text</v>
      </c>
      <c r="H38" s="26"/>
      <c r="I38" s="10"/>
      <c r="J38" s="11" t="s">
        <v>544</v>
      </c>
      <c r="N38" s="76"/>
      <c r="O38" s="76"/>
      <c r="P38" s="76" t="str">
        <f t="shared" si="4"/>
        <v>,ass0011_syringe_pump_kanri</v>
      </c>
      <c r="Q38" s="76" t="str">
        <f t="shared" si="0"/>
        <v>TEXT</v>
      </c>
      <c r="R38" s="76" t="str">
        <f t="shared" si="1"/>
        <v/>
      </c>
      <c r="S38" s="76" t="str">
        <f t="shared" si="5"/>
        <v/>
      </c>
      <c r="T38" s="76" t="str">
        <f t="shared" si="6"/>
        <v>-- シリンジポンプの管理</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milscm_2023_009.sny_202310_backup_merge_dpc_hn.ass0011_syringe_pump_kanri IS 'シリンジポンプの管理';</v>
      </c>
    </row>
    <row r="39" spans="1:52" s="25" customFormat="1" ht="30">
      <c r="A39" s="4"/>
      <c r="B39" s="21">
        <f t="shared" si="2"/>
        <v>27</v>
      </c>
      <c r="C39" s="13" t="s">
        <v>374</v>
      </c>
      <c r="D39" s="13" t="s">
        <v>385</v>
      </c>
      <c r="E39" s="7"/>
      <c r="F39" s="7" t="s">
        <v>317</v>
      </c>
      <c r="G39" s="7" t="str">
        <f t="shared" si="3"/>
        <v>text</v>
      </c>
      <c r="H39" s="58"/>
      <c r="I39" s="23"/>
      <c r="J39" s="24" t="s">
        <v>544</v>
      </c>
      <c r="N39" s="76"/>
      <c r="O39" s="76"/>
      <c r="P39" s="76" t="str">
        <f t="shared" si="4"/>
        <v>,ass0011_blood_products_kanri</v>
      </c>
      <c r="Q39" s="76" t="str">
        <f t="shared" si="0"/>
        <v>TEXT</v>
      </c>
      <c r="R39" s="76" t="str">
        <f t="shared" si="1"/>
        <v/>
      </c>
      <c r="S39" s="76" t="str">
        <f t="shared" si="5"/>
        <v/>
      </c>
      <c r="T39" s="76" t="str">
        <f t="shared" si="6"/>
        <v>-- 輸血や血液製剤の管理</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milscm_2023_009.sny_202310_backup_merge_dpc_hn.ass0011_blood_products_kanri IS '輸血や血液製剤の管理';</v>
      </c>
    </row>
    <row r="40" spans="1:52" s="25" customFormat="1" ht="139.19999999999999">
      <c r="A40" s="4"/>
      <c r="B40" s="21">
        <f t="shared" si="2"/>
        <v>28</v>
      </c>
      <c r="C40" s="6" t="s">
        <v>386</v>
      </c>
      <c r="D40" s="6" t="s">
        <v>387</v>
      </c>
      <c r="E40" s="8"/>
      <c r="F40" s="7" t="s">
        <v>317</v>
      </c>
      <c r="G40" s="7" t="str">
        <f t="shared" si="3"/>
        <v>text</v>
      </c>
      <c r="H40" s="26"/>
      <c r="I40" s="10"/>
      <c r="J40" s="11" t="s">
        <v>546</v>
      </c>
      <c r="N40" s="76"/>
      <c r="O40" s="76"/>
      <c r="P40" s="76" t="str">
        <f t="shared" si="4"/>
        <v>,ass0011_expert_chiryo_sankoumoku</v>
      </c>
      <c r="Q40" s="76" t="str">
        <f t="shared" si="0"/>
        <v>TEXT</v>
      </c>
      <c r="R40" s="76" t="str">
        <f t="shared" si="1"/>
        <v/>
      </c>
      <c r="S40" s="76" t="str">
        <f t="shared" si="5"/>
        <v/>
      </c>
      <c r="T40" s="76" t="str">
        <f t="shared" si="6"/>
        <v>-- 専門的な治療・処置（3項目）</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milscm_2023_009.sny_202310_backup_merge_dpc_hn.ass0011_expert_chiryo_sankoumoku IS '専門的な治療・処置（3項目）';</v>
      </c>
    </row>
    <row r="41" spans="1:52" s="25" customFormat="1" ht="30">
      <c r="A41" s="4"/>
      <c r="B41" s="21">
        <f t="shared" si="2"/>
        <v>29</v>
      </c>
      <c r="C41" s="13" t="s">
        <v>378</v>
      </c>
      <c r="D41" s="13" t="s">
        <v>388</v>
      </c>
      <c r="E41" s="7"/>
      <c r="F41" s="7" t="s">
        <v>317</v>
      </c>
      <c r="G41" s="7" t="str">
        <f t="shared" si="3"/>
        <v>text</v>
      </c>
      <c r="H41" s="58"/>
      <c r="I41" s="23"/>
      <c r="J41" s="24" t="s">
        <v>544</v>
      </c>
      <c r="N41" s="76"/>
      <c r="O41" s="76"/>
      <c r="P41" s="76" t="str">
        <f t="shared" si="4"/>
        <v>,ass0011_hanso_nyuin_flag</v>
      </c>
      <c r="Q41" s="76" t="str">
        <f t="shared" si="0"/>
        <v>TEXT</v>
      </c>
      <c r="R41" s="76" t="str">
        <f t="shared" si="1"/>
        <v/>
      </c>
      <c r="S41" s="76" t="str">
        <f t="shared" si="5"/>
        <v/>
      </c>
      <c r="T41" s="76" t="str">
        <f t="shared" si="6"/>
        <v>-- 救急搬送後の入院</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milscm_2023_009.sny_202310_backup_merge_dpc_hn.ass0011_hanso_nyuin_flag IS '救急搬送後の入院';</v>
      </c>
    </row>
    <row r="42" spans="1:52" s="25" customFormat="1" ht="156.6">
      <c r="A42" s="4"/>
      <c r="B42" s="21">
        <f t="shared" si="2"/>
        <v>30</v>
      </c>
      <c r="C42" s="6" t="s">
        <v>364</v>
      </c>
      <c r="D42" s="6" t="s">
        <v>389</v>
      </c>
      <c r="E42" s="8"/>
      <c r="F42" s="7" t="s">
        <v>317</v>
      </c>
      <c r="G42" s="7" t="str">
        <f t="shared" si="3"/>
        <v>text</v>
      </c>
      <c r="H42" s="26"/>
      <c r="I42" s="10"/>
      <c r="J42" s="11" t="s">
        <v>543</v>
      </c>
      <c r="N42" s="76"/>
      <c r="O42" s="76"/>
      <c r="P42" s="76" t="str">
        <f t="shared" si="4"/>
        <v>,ass0012_sosho_shochi</v>
      </c>
      <c r="Q42" s="76" t="str">
        <f t="shared" si="0"/>
        <v>TEXT</v>
      </c>
      <c r="R42" s="76" t="str">
        <f t="shared" si="1"/>
        <v/>
      </c>
      <c r="S42" s="76" t="str">
        <f t="shared" si="5"/>
        <v/>
      </c>
      <c r="T42" s="76" t="str">
        <f t="shared" si="6"/>
        <v>-- 創傷処置</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milscm_2023_009.sny_202310_backup_merge_dpc_hn.ass0012_sosho_shochi IS '創傷処置';</v>
      </c>
    </row>
    <row r="43" spans="1:52" s="25" customFormat="1" ht="30">
      <c r="A43" s="4"/>
      <c r="B43" s="21">
        <f t="shared" si="2"/>
        <v>31</v>
      </c>
      <c r="C43" s="13" t="s">
        <v>390</v>
      </c>
      <c r="D43" s="13" t="s">
        <v>391</v>
      </c>
      <c r="E43" s="7"/>
      <c r="F43" s="7" t="s">
        <v>317</v>
      </c>
      <c r="G43" s="7" t="str">
        <f t="shared" si="3"/>
        <v>text</v>
      </c>
      <c r="H43" s="58"/>
      <c r="I43" s="23"/>
      <c r="J43" s="24" t="s">
        <v>544</v>
      </c>
      <c r="N43" s="76"/>
      <c r="O43" s="76"/>
      <c r="P43" s="76" t="str">
        <f t="shared" si="4"/>
        <v>,ass0012_kokyu_care_kakutan_trim</v>
      </c>
      <c r="Q43" s="76" t="str">
        <f t="shared" si="0"/>
        <v>TEXT</v>
      </c>
      <c r="R43" s="76" t="str">
        <f t="shared" si="1"/>
        <v/>
      </c>
      <c r="S43" s="76" t="str">
        <f t="shared" si="5"/>
        <v/>
      </c>
      <c r="T43" s="76" t="str">
        <f t="shared" si="6"/>
        <v>-- 呼吸ケア（喀痰吸引のみの場合を除く）</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milscm_2023_009.sny_202310_backup_merge_dpc_hn.ass0012_kokyu_care_kakutan_trim IS '呼吸ケア（喀痰吸引のみの場合を除く）';</v>
      </c>
    </row>
    <row r="44" spans="1:52" s="25" customFormat="1">
      <c r="A44" s="4"/>
      <c r="B44" s="21">
        <f t="shared" si="2"/>
        <v>32</v>
      </c>
      <c r="C44" s="6" t="s">
        <v>392</v>
      </c>
      <c r="D44" s="6" t="s">
        <v>393</v>
      </c>
      <c r="E44" s="8"/>
      <c r="F44" s="7" t="s">
        <v>317</v>
      </c>
      <c r="G44" s="7" t="str">
        <f t="shared" si="3"/>
        <v>text</v>
      </c>
      <c r="H44" s="26"/>
      <c r="I44" s="10"/>
      <c r="J44" s="11" t="s">
        <v>544</v>
      </c>
      <c r="N44" s="76"/>
      <c r="O44" s="76"/>
      <c r="P44" s="76" t="str">
        <f t="shared" si="4"/>
        <v>,ass0012_chusya_kanri</v>
      </c>
      <c r="Q44" s="76" t="str">
        <f t="shared" si="0"/>
        <v>TEXT</v>
      </c>
      <c r="R44" s="76" t="str">
        <f t="shared" si="1"/>
        <v/>
      </c>
      <c r="S44" s="76" t="str">
        <f t="shared" si="5"/>
        <v/>
      </c>
      <c r="T44" s="76" t="str">
        <f t="shared" si="6"/>
        <v>-- 注射薬剤３種類以上の管理</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milscm_2023_009.sny_202310_backup_merge_dpc_hn.ass0012_chusya_kanri IS '注射薬剤３種類以上の管理';</v>
      </c>
    </row>
    <row r="45" spans="1:52" s="25" customFormat="1" ht="30">
      <c r="A45" s="4"/>
      <c r="B45" s="21">
        <f t="shared" si="2"/>
        <v>33</v>
      </c>
      <c r="C45" s="13" t="s">
        <v>372</v>
      </c>
      <c r="D45" s="13" t="s">
        <v>394</v>
      </c>
      <c r="E45" s="7"/>
      <c r="F45" s="7" t="s">
        <v>317</v>
      </c>
      <c r="G45" s="7" t="str">
        <f t="shared" si="3"/>
        <v>text</v>
      </c>
      <c r="H45" s="58"/>
      <c r="I45" s="23"/>
      <c r="J45" s="24" t="s">
        <v>544</v>
      </c>
      <c r="N45" s="76"/>
      <c r="O45" s="76"/>
      <c r="P45" s="76" t="str">
        <f t="shared" si="4"/>
        <v>,ass0012_syringe_pump_kanri</v>
      </c>
      <c r="Q45" s="76" t="str">
        <f t="shared" si="0"/>
        <v>TEXT</v>
      </c>
      <c r="R45" s="76" t="str">
        <f t="shared" si="1"/>
        <v/>
      </c>
      <c r="S45" s="76" t="str">
        <f t="shared" si="5"/>
        <v/>
      </c>
      <c r="T45" s="76" t="str">
        <f t="shared" si="6"/>
        <v>-- シリンジポンプの管理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milscm_2023_009.sny_202310_backup_merge_dpc_hn.ass0012_syringe_pump_kanri IS 'シリンジポンプの管理';</v>
      </c>
    </row>
    <row r="46" spans="1:52" s="25" customFormat="1" ht="30">
      <c r="A46" s="4"/>
      <c r="B46" s="21">
        <f t="shared" si="2"/>
        <v>34</v>
      </c>
      <c r="C46" s="13" t="s">
        <v>374</v>
      </c>
      <c r="D46" s="13" t="s">
        <v>395</v>
      </c>
      <c r="E46" s="7"/>
      <c r="F46" s="7" t="s">
        <v>317</v>
      </c>
      <c r="G46" s="7" t="str">
        <f t="shared" si="3"/>
        <v>text</v>
      </c>
      <c r="H46" s="58"/>
      <c r="I46" s="23"/>
      <c r="J46" s="24" t="s">
        <v>544</v>
      </c>
      <c r="N46" s="76"/>
      <c r="O46" s="76"/>
      <c r="P46" s="76" t="str">
        <f t="shared" si="4"/>
        <v>,ass0012_blood_products_kanri</v>
      </c>
      <c r="Q46" s="76" t="str">
        <f t="shared" si="0"/>
        <v>TEXT</v>
      </c>
      <c r="R46" s="76" t="str">
        <f t="shared" si="1"/>
        <v/>
      </c>
      <c r="S46" s="76" t="str">
        <f t="shared" si="5"/>
        <v/>
      </c>
      <c r="T46" s="76" t="str">
        <f t="shared" si="6"/>
        <v>-- 輸血や血液製剤の管理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milscm_2023_009.sny_202310_backup_merge_dpc_hn.ass0012_blood_products_kanri IS '輸血や血液製剤の管理';</v>
      </c>
    </row>
    <row r="47" spans="1:52" s="25" customFormat="1" ht="139.19999999999999">
      <c r="A47" s="4"/>
      <c r="B47" s="21">
        <f t="shared" si="2"/>
        <v>35</v>
      </c>
      <c r="C47" s="13" t="s">
        <v>376</v>
      </c>
      <c r="D47" s="13" t="s">
        <v>396</v>
      </c>
      <c r="E47" s="7"/>
      <c r="F47" s="7" t="s">
        <v>317</v>
      </c>
      <c r="G47" s="7" t="str">
        <f t="shared" si="3"/>
        <v>text</v>
      </c>
      <c r="H47" s="58"/>
      <c r="I47" s="23"/>
      <c r="J47" s="24" t="s">
        <v>546</v>
      </c>
      <c r="N47" s="76"/>
      <c r="O47" s="76"/>
      <c r="P47" s="76" t="str">
        <f t="shared" si="4"/>
        <v>,ass0012_expert_chiryo</v>
      </c>
      <c r="Q47" s="76" t="str">
        <f t="shared" si="0"/>
        <v>TEXT</v>
      </c>
      <c r="R47" s="76" t="str">
        <f t="shared" si="1"/>
        <v/>
      </c>
      <c r="S47" s="76" t="str">
        <f t="shared" si="5"/>
        <v/>
      </c>
      <c r="T47" s="76" t="str">
        <f t="shared" si="6"/>
        <v>-- 専門的な治療・処置</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milscm_2023_009.sny_202310_backup_merge_dpc_hn.ass0012_expert_chiryo IS '専門的な治療・処置';</v>
      </c>
      <c r="AT47" s="4"/>
      <c r="AU47" s="4"/>
    </row>
    <row r="48" spans="1:52" s="25" customFormat="1" ht="30">
      <c r="A48" s="4"/>
      <c r="B48" s="21">
        <f t="shared" si="2"/>
        <v>36</v>
      </c>
      <c r="C48" s="6" t="s">
        <v>378</v>
      </c>
      <c r="D48" s="6" t="s">
        <v>397</v>
      </c>
      <c r="E48" s="8"/>
      <c r="F48" s="7" t="s">
        <v>317</v>
      </c>
      <c r="G48" s="7" t="str">
        <f t="shared" si="3"/>
        <v>text</v>
      </c>
      <c r="H48" s="26"/>
      <c r="I48" s="10"/>
      <c r="J48" s="11" t="s">
        <v>544</v>
      </c>
      <c r="L48" s="4"/>
      <c r="N48" s="76"/>
      <c r="O48" s="76"/>
      <c r="P48" s="76" t="str">
        <f t="shared" ref="P48:P111" si="7">IF(B48&lt;&gt;1,","&amp;D48,D48)</f>
        <v>,ass0012_hanso_nyuin_flag</v>
      </c>
      <c r="Q48" s="76" t="str">
        <f t="shared" ref="Q48:Q111" si="8">UPPER(G48)</f>
        <v>TEXT</v>
      </c>
      <c r="R48" s="76" t="str">
        <f t="shared" ref="R48:R111" si="9">IF(H48&lt;&gt;"","default "&amp;IF(G48="text","'"&amp;H48&amp;"'",H48),"")</f>
        <v/>
      </c>
      <c r="S48" s="76" t="str">
        <f t="shared" ref="S48:S111" si="10">IF(I48="○","NOT NULL","")</f>
        <v/>
      </c>
      <c r="T48" s="76" t="str">
        <f t="shared" ref="T48:T111" si="11">"-- "&amp;C48</f>
        <v>-- 救急搬送後の入院</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milscm_2023_009.sny_202310_backup_merge_dpc_hn.ass0012_hanso_nyuin_flag IS '救急搬送後の入院';</v>
      </c>
      <c r="AT48" s="4"/>
      <c r="AU48" s="4"/>
      <c r="AV48" s="4"/>
      <c r="AW48" s="4"/>
      <c r="AX48" s="4"/>
      <c r="AY48" s="4"/>
      <c r="AZ48" s="4"/>
    </row>
    <row r="49" spans="1:52" s="25" customFormat="1" ht="34.799999999999997">
      <c r="A49" s="4"/>
      <c r="B49" s="21">
        <f t="shared" si="2"/>
        <v>37</v>
      </c>
      <c r="C49" s="13" t="s">
        <v>398</v>
      </c>
      <c r="D49" s="13" t="s">
        <v>399</v>
      </c>
      <c r="E49" s="7"/>
      <c r="F49" s="7" t="s">
        <v>317</v>
      </c>
      <c r="G49" s="7" t="str">
        <f t="shared" si="3"/>
        <v>text</v>
      </c>
      <c r="H49" s="58"/>
      <c r="I49" s="23"/>
      <c r="J49" s="24" t="s">
        <v>547</v>
      </c>
      <c r="L49" s="4"/>
      <c r="N49" s="76"/>
      <c r="O49" s="76"/>
      <c r="P49" s="76" t="str">
        <f t="shared" si="7"/>
        <v>,ass0020_negaeri</v>
      </c>
      <c r="Q49" s="76" t="str">
        <f t="shared" si="8"/>
        <v>TEXT</v>
      </c>
      <c r="R49" s="76" t="str">
        <f t="shared" si="9"/>
        <v/>
      </c>
      <c r="S49" s="76" t="str">
        <f t="shared" si="10"/>
        <v/>
      </c>
      <c r="T49" s="76" t="str">
        <f t="shared" si="11"/>
        <v>-- 寝返り</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milscm_2023_009.sny_202310_backup_merge_dpc_hn.ass0020_negaeri IS '寝返り';</v>
      </c>
      <c r="AT49" s="4"/>
      <c r="AU49" s="4"/>
      <c r="AV49" s="4"/>
      <c r="AW49" s="4"/>
      <c r="AX49" s="4"/>
      <c r="AY49" s="4"/>
      <c r="AZ49" s="4"/>
    </row>
    <row r="50" spans="1:52" s="25" customFormat="1">
      <c r="A50" s="4"/>
      <c r="B50" s="21">
        <f t="shared" si="2"/>
        <v>38</v>
      </c>
      <c r="C50" s="6" t="s">
        <v>400</v>
      </c>
      <c r="D50" s="6" t="s">
        <v>401</v>
      </c>
      <c r="E50" s="8"/>
      <c r="F50" s="7" t="s">
        <v>317</v>
      </c>
      <c r="G50" s="7" t="str">
        <f t="shared" si="3"/>
        <v>text</v>
      </c>
      <c r="H50" s="26"/>
      <c r="I50" s="10"/>
      <c r="J50" s="11" t="s">
        <v>548</v>
      </c>
      <c r="L50" s="4"/>
      <c r="N50" s="76"/>
      <c r="O50" s="76"/>
      <c r="P50" s="76" t="str">
        <f t="shared" si="7"/>
        <v>,ass0020_ijo</v>
      </c>
      <c r="Q50" s="76" t="str">
        <f t="shared" si="8"/>
        <v>TEXT</v>
      </c>
      <c r="R50" s="76" t="str">
        <f t="shared" si="9"/>
        <v/>
      </c>
      <c r="S50" s="76" t="str">
        <f t="shared" si="10"/>
        <v/>
      </c>
      <c r="T50" s="76" t="str">
        <f t="shared" si="11"/>
        <v>-- 移乗</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milscm_2023_009.sny_202310_backup_merge_dpc_hn.ass0020_ijo IS '移乗';</v>
      </c>
      <c r="AT50" s="4"/>
      <c r="AU50" s="4"/>
      <c r="AV50" s="4"/>
      <c r="AW50" s="4"/>
      <c r="AX50" s="4"/>
      <c r="AY50" s="4"/>
      <c r="AZ50" s="4"/>
    </row>
    <row r="51" spans="1:52" s="25" customFormat="1">
      <c r="A51" s="4"/>
      <c r="B51" s="21">
        <f t="shared" si="2"/>
        <v>39</v>
      </c>
      <c r="C51" s="13" t="s">
        <v>402</v>
      </c>
      <c r="D51" s="13" t="s">
        <v>403</v>
      </c>
      <c r="E51" s="7"/>
      <c r="F51" s="7" t="s">
        <v>317</v>
      </c>
      <c r="G51" s="7" t="str">
        <f t="shared" si="3"/>
        <v>text</v>
      </c>
      <c r="H51" s="58"/>
      <c r="I51" s="23"/>
      <c r="J51" s="24" t="s">
        <v>549</v>
      </c>
      <c r="L51" s="4"/>
      <c r="N51" s="76"/>
      <c r="O51" s="76"/>
      <c r="P51" s="76" t="str">
        <f t="shared" si="7"/>
        <v>,ass0020_koku_seiketsu</v>
      </c>
      <c r="Q51" s="76" t="str">
        <f t="shared" si="8"/>
        <v>TEXT</v>
      </c>
      <c r="R51" s="76" t="str">
        <f t="shared" si="9"/>
        <v/>
      </c>
      <c r="S51" s="76" t="str">
        <f t="shared" si="10"/>
        <v/>
      </c>
      <c r="T51" s="76" t="str">
        <f t="shared" si="11"/>
        <v>-- 口腔清潔</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milscm_2023_009.sny_202310_backup_merge_dpc_hn.ass0020_koku_seiketsu IS '口腔清潔';</v>
      </c>
      <c r="AT51" s="4"/>
      <c r="AU51" s="4"/>
      <c r="AV51" s="4"/>
      <c r="AW51" s="4"/>
      <c r="AX51" s="4"/>
      <c r="AY51" s="4"/>
      <c r="AZ51" s="4"/>
    </row>
    <row r="52" spans="1:52" s="25" customFormat="1">
      <c r="A52" s="4"/>
      <c r="B52" s="21">
        <f t="shared" si="2"/>
        <v>40</v>
      </c>
      <c r="C52" s="6" t="s">
        <v>404</v>
      </c>
      <c r="D52" s="6" t="s">
        <v>405</v>
      </c>
      <c r="E52" s="8"/>
      <c r="F52" s="7" t="s">
        <v>317</v>
      </c>
      <c r="G52" s="7" t="str">
        <f t="shared" si="3"/>
        <v>text</v>
      </c>
      <c r="H52" s="26"/>
      <c r="I52" s="10"/>
      <c r="J52" s="11" t="s">
        <v>548</v>
      </c>
      <c r="L52" s="4"/>
      <c r="N52" s="76"/>
      <c r="O52" s="76"/>
      <c r="P52" s="76" t="str">
        <f t="shared" si="7"/>
        <v>,ass0020_shokuji_sesshu</v>
      </c>
      <c r="Q52" s="76" t="str">
        <f t="shared" si="8"/>
        <v>TEXT</v>
      </c>
      <c r="R52" s="76" t="str">
        <f t="shared" si="9"/>
        <v/>
      </c>
      <c r="S52" s="76" t="str">
        <f t="shared" si="10"/>
        <v/>
      </c>
      <c r="T52" s="76" t="str">
        <f t="shared" si="11"/>
        <v>-- 食事摂取</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milscm_2023_009.sny_202310_backup_merge_dpc_hn.ass0020_shokuji_sesshu IS '食事摂取';</v>
      </c>
      <c r="AT52" s="4"/>
      <c r="AU52" s="4"/>
      <c r="AV52" s="4"/>
      <c r="AW52" s="4"/>
      <c r="AX52" s="4"/>
      <c r="AY52" s="4"/>
      <c r="AZ52" s="4"/>
    </row>
    <row r="53" spans="1:52" s="25" customFormat="1" ht="30">
      <c r="A53" s="4"/>
      <c r="B53" s="21">
        <f t="shared" si="2"/>
        <v>41</v>
      </c>
      <c r="C53" s="6" t="s">
        <v>406</v>
      </c>
      <c r="D53" s="6" t="s">
        <v>407</v>
      </c>
      <c r="E53" s="8"/>
      <c r="F53" s="7" t="s">
        <v>317</v>
      </c>
      <c r="G53" s="7" t="str">
        <f t="shared" si="3"/>
        <v>text</v>
      </c>
      <c r="H53" s="26"/>
      <c r="I53" s="10"/>
      <c r="J53" s="11" t="s">
        <v>548</v>
      </c>
      <c r="L53" s="4"/>
      <c r="N53" s="76"/>
      <c r="O53" s="76"/>
      <c r="P53" s="76" t="str">
        <f t="shared" si="7"/>
        <v>,ass0020_ifuku_chakudatsu</v>
      </c>
      <c r="Q53" s="76" t="str">
        <f t="shared" si="8"/>
        <v>TEXT</v>
      </c>
      <c r="R53" s="76" t="str">
        <f t="shared" si="9"/>
        <v/>
      </c>
      <c r="S53" s="76" t="str">
        <f t="shared" si="10"/>
        <v/>
      </c>
      <c r="T53" s="76" t="str">
        <f t="shared" si="11"/>
        <v>-- 衣服の着脱</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milscm_2023_009.sny_202310_backup_merge_dpc_hn.ass0020_ifuku_chakudatsu IS '衣服の着脱';</v>
      </c>
      <c r="AT53" s="4"/>
      <c r="AU53" s="4"/>
      <c r="AV53" s="4"/>
      <c r="AW53" s="4"/>
      <c r="AX53" s="4"/>
      <c r="AY53" s="4"/>
      <c r="AZ53" s="4"/>
    </row>
    <row r="54" spans="1:52" s="25" customFormat="1">
      <c r="A54" s="4"/>
      <c r="B54" s="21">
        <f t="shared" si="2"/>
        <v>42</v>
      </c>
      <c r="C54" s="13" t="s">
        <v>408</v>
      </c>
      <c r="D54" s="13" t="s">
        <v>409</v>
      </c>
      <c r="E54" s="7"/>
      <c r="F54" s="7" t="s">
        <v>317</v>
      </c>
      <c r="G54" s="7" t="str">
        <f t="shared" si="3"/>
        <v>text</v>
      </c>
      <c r="H54" s="58"/>
      <c r="I54" s="23"/>
      <c r="J54" s="24" t="s">
        <v>550</v>
      </c>
      <c r="L54" s="4"/>
      <c r="M54" s="4"/>
      <c r="N54" s="76"/>
      <c r="O54" s="76"/>
      <c r="P54" s="76" t="str">
        <f t="shared" si="7"/>
        <v>,ass0020_shinryo_shiji</v>
      </c>
      <c r="Q54" s="76" t="str">
        <f t="shared" si="8"/>
        <v>TEXT</v>
      </c>
      <c r="R54" s="76" t="str">
        <f t="shared" si="9"/>
        <v/>
      </c>
      <c r="S54" s="76" t="str">
        <f t="shared" si="10"/>
        <v/>
      </c>
      <c r="T54" s="76" t="str">
        <f t="shared" si="11"/>
        <v>-- 診療・療養上の指示が通じる</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milscm_2023_009.sny_202310_backup_merge_dpc_hn.ass0020_shinryo_shiji IS '診療・療養上の指示が通じる';</v>
      </c>
      <c r="AT54" s="4"/>
      <c r="AU54" s="4"/>
      <c r="AV54" s="4"/>
      <c r="AW54" s="4"/>
      <c r="AX54" s="4"/>
      <c r="AY54" s="4"/>
      <c r="AZ54" s="4"/>
    </row>
    <row r="55" spans="1:52" s="25" customFormat="1">
      <c r="A55" s="4"/>
      <c r="B55" s="21">
        <f t="shared" si="2"/>
        <v>43</v>
      </c>
      <c r="C55" s="6" t="s">
        <v>410</v>
      </c>
      <c r="D55" s="6" t="s">
        <v>411</v>
      </c>
      <c r="E55" s="8"/>
      <c r="F55" s="7" t="s">
        <v>317</v>
      </c>
      <c r="G55" s="7" t="str">
        <f t="shared" si="3"/>
        <v>text</v>
      </c>
      <c r="H55" s="26"/>
      <c r="I55" s="10"/>
      <c r="J55" s="11" t="s">
        <v>551</v>
      </c>
      <c r="L55" s="4"/>
      <c r="M55" s="4"/>
      <c r="N55" s="76"/>
      <c r="O55" s="76"/>
      <c r="P55" s="76" t="str">
        <f t="shared" si="7"/>
        <v>,ass0020_kiken_kodo</v>
      </c>
      <c r="Q55" s="76" t="str">
        <f t="shared" si="8"/>
        <v>TEXT</v>
      </c>
      <c r="R55" s="76" t="str">
        <f t="shared" si="9"/>
        <v/>
      </c>
      <c r="S55" s="76" t="str">
        <f t="shared" si="10"/>
        <v/>
      </c>
      <c r="T55" s="76" t="str">
        <f t="shared" si="11"/>
        <v>-- 危険行動</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milscm_2023_009.sny_202310_backup_merge_dpc_hn.ass0020_kiken_kodo IS '危険行動';</v>
      </c>
      <c r="AT55" s="4"/>
      <c r="AU55" s="4"/>
      <c r="AV55" s="4"/>
      <c r="AW55" s="4"/>
      <c r="AX55" s="4"/>
      <c r="AY55" s="4"/>
      <c r="AZ55" s="4"/>
    </row>
    <row r="56" spans="1:52" s="25" customFormat="1" ht="34.799999999999997">
      <c r="A56" s="4"/>
      <c r="B56" s="21">
        <f t="shared" si="2"/>
        <v>44</v>
      </c>
      <c r="C56" s="13" t="s">
        <v>398</v>
      </c>
      <c r="D56" s="13" t="s">
        <v>412</v>
      </c>
      <c r="E56" s="7"/>
      <c r="F56" s="7" t="s">
        <v>317</v>
      </c>
      <c r="G56" s="7" t="str">
        <f t="shared" si="3"/>
        <v>text</v>
      </c>
      <c r="H56" s="58"/>
      <c r="I56" s="23"/>
      <c r="J56" s="24" t="s">
        <v>547</v>
      </c>
      <c r="L56" s="4"/>
      <c r="M56" s="4"/>
      <c r="N56" s="76"/>
      <c r="O56" s="76"/>
      <c r="P56" s="76" t="str">
        <f t="shared" si="7"/>
        <v>,ass0021_negaeri</v>
      </c>
      <c r="Q56" s="76" t="str">
        <f t="shared" si="8"/>
        <v>TEXT</v>
      </c>
      <c r="R56" s="76" t="str">
        <f t="shared" si="9"/>
        <v/>
      </c>
      <c r="S56" s="76" t="str">
        <f t="shared" si="10"/>
        <v/>
      </c>
      <c r="T56" s="76" t="str">
        <f t="shared" si="11"/>
        <v>-- 寝返り</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milscm_2023_009.sny_202310_backup_merge_dpc_hn.ass0021_negaeri IS '寝返り';</v>
      </c>
      <c r="AT56" s="4"/>
      <c r="AU56" s="4"/>
      <c r="AV56" s="4"/>
      <c r="AW56" s="4"/>
      <c r="AX56" s="4"/>
      <c r="AY56" s="4"/>
      <c r="AZ56" s="4"/>
    </row>
    <row r="57" spans="1:52" s="25" customFormat="1">
      <c r="A57" s="4"/>
      <c r="B57" s="21">
        <f t="shared" si="2"/>
        <v>45</v>
      </c>
      <c r="C57" s="6" t="s">
        <v>413</v>
      </c>
      <c r="D57" s="6" t="s">
        <v>414</v>
      </c>
      <c r="E57" s="8"/>
      <c r="F57" s="7" t="s">
        <v>317</v>
      </c>
      <c r="G57" s="7" t="str">
        <f t="shared" si="3"/>
        <v>text</v>
      </c>
      <c r="H57" s="26"/>
      <c r="I57" s="10"/>
      <c r="J57" s="11" t="s">
        <v>552</v>
      </c>
      <c r="L57" s="4"/>
      <c r="M57" s="4"/>
      <c r="N57" s="76"/>
      <c r="O57" s="76"/>
      <c r="P57" s="76" t="str">
        <f t="shared" si="7"/>
        <v>,ass0021_ijo_kanja</v>
      </c>
      <c r="Q57" s="76" t="str">
        <f t="shared" si="8"/>
        <v>TEXT</v>
      </c>
      <c r="R57" s="76" t="str">
        <f t="shared" si="9"/>
        <v/>
      </c>
      <c r="S57" s="76" t="str">
        <f t="shared" si="10"/>
        <v/>
      </c>
      <c r="T57" s="76" t="str">
        <f t="shared" si="11"/>
        <v>-- 移乗（患者の状態）</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milscm_2023_009.sny_202310_backup_merge_dpc_hn.ass0021_ijo_kanja IS '移乗（患者の状態）';</v>
      </c>
      <c r="AT57" s="4"/>
      <c r="AU57" s="4"/>
      <c r="AV57" s="4"/>
      <c r="AW57" s="4"/>
      <c r="AX57" s="4"/>
      <c r="AY57" s="4"/>
      <c r="AZ57" s="4"/>
    </row>
    <row r="58" spans="1:52" s="25" customFormat="1" ht="30">
      <c r="A58" s="4"/>
      <c r="B58" s="21">
        <f t="shared" si="2"/>
        <v>46</v>
      </c>
      <c r="C58" s="13" t="s">
        <v>415</v>
      </c>
      <c r="D58" s="13" t="s">
        <v>416</v>
      </c>
      <c r="E58" s="7"/>
      <c r="F58" s="7" t="s">
        <v>317</v>
      </c>
      <c r="G58" s="7" t="str">
        <f t="shared" si="3"/>
        <v>text</v>
      </c>
      <c r="H58" s="58"/>
      <c r="I58" s="23"/>
      <c r="J58" s="24" t="s">
        <v>553</v>
      </c>
      <c r="L58" s="4"/>
      <c r="M58" s="4"/>
      <c r="N58" s="76"/>
      <c r="O58" s="76"/>
      <c r="P58" s="76" t="str">
        <f t="shared" si="7"/>
        <v>,ass0021_koku_seiketsu_kanja</v>
      </c>
      <c r="Q58" s="76" t="str">
        <f t="shared" si="8"/>
        <v>TEXT</v>
      </c>
      <c r="R58" s="76" t="str">
        <f t="shared" si="9"/>
        <v/>
      </c>
      <c r="S58" s="76" t="str">
        <f t="shared" si="10"/>
        <v/>
      </c>
      <c r="T58" s="76" t="str">
        <f t="shared" si="11"/>
        <v>-- 口腔清潔（患者の状態）</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milscm_2023_009.sny_202310_backup_merge_dpc_hn.ass0021_koku_seiketsu_kanja IS '口腔清潔（患者の状態）';</v>
      </c>
      <c r="AT58" s="4"/>
      <c r="AU58" s="4"/>
      <c r="AV58" s="4"/>
      <c r="AW58" s="4"/>
      <c r="AX58" s="4"/>
      <c r="AY58" s="4"/>
      <c r="AZ58" s="4"/>
    </row>
    <row r="59" spans="1:52" s="25" customFormat="1" ht="30">
      <c r="A59" s="4"/>
      <c r="B59" s="21">
        <f t="shared" si="2"/>
        <v>47</v>
      </c>
      <c r="C59" s="6" t="s">
        <v>417</v>
      </c>
      <c r="D59" s="6" t="s">
        <v>418</v>
      </c>
      <c r="E59" s="8"/>
      <c r="F59" s="7" t="s">
        <v>317</v>
      </c>
      <c r="G59" s="7" t="str">
        <f t="shared" si="3"/>
        <v>text</v>
      </c>
      <c r="H59" s="26"/>
      <c r="I59" s="10"/>
      <c r="J59" s="11" t="s">
        <v>552</v>
      </c>
      <c r="L59" s="4"/>
      <c r="M59" s="4"/>
      <c r="N59" s="76"/>
      <c r="O59" s="76"/>
      <c r="P59" s="76" t="str">
        <f t="shared" si="7"/>
        <v>,ass0021_shokuji_sesshu_kanja</v>
      </c>
      <c r="Q59" s="76" t="str">
        <f t="shared" si="8"/>
        <v>TEXT</v>
      </c>
      <c r="R59" s="76" t="str">
        <f t="shared" si="9"/>
        <v/>
      </c>
      <c r="S59" s="76" t="str">
        <f t="shared" si="10"/>
        <v/>
      </c>
      <c r="T59" s="76" t="str">
        <f t="shared" si="11"/>
        <v>-- 食事摂取（患者の状態）</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milscm_2023_009.sny_202310_backup_merge_dpc_hn.ass0021_shokuji_sesshu_kanja IS '食事摂取（患者の状態）';</v>
      </c>
      <c r="AT59" s="4"/>
      <c r="AU59" s="4"/>
      <c r="AV59" s="4"/>
      <c r="AW59" s="4"/>
      <c r="AX59" s="4"/>
      <c r="AY59" s="4"/>
      <c r="AZ59" s="4"/>
    </row>
    <row r="60" spans="1:52" s="25" customFormat="1" ht="30">
      <c r="A60" s="4"/>
      <c r="B60" s="21">
        <f t="shared" si="2"/>
        <v>48</v>
      </c>
      <c r="C60" s="13" t="s">
        <v>419</v>
      </c>
      <c r="D60" s="13" t="s">
        <v>420</v>
      </c>
      <c r="E60" s="7"/>
      <c r="F60" s="7" t="s">
        <v>317</v>
      </c>
      <c r="G60" s="7" t="str">
        <f t="shared" si="3"/>
        <v>text</v>
      </c>
      <c r="H60" s="58"/>
      <c r="I60" s="23"/>
      <c r="J60" s="24" t="s">
        <v>552</v>
      </c>
      <c r="L60" s="4"/>
      <c r="M60" s="4"/>
      <c r="N60" s="76"/>
      <c r="O60" s="76"/>
      <c r="P60" s="76" t="str">
        <f t="shared" si="7"/>
        <v>,ass0021_ifuku_chakudatsu_kanja</v>
      </c>
      <c r="Q60" s="76" t="str">
        <f t="shared" si="8"/>
        <v>TEXT</v>
      </c>
      <c r="R60" s="76" t="str">
        <f t="shared" si="9"/>
        <v/>
      </c>
      <c r="S60" s="76" t="str">
        <f t="shared" si="10"/>
        <v/>
      </c>
      <c r="T60" s="76" t="str">
        <f t="shared" si="11"/>
        <v>-- 衣服の着脱（患者の状態）</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milscm_2023_009.sny_202310_backup_merge_dpc_hn.ass0021_ifuku_chakudatsu_kanja IS '衣服の着脱（患者の状態）';</v>
      </c>
      <c r="AT60" s="4"/>
      <c r="AU60" s="4"/>
      <c r="AV60" s="4"/>
      <c r="AW60" s="4"/>
      <c r="AX60" s="4"/>
      <c r="AY60" s="4"/>
      <c r="AZ60" s="4"/>
    </row>
    <row r="61" spans="1:52" s="25" customFormat="1">
      <c r="A61" s="4"/>
      <c r="B61" s="21">
        <f t="shared" si="2"/>
        <v>49</v>
      </c>
      <c r="C61" s="6" t="s">
        <v>408</v>
      </c>
      <c r="D61" s="6" t="s">
        <v>421</v>
      </c>
      <c r="E61" s="8"/>
      <c r="F61" s="7" t="s">
        <v>317</v>
      </c>
      <c r="G61" s="7" t="str">
        <f t="shared" si="3"/>
        <v>text</v>
      </c>
      <c r="H61" s="26"/>
      <c r="I61" s="10"/>
      <c r="J61" s="11" t="s">
        <v>550</v>
      </c>
      <c r="L61" s="4"/>
      <c r="M61" s="4"/>
      <c r="N61" s="76"/>
      <c r="O61" s="76"/>
      <c r="P61" s="76" t="str">
        <f t="shared" si="7"/>
        <v>,ass0021_shinryo_shiji</v>
      </c>
      <c r="Q61" s="76" t="str">
        <f t="shared" si="8"/>
        <v>TEXT</v>
      </c>
      <c r="R61" s="76" t="str">
        <f t="shared" si="9"/>
        <v/>
      </c>
      <c r="S61" s="76" t="str">
        <f t="shared" si="10"/>
        <v/>
      </c>
      <c r="T61" s="76" t="str">
        <f t="shared" si="11"/>
        <v>-- 診療・療養上の指示が通じる</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milscm_2023_009.sny_202310_backup_merge_dpc_hn.ass0021_shinryo_shiji IS '診療・療養上の指示が通じる';</v>
      </c>
      <c r="AT61" s="4"/>
      <c r="AU61" s="4"/>
      <c r="AV61" s="4"/>
      <c r="AW61" s="4"/>
      <c r="AX61" s="4"/>
      <c r="AY61" s="4"/>
      <c r="AZ61" s="4"/>
    </row>
    <row r="62" spans="1:52" s="25" customFormat="1">
      <c r="A62" s="4"/>
      <c r="B62" s="21">
        <f t="shared" si="2"/>
        <v>50</v>
      </c>
      <c r="C62" s="13" t="s">
        <v>410</v>
      </c>
      <c r="D62" s="13" t="s">
        <v>422</v>
      </c>
      <c r="E62" s="7"/>
      <c r="F62" s="7" t="s">
        <v>317</v>
      </c>
      <c r="G62" s="7" t="str">
        <f t="shared" si="3"/>
        <v>text</v>
      </c>
      <c r="H62" s="58"/>
      <c r="I62" s="23"/>
      <c r="J62" s="24" t="s">
        <v>551</v>
      </c>
      <c r="L62" s="4"/>
      <c r="M62" s="4"/>
      <c r="N62" s="76"/>
      <c r="O62" s="76"/>
      <c r="P62" s="76" t="str">
        <f t="shared" si="7"/>
        <v>,ass0021_kiken_kodo</v>
      </c>
      <c r="Q62" s="76" t="str">
        <f t="shared" si="8"/>
        <v>TEXT</v>
      </c>
      <c r="R62" s="76" t="str">
        <f t="shared" si="9"/>
        <v/>
      </c>
      <c r="S62" s="76" t="str">
        <f t="shared" si="10"/>
        <v/>
      </c>
      <c r="T62" s="76" t="str">
        <f t="shared" si="11"/>
        <v>-- 危険行動</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milscm_2023_009.sny_202310_backup_merge_dpc_hn.ass0021_kiken_kodo IS '危険行動';</v>
      </c>
      <c r="AT62" s="4"/>
      <c r="AU62" s="4"/>
      <c r="AV62" s="4"/>
      <c r="AW62" s="4"/>
      <c r="AX62" s="4"/>
      <c r="AY62" s="4"/>
      <c r="AZ62" s="4"/>
    </row>
    <row r="63" spans="1:52" s="25" customFormat="1">
      <c r="A63" s="4"/>
      <c r="B63" s="21">
        <f t="shared" si="2"/>
        <v>51</v>
      </c>
      <c r="C63" s="13" t="s">
        <v>423</v>
      </c>
      <c r="D63" s="13" t="s">
        <v>424</v>
      </c>
      <c r="E63" s="7"/>
      <c r="F63" s="7" t="s">
        <v>317</v>
      </c>
      <c r="G63" s="7" t="str">
        <f t="shared" si="3"/>
        <v>text</v>
      </c>
      <c r="H63" s="58"/>
      <c r="I63" s="23"/>
      <c r="J63" s="24" t="s">
        <v>554</v>
      </c>
      <c r="L63" s="4"/>
      <c r="M63" s="4"/>
      <c r="N63" s="76"/>
      <c r="O63" s="76"/>
      <c r="P63" s="76" t="str">
        <f t="shared" si="7"/>
        <v>,ass0021_ijo_kaijo</v>
      </c>
      <c r="Q63" s="76" t="str">
        <f t="shared" si="8"/>
        <v>TEXT</v>
      </c>
      <c r="R63" s="76" t="str">
        <f t="shared" si="9"/>
        <v/>
      </c>
      <c r="S63" s="76" t="str">
        <f t="shared" si="10"/>
        <v/>
      </c>
      <c r="T63" s="76" t="str">
        <f t="shared" si="11"/>
        <v>-- 移乗（介助の状態）</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milscm_2023_009.sny_202310_backup_merge_dpc_hn.ass0021_ijo_kaijo IS '移乗（介助の状態）';</v>
      </c>
      <c r="AT63" s="4"/>
      <c r="AU63" s="4"/>
      <c r="AV63" s="4"/>
      <c r="AW63" s="4"/>
      <c r="AX63" s="4"/>
      <c r="AY63" s="4"/>
      <c r="AZ63" s="4"/>
    </row>
    <row r="64" spans="1:52" s="25" customFormat="1" ht="30">
      <c r="A64" s="4"/>
      <c r="B64" s="21">
        <f t="shared" si="2"/>
        <v>52</v>
      </c>
      <c r="C64" s="13" t="s">
        <v>425</v>
      </c>
      <c r="D64" s="13" t="s">
        <v>426</v>
      </c>
      <c r="E64" s="7"/>
      <c r="F64" s="7" t="s">
        <v>317</v>
      </c>
      <c r="G64" s="7" t="str">
        <f t="shared" si="3"/>
        <v>text</v>
      </c>
      <c r="H64" s="58"/>
      <c r="I64" s="23"/>
      <c r="J64" s="24" t="s">
        <v>554</v>
      </c>
      <c r="L64" s="4"/>
      <c r="M64" s="4"/>
      <c r="N64" s="76"/>
      <c r="O64" s="76"/>
      <c r="P64" s="76" t="str">
        <f t="shared" si="7"/>
        <v>,ass0021_koku_seiketsu_kaijo</v>
      </c>
      <c r="Q64" s="76" t="str">
        <f t="shared" si="8"/>
        <v>TEXT</v>
      </c>
      <c r="R64" s="76" t="str">
        <f t="shared" si="9"/>
        <v/>
      </c>
      <c r="S64" s="76" t="str">
        <f t="shared" si="10"/>
        <v/>
      </c>
      <c r="T64" s="76" t="str">
        <f t="shared" si="11"/>
        <v>-- 口腔清潔（介助の状態）</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milscm_2023_009.sny_202310_backup_merge_dpc_hn.ass0021_koku_seiketsu_kaijo IS '口腔清潔（介助の状態）';</v>
      </c>
      <c r="AT64" s="4"/>
      <c r="AU64" s="4"/>
      <c r="AV64" s="4"/>
      <c r="AW64" s="4"/>
      <c r="AX64" s="4"/>
      <c r="AY64" s="4"/>
      <c r="AZ64" s="4"/>
    </row>
    <row r="65" spans="1:52" s="25" customFormat="1" ht="30">
      <c r="A65" s="4"/>
      <c r="B65" s="21">
        <f t="shared" si="2"/>
        <v>53</v>
      </c>
      <c r="C65" s="6" t="s">
        <v>427</v>
      </c>
      <c r="D65" s="6" t="s">
        <v>428</v>
      </c>
      <c r="E65" s="8"/>
      <c r="F65" s="7" t="s">
        <v>317</v>
      </c>
      <c r="G65" s="7" t="str">
        <f t="shared" si="3"/>
        <v>text</v>
      </c>
      <c r="H65" s="26"/>
      <c r="I65" s="10"/>
      <c r="J65" s="11" t="s">
        <v>554</v>
      </c>
      <c r="L65" s="4"/>
      <c r="M65" s="4"/>
      <c r="N65" s="76"/>
      <c r="O65" s="76"/>
      <c r="P65" s="76" t="str">
        <f t="shared" si="7"/>
        <v>,ass0021_shokuji_sesshu_kaijo</v>
      </c>
      <c r="Q65" s="76" t="str">
        <f t="shared" si="8"/>
        <v>TEXT</v>
      </c>
      <c r="R65" s="76" t="str">
        <f t="shared" si="9"/>
        <v/>
      </c>
      <c r="S65" s="76" t="str">
        <f t="shared" si="10"/>
        <v/>
      </c>
      <c r="T65" s="76" t="str">
        <f t="shared" si="11"/>
        <v>-- 食事摂取（介助の状態）</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milscm_2023_009.sny_202310_backup_merge_dpc_hn.ass0021_shokuji_sesshu_kaijo IS '食事摂取（介助の状態）';</v>
      </c>
      <c r="AT65" s="4"/>
      <c r="AU65" s="4"/>
      <c r="AV65" s="4"/>
      <c r="AW65" s="4"/>
      <c r="AX65" s="4"/>
      <c r="AY65" s="4"/>
      <c r="AZ65" s="4"/>
    </row>
    <row r="66" spans="1:52" s="25" customFormat="1" ht="30">
      <c r="A66" s="4"/>
      <c r="B66" s="21">
        <f t="shared" si="2"/>
        <v>54</v>
      </c>
      <c r="C66" s="13" t="s">
        <v>429</v>
      </c>
      <c r="D66" s="13" t="s">
        <v>430</v>
      </c>
      <c r="E66" s="7"/>
      <c r="F66" s="7" t="s">
        <v>317</v>
      </c>
      <c r="G66" s="7" t="str">
        <f t="shared" si="3"/>
        <v>text</v>
      </c>
      <c r="H66" s="58"/>
      <c r="I66" s="23"/>
      <c r="J66" s="24" t="s">
        <v>554</v>
      </c>
      <c r="L66" s="4"/>
      <c r="M66" s="4"/>
      <c r="N66" s="76"/>
      <c r="O66" s="76"/>
      <c r="P66" s="76" t="str">
        <f t="shared" si="7"/>
        <v>,ass0021_ifuku_chakudatsu_kaijo</v>
      </c>
      <c r="Q66" s="76" t="str">
        <f t="shared" si="8"/>
        <v>TEXT</v>
      </c>
      <c r="R66" s="76" t="str">
        <f t="shared" si="9"/>
        <v/>
      </c>
      <c r="S66" s="76" t="str">
        <f t="shared" si="10"/>
        <v/>
      </c>
      <c r="T66" s="76" t="str">
        <f t="shared" si="11"/>
        <v>-- 衣服の着脱（介助の状態）</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milscm_2023_009.sny_202310_backup_merge_dpc_hn.ass0021_ifuku_chakudatsu_kaijo IS '衣服の着脱（介助の状態）';</v>
      </c>
      <c r="AT66" s="4"/>
      <c r="AU66" s="4"/>
      <c r="AV66" s="4"/>
      <c r="AW66" s="4"/>
      <c r="AX66" s="4"/>
      <c r="AY66" s="4"/>
      <c r="AZ66" s="4"/>
    </row>
    <row r="67" spans="1:52" s="25" customFormat="1" ht="30">
      <c r="A67" s="4"/>
      <c r="B67" s="21">
        <f t="shared" si="2"/>
        <v>55</v>
      </c>
      <c r="C67" s="6" t="s">
        <v>431</v>
      </c>
      <c r="D67" s="6" t="s">
        <v>432</v>
      </c>
      <c r="E67" s="8"/>
      <c r="F67" s="7" t="s">
        <v>317</v>
      </c>
      <c r="G67" s="7" t="str">
        <f t="shared" si="3"/>
        <v>text</v>
      </c>
      <c r="H67" s="26"/>
      <c r="I67" s="10"/>
      <c r="J67" s="11" t="s">
        <v>544</v>
      </c>
      <c r="L67" s="4"/>
      <c r="M67" s="4"/>
      <c r="N67" s="76"/>
      <c r="O67" s="76"/>
      <c r="P67" s="76" t="str">
        <f t="shared" si="7"/>
        <v>,ass0030_kaito_shujutsu_7days</v>
      </c>
      <c r="Q67" s="76" t="str">
        <f t="shared" si="8"/>
        <v>TEXT</v>
      </c>
      <c r="R67" s="76" t="str">
        <f t="shared" si="9"/>
        <v/>
      </c>
      <c r="S67" s="76" t="str">
        <f t="shared" si="10"/>
        <v/>
      </c>
      <c r="T67" s="76" t="str">
        <f t="shared" si="11"/>
        <v>-- 開頭手術（7日間）</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milscm_2023_009.sny_202310_backup_merge_dpc_hn.ass0030_kaito_shujutsu_7days IS '開頭手術（7日間）';</v>
      </c>
      <c r="AT67" s="4"/>
      <c r="AU67" s="4"/>
      <c r="AV67" s="4"/>
      <c r="AW67" s="4"/>
      <c r="AX67" s="4"/>
      <c r="AY67" s="4"/>
      <c r="AZ67" s="4"/>
    </row>
    <row r="68" spans="1:52" s="25" customFormat="1" ht="30">
      <c r="A68" s="4"/>
      <c r="B68" s="21">
        <f t="shared" si="2"/>
        <v>56</v>
      </c>
      <c r="C68" s="13" t="s">
        <v>433</v>
      </c>
      <c r="D68" s="13" t="s">
        <v>434</v>
      </c>
      <c r="E68" s="7"/>
      <c r="F68" s="7" t="s">
        <v>317</v>
      </c>
      <c r="G68" s="7" t="str">
        <f t="shared" si="3"/>
        <v>text</v>
      </c>
      <c r="H68" s="58"/>
      <c r="I68" s="23"/>
      <c r="J68" s="24" t="s">
        <v>544</v>
      </c>
      <c r="L68" s="4"/>
      <c r="M68" s="4"/>
      <c r="N68" s="76"/>
      <c r="O68" s="76"/>
      <c r="P68" s="76" t="str">
        <f t="shared" si="7"/>
        <v>,ass0030_kaikyo_shujutsu_7days</v>
      </c>
      <c r="Q68" s="76" t="str">
        <f t="shared" si="8"/>
        <v>TEXT</v>
      </c>
      <c r="R68" s="76" t="str">
        <f t="shared" si="9"/>
        <v/>
      </c>
      <c r="S68" s="76" t="str">
        <f t="shared" si="10"/>
        <v/>
      </c>
      <c r="T68" s="76" t="str">
        <f t="shared" si="11"/>
        <v>-- 開胸手術（7日間）</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milscm_2023_009.sny_202310_backup_merge_dpc_hn.ass0030_kaikyo_shujutsu_7days IS '開胸手術（7日間）';</v>
      </c>
      <c r="AT68" s="4"/>
      <c r="AU68" s="4"/>
      <c r="AV68" s="4"/>
      <c r="AW68" s="4"/>
      <c r="AX68" s="4"/>
      <c r="AY68" s="4"/>
      <c r="AZ68" s="4"/>
    </row>
    <row r="69" spans="1:52" s="25" customFormat="1" ht="30">
      <c r="A69" s="4"/>
      <c r="B69" s="21">
        <f t="shared" si="2"/>
        <v>57</v>
      </c>
      <c r="C69" s="6" t="s">
        <v>435</v>
      </c>
      <c r="D69" s="6" t="s">
        <v>436</v>
      </c>
      <c r="E69" s="8"/>
      <c r="F69" s="7" t="s">
        <v>317</v>
      </c>
      <c r="G69" s="7" t="str">
        <f t="shared" si="3"/>
        <v>text</v>
      </c>
      <c r="H69" s="26"/>
      <c r="I69" s="10"/>
      <c r="J69" s="11" t="s">
        <v>544</v>
      </c>
      <c r="L69" s="4"/>
      <c r="M69" s="4"/>
      <c r="N69" s="76"/>
      <c r="O69" s="76"/>
      <c r="P69" s="76" t="str">
        <f t="shared" si="7"/>
        <v>,ass0030_kaifuku_shujutsu_4days</v>
      </c>
      <c r="Q69" s="76" t="str">
        <f t="shared" si="8"/>
        <v>TEXT</v>
      </c>
      <c r="R69" s="76" t="str">
        <f t="shared" si="9"/>
        <v/>
      </c>
      <c r="S69" s="76" t="str">
        <f t="shared" si="10"/>
        <v/>
      </c>
      <c r="T69" s="76" t="str">
        <f t="shared" si="11"/>
        <v>-- 開腹手術（4日間）</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milscm_2023_009.sny_202310_backup_merge_dpc_hn.ass0030_kaifuku_shujutsu_4days IS '開腹手術（4日間）';</v>
      </c>
      <c r="AT69" s="4"/>
      <c r="AU69" s="4"/>
      <c r="AV69" s="4"/>
      <c r="AW69" s="4"/>
      <c r="AX69" s="4"/>
      <c r="AY69" s="4"/>
      <c r="AZ69" s="4"/>
    </row>
    <row r="70" spans="1:52" s="25" customFormat="1" ht="30">
      <c r="A70" s="4"/>
      <c r="B70" s="21">
        <f t="shared" si="2"/>
        <v>58</v>
      </c>
      <c r="C70" s="6" t="s">
        <v>437</v>
      </c>
      <c r="D70" s="6" t="s">
        <v>438</v>
      </c>
      <c r="E70" s="8"/>
      <c r="F70" s="7" t="s">
        <v>317</v>
      </c>
      <c r="G70" s="7" t="str">
        <f t="shared" si="3"/>
        <v>text</v>
      </c>
      <c r="H70" s="26"/>
      <c r="I70" s="10"/>
      <c r="J70" s="11" t="s">
        <v>544</v>
      </c>
      <c r="L70" s="4"/>
      <c r="M70" s="4"/>
      <c r="N70" s="76"/>
      <c r="O70" s="76"/>
      <c r="P70" s="76" t="str">
        <f t="shared" si="7"/>
        <v>,ass0030_hone_shujutsu_5days</v>
      </c>
      <c r="Q70" s="76" t="str">
        <f t="shared" si="8"/>
        <v>TEXT</v>
      </c>
      <c r="R70" s="76" t="str">
        <f t="shared" si="9"/>
        <v/>
      </c>
      <c r="S70" s="76" t="str">
        <f t="shared" si="10"/>
        <v/>
      </c>
      <c r="T70" s="76" t="str">
        <f t="shared" si="11"/>
        <v>-- 骨の手術（5日間）</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milscm_2023_009.sny_202310_backup_merge_dpc_hn.ass0030_hone_shujutsu_5days IS '骨の手術（5日間）';</v>
      </c>
      <c r="AT70" s="4"/>
      <c r="AU70" s="4"/>
      <c r="AV70" s="4"/>
      <c r="AW70" s="4"/>
      <c r="AX70" s="4"/>
      <c r="AY70" s="4"/>
      <c r="AZ70" s="4"/>
    </row>
    <row r="71" spans="1:52" s="25" customFormat="1" ht="30">
      <c r="A71" s="4"/>
      <c r="B71" s="21">
        <f t="shared" si="2"/>
        <v>59</v>
      </c>
      <c r="C71" s="13" t="s">
        <v>439</v>
      </c>
      <c r="D71" s="13" t="s">
        <v>440</v>
      </c>
      <c r="E71" s="7"/>
      <c r="F71" s="7" t="s">
        <v>317</v>
      </c>
      <c r="G71" s="7" t="str">
        <f t="shared" si="3"/>
        <v>text</v>
      </c>
      <c r="H71" s="58"/>
      <c r="I71" s="23"/>
      <c r="J71" s="24" t="s">
        <v>544</v>
      </c>
      <c r="L71" s="4"/>
      <c r="M71" s="4"/>
      <c r="N71" s="76"/>
      <c r="O71" s="76"/>
      <c r="P71" s="76" t="str">
        <f t="shared" si="7"/>
        <v>,ass0030_kokyo_shujutsu_3days</v>
      </c>
      <c r="Q71" s="76" t="str">
        <f t="shared" si="8"/>
        <v>TEXT</v>
      </c>
      <c r="R71" s="76" t="str">
        <f t="shared" si="9"/>
        <v/>
      </c>
      <c r="S71" s="76" t="str">
        <f t="shared" si="10"/>
        <v/>
      </c>
      <c r="T71" s="76" t="str">
        <f t="shared" si="11"/>
        <v>-- 胸腔鏡・腹腔鏡手術（3日間）</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milscm_2023_009.sny_202310_backup_merge_dpc_hn.ass0030_kokyo_shujutsu_3days IS '胸腔鏡・腹腔鏡手術（3日間）';</v>
      </c>
      <c r="AT71" s="4"/>
      <c r="AU71" s="4"/>
      <c r="AV71" s="4"/>
      <c r="AW71" s="4"/>
      <c r="AX71" s="4"/>
      <c r="AY71" s="4"/>
      <c r="AZ71" s="4"/>
    </row>
    <row r="72" spans="1:52" s="25" customFormat="1" ht="30">
      <c r="A72" s="4"/>
      <c r="B72" s="21">
        <f t="shared" si="2"/>
        <v>60</v>
      </c>
      <c r="C72" s="6" t="s">
        <v>441</v>
      </c>
      <c r="D72" s="6" t="s">
        <v>442</v>
      </c>
      <c r="E72" s="8"/>
      <c r="F72" s="7" t="s">
        <v>317</v>
      </c>
      <c r="G72" s="7" t="str">
        <f t="shared" si="3"/>
        <v>text</v>
      </c>
      <c r="H72" s="26"/>
      <c r="I72" s="10"/>
      <c r="J72" s="11" t="s">
        <v>544</v>
      </c>
      <c r="L72" s="4"/>
      <c r="M72" s="4"/>
      <c r="N72" s="76"/>
      <c r="O72" s="76"/>
      <c r="P72" s="76" t="str">
        <f t="shared" si="7"/>
        <v>,ass0030_masui_shujutsu_2days</v>
      </c>
      <c r="Q72" s="76" t="str">
        <f t="shared" si="8"/>
        <v>TEXT</v>
      </c>
      <c r="R72" s="76" t="str">
        <f t="shared" si="9"/>
        <v/>
      </c>
      <c r="S72" s="76" t="str">
        <f t="shared" si="10"/>
        <v/>
      </c>
      <c r="T72" s="76" t="str">
        <f t="shared" si="11"/>
        <v>-- 全身麻酔・脊椎麻酔の手術（2日間）</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443</v>
      </c>
      <c r="D73" s="13" t="s">
        <v>444</v>
      </c>
      <c r="E73" s="7"/>
      <c r="F73" s="7" t="s">
        <v>317</v>
      </c>
      <c r="G73" s="7" t="str">
        <f t="shared" si="3"/>
        <v>text</v>
      </c>
      <c r="H73" s="58"/>
      <c r="I73" s="23"/>
      <c r="J73" s="24" t="s">
        <v>555</v>
      </c>
      <c r="L73" s="4"/>
      <c r="M73" s="4"/>
      <c r="N73" s="76"/>
      <c r="O73" s="76"/>
      <c r="P73" s="76" t="str">
        <f t="shared" si="7"/>
        <v>,ass0030_naika_chiryo_2days</v>
      </c>
      <c r="Q73" s="76" t="str">
        <f t="shared" si="8"/>
        <v>TEXT</v>
      </c>
      <c r="R73" s="76" t="str">
        <f t="shared" si="9"/>
        <v/>
      </c>
      <c r="S73" s="76" t="str">
        <f t="shared" si="10"/>
        <v/>
      </c>
      <c r="T73" s="76" t="str">
        <f t="shared" si="11"/>
        <v>-- 救命等に係る内科的治療（2日間）</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370</v>
      </c>
      <c r="D74" s="6" t="s">
        <v>445</v>
      </c>
      <c r="E74" s="8"/>
      <c r="F74" s="7" t="s">
        <v>317</v>
      </c>
      <c r="G74" s="7" t="str">
        <f t="shared" si="3"/>
        <v>text</v>
      </c>
      <c r="H74" s="26"/>
      <c r="I74" s="10"/>
      <c r="J74" s="11" t="s">
        <v>544</v>
      </c>
      <c r="L74" s="4"/>
      <c r="M74" s="4"/>
      <c r="N74" s="76"/>
      <c r="O74" s="76"/>
      <c r="P74" s="76" t="str">
        <f t="shared" si="7"/>
        <v>,ass0040_shindenzu_kanri</v>
      </c>
      <c r="Q74" s="76" t="str">
        <f t="shared" si="8"/>
        <v>TEXT</v>
      </c>
      <c r="R74" s="76" t="str">
        <f t="shared" si="9"/>
        <v/>
      </c>
      <c r="S74" s="76" t="str">
        <f t="shared" si="10"/>
        <v/>
      </c>
      <c r="T74" s="76" t="str">
        <f t="shared" si="11"/>
        <v>-- 心電図モニターの管理</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milscm_2023_009.sny_202310_backup_merge_dpc_hn.ass0040_shindenzu_kanri IS '心電図モニターの管理';</v>
      </c>
      <c r="AT74" s="4"/>
      <c r="AU74" s="4"/>
      <c r="AV74" s="4"/>
      <c r="AW74" s="4"/>
      <c r="AX74" s="4"/>
      <c r="AY74" s="4"/>
      <c r="AZ74" s="4"/>
    </row>
    <row r="75" spans="1:52" s="25" customFormat="1" ht="30">
      <c r="A75" s="4"/>
      <c r="B75" s="21">
        <f t="shared" si="2"/>
        <v>63</v>
      </c>
      <c r="C75" s="13" t="s">
        <v>446</v>
      </c>
      <c r="D75" s="13" t="s">
        <v>447</v>
      </c>
      <c r="E75" s="7"/>
      <c r="F75" s="7" t="s">
        <v>317</v>
      </c>
      <c r="G75" s="7" t="str">
        <f t="shared" si="3"/>
        <v>text</v>
      </c>
      <c r="H75" s="58"/>
      <c r="I75" s="23"/>
      <c r="J75" s="24" t="s">
        <v>544</v>
      </c>
      <c r="L75" s="4"/>
      <c r="M75" s="4"/>
      <c r="N75" s="76"/>
      <c r="O75" s="76"/>
      <c r="P75" s="76" t="str">
        <f t="shared" si="7"/>
        <v>,ass0040_yueki_pump_kanri</v>
      </c>
      <c r="Q75" s="76" t="str">
        <f t="shared" si="8"/>
        <v>TEXT</v>
      </c>
      <c r="R75" s="76" t="str">
        <f t="shared" si="9"/>
        <v/>
      </c>
      <c r="S75" s="76" t="str">
        <f t="shared" si="10"/>
        <v/>
      </c>
      <c r="T75" s="76" t="str">
        <f t="shared" si="11"/>
        <v>-- 輸液ポンプの管理</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milscm_2023_009.sny_202310_backup_merge_dpc_hn.ass0040_yueki_pump_kanri IS '輸液ポンプの管理';</v>
      </c>
      <c r="AT75" s="4"/>
      <c r="AU75" s="4"/>
      <c r="AV75" s="4"/>
      <c r="AW75" s="4"/>
      <c r="AX75" s="4"/>
      <c r="AY75" s="4"/>
      <c r="AZ75" s="4"/>
    </row>
    <row r="76" spans="1:52" s="25" customFormat="1" ht="30">
      <c r="A76" s="4"/>
      <c r="B76" s="21">
        <f t="shared" si="2"/>
        <v>64</v>
      </c>
      <c r="C76" s="6" t="s">
        <v>448</v>
      </c>
      <c r="D76" s="6" t="s">
        <v>449</v>
      </c>
      <c r="E76" s="8"/>
      <c r="F76" s="7" t="s">
        <v>317</v>
      </c>
      <c r="G76" s="7" t="str">
        <f t="shared" si="3"/>
        <v>text</v>
      </c>
      <c r="H76" s="26"/>
      <c r="I76" s="10"/>
      <c r="J76" s="11" t="s">
        <v>544</v>
      </c>
      <c r="L76" s="4"/>
      <c r="M76" s="4"/>
      <c r="N76" s="76"/>
      <c r="O76" s="76"/>
      <c r="P76" s="76" t="str">
        <f t="shared" si="7"/>
        <v>,ass0040_domyaku_sokutei</v>
      </c>
      <c r="Q76" s="76" t="str">
        <f t="shared" si="8"/>
        <v>TEXT</v>
      </c>
      <c r="R76" s="76" t="str">
        <f t="shared" si="9"/>
        <v/>
      </c>
      <c r="S76" s="76" t="str">
        <f t="shared" si="10"/>
        <v/>
      </c>
      <c r="T76" s="76" t="str">
        <f t="shared" si="11"/>
        <v>-- 動脈圧測定（動脈ライン）</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milscm_2023_009.sny_202310_backup_merge_dpc_hn.ass0040_domyaku_sokutei IS '動脈圧測定（動脈ライン）';</v>
      </c>
      <c r="AT76" s="4"/>
      <c r="AU76" s="4"/>
      <c r="AV76" s="4"/>
      <c r="AW76" s="4"/>
      <c r="AX76" s="4"/>
      <c r="AY76" s="4"/>
      <c r="AZ76" s="4"/>
    </row>
    <row r="77" spans="1:52" s="25" customFormat="1" ht="30">
      <c r="A77" s="4"/>
      <c r="B77" s="21">
        <f t="shared" si="2"/>
        <v>65</v>
      </c>
      <c r="C77" s="13" t="s">
        <v>372</v>
      </c>
      <c r="D77" s="13" t="s">
        <v>450</v>
      </c>
      <c r="E77" s="7"/>
      <c r="F77" s="7" t="s">
        <v>317</v>
      </c>
      <c r="G77" s="7" t="str">
        <f t="shared" si="3"/>
        <v>text</v>
      </c>
      <c r="H77" s="58"/>
      <c r="I77" s="23"/>
      <c r="J77" s="24" t="s">
        <v>544</v>
      </c>
      <c r="L77" s="4"/>
      <c r="M77" s="4"/>
      <c r="N77" s="76"/>
      <c r="O77" s="76"/>
      <c r="P77" s="76" t="str">
        <f t="shared" si="7"/>
        <v>,ass0040_syringe_pump_kanri</v>
      </c>
      <c r="Q77" s="76" t="str">
        <f t="shared" si="8"/>
        <v>TEXT</v>
      </c>
      <c r="R77" s="76" t="str">
        <f t="shared" si="9"/>
        <v/>
      </c>
      <c r="S77" s="76" t="str">
        <f t="shared" si="10"/>
        <v/>
      </c>
      <c r="T77" s="76" t="str">
        <f t="shared" si="11"/>
        <v>-- シリンジポンプの管理</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milscm_2023_009.sny_202310_backup_merge_dpc_hn.ass0040_syringe_pump_kanri IS 'シリンジポンプの管理';</v>
      </c>
      <c r="AT77" s="4"/>
      <c r="AU77" s="4"/>
      <c r="AV77" s="4"/>
      <c r="AW77" s="4"/>
      <c r="AX77" s="4"/>
      <c r="AY77" s="4"/>
      <c r="AZ77" s="4"/>
    </row>
    <row r="78" spans="1:52" s="25" customFormat="1" ht="30">
      <c r="A78" s="4"/>
      <c r="B78" s="21">
        <f t="shared" si="2"/>
        <v>66</v>
      </c>
      <c r="C78" s="6" t="s">
        <v>451</v>
      </c>
      <c r="D78" s="6" t="s">
        <v>452</v>
      </c>
      <c r="E78" s="8"/>
      <c r="F78" s="7" t="s">
        <v>317</v>
      </c>
      <c r="G78" s="7" t="str">
        <f t="shared" si="3"/>
        <v>text</v>
      </c>
      <c r="H78" s="26"/>
      <c r="I78" s="10"/>
      <c r="J78" s="11" t="s">
        <v>544</v>
      </c>
      <c r="L78" s="4"/>
      <c r="M78" s="4"/>
      <c r="N78" s="76"/>
      <c r="O78" s="76"/>
      <c r="P78" s="76" t="str">
        <f t="shared" si="7"/>
        <v>,ass0040_jomyaku_sokutei</v>
      </c>
      <c r="Q78" s="76" t="str">
        <f t="shared" si="8"/>
        <v>TEXT</v>
      </c>
      <c r="R78" s="76" t="str">
        <f t="shared" si="9"/>
        <v/>
      </c>
      <c r="S78" s="76" t="str">
        <f t="shared" si="10"/>
        <v/>
      </c>
      <c r="T78" s="76" t="str">
        <f t="shared" si="11"/>
        <v>-- 中心静脈圧測定（中心静脈ライン）</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453</v>
      </c>
      <c r="D79" s="13" t="s">
        <v>454</v>
      </c>
      <c r="E79" s="7"/>
      <c r="F79" s="7" t="s">
        <v>317</v>
      </c>
      <c r="G79" s="7" t="str">
        <f t="shared" si="3"/>
        <v>text</v>
      </c>
      <c r="H79" s="58"/>
      <c r="I79" s="23"/>
      <c r="J79" s="24" t="s">
        <v>544</v>
      </c>
      <c r="L79" s="4"/>
      <c r="M79" s="4"/>
      <c r="N79" s="76"/>
      <c r="O79" s="76"/>
      <c r="P79" s="76" t="str">
        <f t="shared" si="7"/>
        <v>,ass0040_jinko_kokyuki_kanri</v>
      </c>
      <c r="Q79" s="76" t="str">
        <f t="shared" si="8"/>
        <v>TEXT</v>
      </c>
      <c r="R79" s="76" t="str">
        <f t="shared" si="9"/>
        <v/>
      </c>
      <c r="S79" s="76" t="str">
        <f t="shared" si="10"/>
        <v/>
      </c>
      <c r="T79" s="76" t="str">
        <f t="shared" si="11"/>
        <v>-- 人工呼吸器の管理</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milscm_2023_009.sny_202310_backup_merge_dpc_hn.ass0040_jinko_kokyuki_kanri IS '人工呼吸器の管理';</v>
      </c>
      <c r="AT79" s="4"/>
      <c r="AU79" s="4"/>
      <c r="AV79" s="4"/>
      <c r="AW79" s="4"/>
      <c r="AX79" s="4"/>
      <c r="AY79" s="4"/>
      <c r="AZ79" s="4"/>
    </row>
    <row r="80" spans="1:52" s="25" customFormat="1" ht="30">
      <c r="A80" s="4"/>
      <c r="B80" s="21">
        <f t="shared" si="2"/>
        <v>68</v>
      </c>
      <c r="C80" s="13" t="s">
        <v>374</v>
      </c>
      <c r="D80" s="13" t="s">
        <v>455</v>
      </c>
      <c r="E80" s="7"/>
      <c r="F80" s="7" t="s">
        <v>317</v>
      </c>
      <c r="G80" s="7" t="str">
        <f t="shared" si="3"/>
        <v>text</v>
      </c>
      <c r="H80" s="58"/>
      <c r="I80" s="23"/>
      <c r="J80" s="24" t="s">
        <v>544</v>
      </c>
      <c r="L80" s="4"/>
      <c r="M80" s="4"/>
      <c r="N80" s="76"/>
      <c r="O80" s="76"/>
      <c r="P80" s="76" t="str">
        <f t="shared" si="7"/>
        <v>,ass0040_blood_products_kanri</v>
      </c>
      <c r="Q80" s="76" t="str">
        <f t="shared" si="8"/>
        <v>TEXT</v>
      </c>
      <c r="R80" s="76" t="str">
        <f t="shared" si="9"/>
        <v/>
      </c>
      <c r="S80" s="76" t="str">
        <f t="shared" si="10"/>
        <v/>
      </c>
      <c r="T80" s="76" t="str">
        <f t="shared" si="11"/>
        <v>-- 輸血や血液製剤の管理</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milscm_2023_009.sny_202310_backup_merge_dpc_hn.ass0040_blood_products_kanri IS '輸血や血液製剤の管理';</v>
      </c>
      <c r="AT80" s="4"/>
      <c r="AU80" s="4"/>
      <c r="AV80" s="4"/>
      <c r="AW80" s="4"/>
      <c r="AX80" s="4"/>
      <c r="AY80" s="4"/>
      <c r="AZ80" s="4"/>
    </row>
    <row r="81" spans="1:52" s="25" customFormat="1" ht="30">
      <c r="A81" s="4"/>
      <c r="B81" s="21">
        <f t="shared" si="2"/>
        <v>69</v>
      </c>
      <c r="C81" s="13" t="s">
        <v>456</v>
      </c>
      <c r="D81" s="13" t="s">
        <v>457</v>
      </c>
      <c r="E81" s="7"/>
      <c r="F81" s="7" t="s">
        <v>317</v>
      </c>
      <c r="G81" s="7" t="str">
        <f t="shared" si="3"/>
        <v>text</v>
      </c>
      <c r="H81" s="58"/>
      <c r="I81" s="23"/>
      <c r="J81" s="24" t="s">
        <v>544</v>
      </c>
      <c r="L81" s="4"/>
      <c r="M81" s="4"/>
      <c r="N81" s="76"/>
      <c r="O81" s="76"/>
      <c r="P81" s="76" t="str">
        <f t="shared" si="7"/>
        <v>,ass0040_hai_domyaku_sokutei</v>
      </c>
      <c r="Q81" s="76" t="str">
        <f t="shared" si="8"/>
        <v>TEXT</v>
      </c>
      <c r="R81" s="76" t="str">
        <f t="shared" si="9"/>
        <v/>
      </c>
      <c r="S81" s="76" t="str">
        <f t="shared" si="10"/>
        <v/>
      </c>
      <c r="T81" s="76" t="str">
        <f t="shared" si="11"/>
        <v>-- 肺動脈圧測定（スワンガンツカテーテル）</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458</v>
      </c>
      <c r="D82" s="6" t="s">
        <v>459</v>
      </c>
      <c r="E82" s="8"/>
      <c r="F82" s="7" t="s">
        <v>317</v>
      </c>
      <c r="G82" s="7" t="str">
        <f t="shared" si="3"/>
        <v>text</v>
      </c>
      <c r="H82" s="26"/>
      <c r="I82" s="10"/>
      <c r="J82" s="11" t="s">
        <v>544</v>
      </c>
      <c r="L82" s="4"/>
      <c r="M82" s="4"/>
      <c r="N82" s="76"/>
      <c r="O82" s="76"/>
      <c r="P82" s="76" t="str">
        <f t="shared" si="7"/>
        <v>,ass0040_special_chiryo</v>
      </c>
      <c r="Q82" s="76" t="str">
        <f t="shared" si="8"/>
        <v>TEXT</v>
      </c>
      <c r="R82" s="76" t="str">
        <f t="shared" si="9"/>
        <v/>
      </c>
      <c r="S82" s="76" t="str">
        <f t="shared" si="10"/>
        <v/>
      </c>
      <c r="T82" s="76" t="str">
        <f t="shared" si="11"/>
        <v>-- 特殊な治療法等</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milscm_2023_009.sny_202310_backup_merge_dpc_hn.ass0040_special_chiryo IS '特殊な治療法等';</v>
      </c>
      <c r="AT82" s="4"/>
      <c r="AU82" s="4"/>
      <c r="AV82" s="4"/>
      <c r="AW82" s="4"/>
      <c r="AX82" s="4"/>
      <c r="AY82" s="4"/>
      <c r="AZ82" s="4"/>
    </row>
    <row r="83" spans="1:52" s="25" customFormat="1" ht="30">
      <c r="A83" s="4"/>
      <c r="B83" s="21">
        <f t="shared" si="2"/>
        <v>71</v>
      </c>
      <c r="C83" s="13" t="s">
        <v>446</v>
      </c>
      <c r="D83" s="13" t="s">
        <v>460</v>
      </c>
      <c r="E83" s="7"/>
      <c r="F83" s="7" t="s">
        <v>317</v>
      </c>
      <c r="G83" s="7" t="str">
        <f t="shared" si="3"/>
        <v>text</v>
      </c>
      <c r="H83" s="58"/>
      <c r="I83" s="23"/>
      <c r="J83" s="24" t="s">
        <v>544</v>
      </c>
      <c r="L83" s="4"/>
      <c r="M83" s="4"/>
      <c r="N83" s="76"/>
      <c r="O83" s="76"/>
      <c r="P83" s="76" t="str">
        <f t="shared" si="7"/>
        <v>,ass0041_yueki_pump_kanri</v>
      </c>
      <c r="Q83" s="76" t="str">
        <f t="shared" si="8"/>
        <v>TEXT</v>
      </c>
      <c r="R83" s="76" t="str">
        <f t="shared" si="9"/>
        <v/>
      </c>
      <c r="S83" s="76" t="str">
        <f t="shared" si="10"/>
        <v/>
      </c>
      <c r="T83" s="76" t="str">
        <f t="shared" si="11"/>
        <v>-- 輸液ポンプの管理</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milscm_2023_009.sny_202310_backup_merge_dpc_hn.ass0041_yueki_pump_kanri IS '輸液ポンプの管理';</v>
      </c>
      <c r="AT83" s="4"/>
      <c r="AU83" s="4"/>
      <c r="AV83" s="4"/>
      <c r="AW83" s="4"/>
      <c r="AX83" s="4"/>
      <c r="AY83" s="4"/>
      <c r="AZ83" s="4"/>
    </row>
    <row r="84" spans="1:52" s="25" customFormat="1" ht="30">
      <c r="A84" s="4"/>
      <c r="B84" s="21">
        <f t="shared" si="2"/>
        <v>72</v>
      </c>
      <c r="C84" s="6" t="s">
        <v>461</v>
      </c>
      <c r="D84" s="6" t="s">
        <v>462</v>
      </c>
      <c r="E84" s="8"/>
      <c r="F84" s="7" t="s">
        <v>317</v>
      </c>
      <c r="G84" s="7" t="str">
        <f t="shared" si="3"/>
        <v>text</v>
      </c>
      <c r="H84" s="26"/>
      <c r="I84" s="10"/>
      <c r="J84" s="11" t="s">
        <v>544</v>
      </c>
      <c r="L84" s="4"/>
      <c r="M84" s="4"/>
      <c r="N84" s="76"/>
      <c r="O84" s="76"/>
      <c r="P84" s="76" t="str">
        <f t="shared" si="7"/>
        <v>,ass0041_domyakuatsu_sokute</v>
      </c>
      <c r="Q84" s="76" t="str">
        <f t="shared" si="8"/>
        <v>TEXT</v>
      </c>
      <c r="R84" s="76" t="str">
        <f t="shared" si="9"/>
        <v/>
      </c>
      <c r="S84" s="76" t="str">
        <f t="shared" si="10"/>
        <v/>
      </c>
      <c r="T84" s="76" t="str">
        <f t="shared" si="11"/>
        <v>-- 動脈圧測定</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milscm_2023_009.sny_202310_backup_merge_dpc_hn.ass0041_domyakuatsu_sokute IS '動脈圧測定';</v>
      </c>
      <c r="AT84" s="4"/>
      <c r="AU84" s="4"/>
      <c r="AV84" s="4"/>
      <c r="AW84" s="4"/>
      <c r="AX84" s="4"/>
      <c r="AY84" s="4"/>
      <c r="AZ84" s="4"/>
    </row>
    <row r="85" spans="1:52" s="25" customFormat="1" ht="30">
      <c r="A85" s="4"/>
      <c r="B85" s="21">
        <f t="shared" si="2"/>
        <v>73</v>
      </c>
      <c r="C85" s="13" t="s">
        <v>372</v>
      </c>
      <c r="D85" s="13" t="s">
        <v>463</v>
      </c>
      <c r="E85" s="7"/>
      <c r="F85" s="7" t="s">
        <v>317</v>
      </c>
      <c r="G85" s="7" t="str">
        <f t="shared" si="3"/>
        <v>text</v>
      </c>
      <c r="H85" s="58"/>
      <c r="I85" s="23"/>
      <c r="J85" s="24" t="s">
        <v>544</v>
      </c>
      <c r="L85" s="4"/>
      <c r="M85" s="4"/>
      <c r="N85" s="76"/>
      <c r="O85" s="76"/>
      <c r="P85" s="76" t="str">
        <f t="shared" si="7"/>
        <v>,ass0041_syringe_pump_kanri</v>
      </c>
      <c r="Q85" s="76" t="str">
        <f t="shared" si="8"/>
        <v>TEXT</v>
      </c>
      <c r="R85" s="76" t="str">
        <f t="shared" si="9"/>
        <v/>
      </c>
      <c r="S85" s="76" t="str">
        <f t="shared" si="10"/>
        <v/>
      </c>
      <c r="T85" s="76" t="str">
        <f t="shared" si="11"/>
        <v>-- シリンジポンプの管理</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milscm_2023_009.sny_202310_backup_merge_dpc_hn.ass0041_syringe_pump_kanri IS 'シリンジポンプの管理';</v>
      </c>
      <c r="AT85" s="4"/>
      <c r="AU85" s="4"/>
      <c r="AV85" s="4"/>
      <c r="AW85" s="4"/>
      <c r="AX85" s="4"/>
      <c r="AY85" s="4"/>
      <c r="AZ85" s="4"/>
    </row>
    <row r="86" spans="1:52" s="25" customFormat="1" ht="30">
      <c r="A86" s="4"/>
      <c r="B86" s="21">
        <f t="shared" si="2"/>
        <v>74</v>
      </c>
      <c r="C86" s="6" t="s">
        <v>451</v>
      </c>
      <c r="D86" s="6" t="s">
        <v>464</v>
      </c>
      <c r="E86" s="8"/>
      <c r="F86" s="7" t="s">
        <v>317</v>
      </c>
      <c r="G86" s="7" t="str">
        <f t="shared" si="3"/>
        <v>text</v>
      </c>
      <c r="H86" s="26"/>
      <c r="I86" s="10"/>
      <c r="J86" s="11" t="s">
        <v>544</v>
      </c>
      <c r="L86" s="4"/>
      <c r="M86" s="4"/>
      <c r="N86" s="76"/>
      <c r="O86" s="76"/>
      <c r="P86" s="76" t="str">
        <f t="shared" si="7"/>
        <v>,ass0041_jomyaku_sokutei</v>
      </c>
      <c r="Q86" s="76" t="str">
        <f t="shared" si="8"/>
        <v>TEXT</v>
      </c>
      <c r="R86" s="76" t="str">
        <f t="shared" si="9"/>
        <v/>
      </c>
      <c r="S86" s="76" t="str">
        <f t="shared" si="10"/>
        <v/>
      </c>
      <c r="T86" s="76" t="str">
        <f t="shared" si="11"/>
        <v>-- 中心静脈圧測定（中心静脈ライン）</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465</v>
      </c>
      <c r="D87" s="6" t="s">
        <v>466</v>
      </c>
      <c r="E87" s="8"/>
      <c r="F87" s="7" t="s">
        <v>317</v>
      </c>
      <c r="G87" s="7" t="str">
        <f t="shared" si="3"/>
        <v>text</v>
      </c>
      <c r="H87" s="26"/>
      <c r="I87" s="10"/>
      <c r="J87" s="11" t="s">
        <v>544</v>
      </c>
      <c r="L87" s="4"/>
      <c r="M87" s="4"/>
      <c r="N87" s="76"/>
      <c r="O87" s="76"/>
      <c r="P87" s="76" t="str">
        <f t="shared" si="7"/>
        <v>,ass0041_jinko_kokyuki_kanri</v>
      </c>
      <c r="Q87" s="76" t="str">
        <f t="shared" si="8"/>
        <v>TEXT</v>
      </c>
      <c r="R87" s="76" t="str">
        <f t="shared" si="9"/>
        <v/>
      </c>
      <c r="S87" s="76" t="str">
        <f t="shared" si="10"/>
        <v/>
      </c>
      <c r="T87" s="76" t="str">
        <f t="shared" si="11"/>
        <v>-- 人工呼吸器の管理</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milscm_2023_009.sny_202310_backup_merge_dpc_hn.ass0041_jinko_kokyuki_kanri IS '人工呼吸器の管理';</v>
      </c>
      <c r="AT87" s="4"/>
      <c r="AU87" s="4"/>
      <c r="AV87" s="4"/>
      <c r="AW87" s="4"/>
      <c r="AX87" s="4"/>
      <c r="AY87" s="4"/>
      <c r="AZ87" s="4"/>
    </row>
    <row r="88" spans="1:52" s="25" customFormat="1" ht="30">
      <c r="A88" s="4"/>
      <c r="B88" s="21">
        <f t="shared" si="2"/>
        <v>76</v>
      </c>
      <c r="C88" s="13" t="s">
        <v>374</v>
      </c>
      <c r="D88" s="13" t="s">
        <v>467</v>
      </c>
      <c r="E88" s="7"/>
      <c r="F88" s="7" t="s">
        <v>317</v>
      </c>
      <c r="G88" s="7" t="str">
        <f t="shared" si="3"/>
        <v>text</v>
      </c>
      <c r="H88" s="58"/>
      <c r="I88" s="23"/>
      <c r="J88" s="24" t="s">
        <v>544</v>
      </c>
      <c r="L88" s="4"/>
      <c r="M88" s="4"/>
      <c r="N88" s="76"/>
      <c r="O88" s="76"/>
      <c r="P88" s="76" t="str">
        <f t="shared" si="7"/>
        <v>,ass0041_blood_products_kanri</v>
      </c>
      <c r="Q88" s="76" t="str">
        <f t="shared" si="8"/>
        <v>TEXT</v>
      </c>
      <c r="R88" s="76" t="str">
        <f t="shared" si="9"/>
        <v/>
      </c>
      <c r="S88" s="76" t="str">
        <f t="shared" si="10"/>
        <v/>
      </c>
      <c r="T88" s="76" t="str">
        <f t="shared" si="11"/>
        <v>-- 輸血や血液製剤の管理</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milscm_2023_009.sny_202310_backup_merge_dpc_hn.ass0041_blood_products_kanri IS '輸血や血液製剤の管理';</v>
      </c>
      <c r="AT88" s="4"/>
      <c r="AU88" s="4"/>
      <c r="AV88" s="4"/>
      <c r="AW88" s="4"/>
      <c r="AX88" s="4"/>
      <c r="AY88" s="4"/>
      <c r="AZ88" s="4"/>
    </row>
    <row r="89" spans="1:52" s="25" customFormat="1" ht="30">
      <c r="A89" s="4"/>
      <c r="B89" s="21">
        <f t="shared" si="2"/>
        <v>77</v>
      </c>
      <c r="C89" s="6" t="s">
        <v>468</v>
      </c>
      <c r="D89" s="6" t="s">
        <v>469</v>
      </c>
      <c r="E89" s="8"/>
      <c r="F89" s="7" t="s">
        <v>317</v>
      </c>
      <c r="G89" s="7" t="str">
        <f t="shared" si="3"/>
        <v>text</v>
      </c>
      <c r="H89" s="26"/>
      <c r="I89" s="10"/>
      <c r="J89" s="11" t="s">
        <v>544</v>
      </c>
      <c r="L89" s="4"/>
      <c r="M89" s="4"/>
      <c r="N89" s="76"/>
      <c r="O89" s="76"/>
      <c r="P89" s="76" t="str">
        <f t="shared" si="7"/>
        <v>,ass0041_hai_domyaku_sokutei</v>
      </c>
      <c r="Q89" s="76" t="str">
        <f t="shared" si="8"/>
        <v>TEXT</v>
      </c>
      <c r="R89" s="76" t="str">
        <f t="shared" si="9"/>
        <v/>
      </c>
      <c r="S89" s="76" t="str">
        <f t="shared" si="10"/>
        <v/>
      </c>
      <c r="T89" s="76" t="str">
        <f t="shared" si="11"/>
        <v>-- 肺動脈圧測定（スワンガンツカテーテル）</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458</v>
      </c>
      <c r="D90" s="13" t="s">
        <v>470</v>
      </c>
      <c r="E90" s="7"/>
      <c r="F90" s="7" t="s">
        <v>317</v>
      </c>
      <c r="G90" s="7" t="str">
        <f t="shared" si="3"/>
        <v>text</v>
      </c>
      <c r="H90" s="58"/>
      <c r="I90" s="23"/>
      <c r="J90" s="24" t="s">
        <v>544</v>
      </c>
      <c r="L90" s="4"/>
      <c r="M90" s="4"/>
      <c r="N90" s="76"/>
      <c r="O90" s="76"/>
      <c r="P90" s="76" t="str">
        <f t="shared" si="7"/>
        <v>,ass0041_special_chiryo</v>
      </c>
      <c r="Q90" s="76" t="str">
        <f t="shared" si="8"/>
        <v>TEXT</v>
      </c>
      <c r="R90" s="76" t="str">
        <f t="shared" si="9"/>
        <v/>
      </c>
      <c r="S90" s="76" t="str">
        <f t="shared" si="10"/>
        <v/>
      </c>
      <c r="T90" s="76" t="str">
        <f t="shared" si="11"/>
        <v>-- 特殊な治療法等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milscm_2023_009.sny_202310_backup_merge_dpc_hn.ass0041_special_chiryo IS '特殊な治療法等';</v>
      </c>
      <c r="AT90" s="4"/>
      <c r="AU90" s="4"/>
      <c r="AV90" s="4"/>
      <c r="AW90" s="4"/>
      <c r="AX90" s="4"/>
      <c r="AY90" s="4"/>
      <c r="AZ90" s="4"/>
    </row>
    <row r="91" spans="1:52" s="25" customFormat="1" ht="34.799999999999997">
      <c r="A91" s="4"/>
      <c r="B91" s="21">
        <f t="shared" si="2"/>
        <v>79</v>
      </c>
      <c r="C91" s="6" t="s">
        <v>398</v>
      </c>
      <c r="D91" s="6" t="s">
        <v>471</v>
      </c>
      <c r="E91" s="8"/>
      <c r="F91" s="7" t="s">
        <v>317</v>
      </c>
      <c r="G91" s="7" t="str">
        <f t="shared" si="3"/>
        <v>text</v>
      </c>
      <c r="H91" s="26"/>
      <c r="I91" s="10"/>
      <c r="J91" s="11" t="s">
        <v>547</v>
      </c>
      <c r="L91" s="4"/>
      <c r="M91" s="4"/>
      <c r="N91" s="76"/>
      <c r="O91" s="76"/>
      <c r="P91" s="76" t="str">
        <f t="shared" si="7"/>
        <v>,ass0050_negaeri</v>
      </c>
      <c r="Q91" s="76" t="str">
        <f t="shared" si="8"/>
        <v>TEXT</v>
      </c>
      <c r="R91" s="76" t="str">
        <f t="shared" si="9"/>
        <v/>
      </c>
      <c r="S91" s="76" t="str">
        <f t="shared" si="10"/>
        <v/>
      </c>
      <c r="T91" s="76" t="str">
        <f t="shared" si="11"/>
        <v>-- 寝返り</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milscm_2023_009.sny_202310_backup_merge_dpc_hn.ass0050_negaeri IS '寝返り';</v>
      </c>
      <c r="AT91" s="4"/>
      <c r="AU91" s="4"/>
      <c r="AV91" s="4"/>
      <c r="AW91" s="4"/>
      <c r="AX91" s="4"/>
      <c r="AY91" s="4"/>
      <c r="AZ91" s="4"/>
    </row>
    <row r="92" spans="1:52" s="25" customFormat="1">
      <c r="A92" s="4"/>
      <c r="B92" s="21">
        <f t="shared" si="2"/>
        <v>80</v>
      </c>
      <c r="C92" s="13" t="s">
        <v>400</v>
      </c>
      <c r="D92" s="13" t="s">
        <v>472</v>
      </c>
      <c r="E92" s="7"/>
      <c r="F92" s="7" t="s">
        <v>317</v>
      </c>
      <c r="G92" s="7" t="str">
        <f t="shared" si="3"/>
        <v>text</v>
      </c>
      <c r="H92" s="58"/>
      <c r="I92" s="23"/>
      <c r="J92" s="24" t="s">
        <v>548</v>
      </c>
      <c r="L92" s="4"/>
      <c r="M92" s="4"/>
      <c r="N92" s="76"/>
      <c r="O92" s="76"/>
      <c r="P92" s="76" t="str">
        <f t="shared" si="7"/>
        <v>,ass0050_ijo</v>
      </c>
      <c r="Q92" s="76" t="str">
        <f t="shared" si="8"/>
        <v>TEXT</v>
      </c>
      <c r="R92" s="76" t="str">
        <f t="shared" si="9"/>
        <v/>
      </c>
      <c r="S92" s="76" t="str">
        <f t="shared" si="10"/>
        <v/>
      </c>
      <c r="T92" s="76" t="str">
        <f t="shared" si="11"/>
        <v>-- 移乗</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milscm_2023_009.sny_202310_backup_merge_dpc_hn.ass0050_ijo IS '移乗';</v>
      </c>
      <c r="AT92" s="4"/>
      <c r="AU92" s="4"/>
      <c r="AV92" s="4"/>
      <c r="AW92" s="4"/>
      <c r="AX92" s="4"/>
      <c r="AY92" s="4"/>
      <c r="AZ92" s="4"/>
    </row>
    <row r="93" spans="1:52" s="25" customFormat="1">
      <c r="A93" s="4"/>
      <c r="B93" s="21">
        <f t="shared" si="2"/>
        <v>81</v>
      </c>
      <c r="C93" s="6" t="s">
        <v>402</v>
      </c>
      <c r="D93" s="6" t="s">
        <v>473</v>
      </c>
      <c r="E93" s="8"/>
      <c r="F93" s="7" t="s">
        <v>317</v>
      </c>
      <c r="G93" s="7" t="str">
        <f t="shared" si="3"/>
        <v>text</v>
      </c>
      <c r="H93" s="26"/>
      <c r="I93" s="10"/>
      <c r="J93" s="11" t="s">
        <v>549</v>
      </c>
      <c r="L93" s="4"/>
      <c r="M93" s="4"/>
      <c r="N93" s="76"/>
      <c r="O93" s="76"/>
      <c r="P93" s="76" t="str">
        <f t="shared" si="7"/>
        <v>,ass0050_koku_seiketsu</v>
      </c>
      <c r="Q93" s="76" t="str">
        <f t="shared" si="8"/>
        <v>TEXT</v>
      </c>
      <c r="R93" s="76" t="str">
        <f t="shared" si="9"/>
        <v/>
      </c>
      <c r="S93" s="76" t="str">
        <f t="shared" si="10"/>
        <v/>
      </c>
      <c r="T93" s="76" t="str">
        <f t="shared" si="11"/>
        <v>-- 口腔清潔</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milscm_2023_009.sny_202310_backup_merge_dpc_hn.ass0050_koku_seiketsu IS '口腔清潔';</v>
      </c>
      <c r="AT93" s="4"/>
      <c r="AU93" s="4"/>
      <c r="AV93" s="4"/>
      <c r="AW93" s="4"/>
      <c r="AX93" s="4"/>
      <c r="AY93" s="4"/>
      <c r="AZ93" s="4"/>
    </row>
    <row r="94" spans="1:52" s="25" customFormat="1">
      <c r="A94" s="4"/>
      <c r="B94" s="21">
        <f t="shared" si="2"/>
        <v>82</v>
      </c>
      <c r="C94" s="13" t="s">
        <v>404</v>
      </c>
      <c r="D94" s="13" t="s">
        <v>474</v>
      </c>
      <c r="E94" s="7"/>
      <c r="F94" s="7" t="s">
        <v>317</v>
      </c>
      <c r="G94" s="7" t="str">
        <f t="shared" si="3"/>
        <v>text</v>
      </c>
      <c r="H94" s="58"/>
      <c r="I94" s="23"/>
      <c r="J94" s="24" t="s">
        <v>548</v>
      </c>
      <c r="L94" s="4"/>
      <c r="M94" s="4"/>
      <c r="N94" s="76"/>
      <c r="O94" s="76"/>
      <c r="P94" s="76" t="str">
        <f t="shared" si="7"/>
        <v>,ass0050_shokuji_sesshu</v>
      </c>
      <c r="Q94" s="76" t="str">
        <f t="shared" si="8"/>
        <v>TEXT</v>
      </c>
      <c r="R94" s="76" t="str">
        <f t="shared" si="9"/>
        <v/>
      </c>
      <c r="S94" s="76" t="str">
        <f t="shared" si="10"/>
        <v/>
      </c>
      <c r="T94" s="76" t="str">
        <f t="shared" si="11"/>
        <v>-- 食事摂取</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milscm_2023_009.sny_202310_backup_merge_dpc_hn.ass0050_shokuji_sesshu IS '食事摂取';</v>
      </c>
      <c r="AT94" s="4"/>
      <c r="AU94" s="4"/>
      <c r="AV94" s="4"/>
      <c r="AW94" s="4"/>
      <c r="AX94" s="4"/>
      <c r="AY94" s="4"/>
      <c r="AZ94" s="4"/>
    </row>
    <row r="95" spans="1:52" s="25" customFormat="1" ht="30">
      <c r="A95" s="4"/>
      <c r="B95" s="21">
        <f t="shared" si="2"/>
        <v>83</v>
      </c>
      <c r="C95" s="6" t="s">
        <v>406</v>
      </c>
      <c r="D95" s="6" t="s">
        <v>475</v>
      </c>
      <c r="E95" s="8"/>
      <c r="F95" s="7" t="s">
        <v>317</v>
      </c>
      <c r="G95" s="7" t="str">
        <f t="shared" si="3"/>
        <v>text</v>
      </c>
      <c r="H95" s="26"/>
      <c r="I95" s="10"/>
      <c r="J95" s="11" t="s">
        <v>548</v>
      </c>
      <c r="L95" s="4"/>
      <c r="M95" s="4"/>
      <c r="N95" s="76"/>
      <c r="O95" s="76"/>
      <c r="P95" s="76" t="str">
        <f t="shared" si="7"/>
        <v>,ass0050_ifuku_chakudatsu</v>
      </c>
      <c r="Q95" s="76" t="str">
        <f t="shared" si="8"/>
        <v>TEXT</v>
      </c>
      <c r="R95" s="76" t="str">
        <f t="shared" si="9"/>
        <v/>
      </c>
      <c r="S95" s="76" t="str">
        <f t="shared" si="10"/>
        <v/>
      </c>
      <c r="T95" s="76" t="str">
        <f t="shared" si="11"/>
        <v>-- 衣服の着脱</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milscm_2023_009.sny_202310_backup_merge_dpc_hn.ass0050_ifuku_chakudatsu IS '衣服の着脱';</v>
      </c>
      <c r="AT95" s="4"/>
      <c r="AU95" s="4"/>
      <c r="AV95" s="4"/>
      <c r="AW95" s="4"/>
      <c r="AX95" s="4"/>
      <c r="AY95" s="4"/>
      <c r="AZ95" s="4"/>
    </row>
    <row r="96" spans="1:52" s="25" customFormat="1">
      <c r="A96" s="4"/>
      <c r="B96" s="21">
        <f t="shared" si="2"/>
        <v>84</v>
      </c>
      <c r="C96" s="13" t="s">
        <v>408</v>
      </c>
      <c r="D96" s="13" t="s">
        <v>476</v>
      </c>
      <c r="E96" s="7"/>
      <c r="F96" s="7" t="s">
        <v>317</v>
      </c>
      <c r="G96" s="7" t="str">
        <f t="shared" si="3"/>
        <v>text</v>
      </c>
      <c r="H96" s="58"/>
      <c r="I96" s="23"/>
      <c r="J96" s="24" t="s">
        <v>550</v>
      </c>
      <c r="L96" s="4"/>
      <c r="M96" s="4"/>
      <c r="N96" s="76"/>
      <c r="O96" s="76"/>
      <c r="P96" s="76" t="str">
        <f t="shared" si="7"/>
        <v>,ass0050_shinryo_shiji</v>
      </c>
      <c r="Q96" s="76" t="str">
        <f t="shared" si="8"/>
        <v>TEXT</v>
      </c>
      <c r="R96" s="76" t="str">
        <f t="shared" si="9"/>
        <v/>
      </c>
      <c r="S96" s="76" t="str">
        <f t="shared" si="10"/>
        <v/>
      </c>
      <c r="T96" s="76" t="str">
        <f t="shared" si="11"/>
        <v>-- 診療・療養上の指示が通じる</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milscm_2023_009.sny_202310_backup_merge_dpc_hn.ass0050_shinryo_shiji IS '診療・療養上の指示が通じる';</v>
      </c>
      <c r="AT96" s="4"/>
      <c r="AU96" s="4"/>
      <c r="AV96" s="4"/>
      <c r="AW96" s="4"/>
      <c r="AX96" s="4"/>
      <c r="AY96" s="4"/>
      <c r="AZ96" s="4"/>
    </row>
    <row r="97" spans="1:52" s="25" customFormat="1">
      <c r="A97" s="4"/>
      <c r="B97" s="21">
        <f t="shared" si="2"/>
        <v>85</v>
      </c>
      <c r="C97" s="13" t="s">
        <v>410</v>
      </c>
      <c r="D97" s="13" t="s">
        <v>477</v>
      </c>
      <c r="E97" s="7"/>
      <c r="F97" s="7" t="s">
        <v>317</v>
      </c>
      <c r="G97" s="7" t="str">
        <f t="shared" si="3"/>
        <v>text</v>
      </c>
      <c r="H97" s="58"/>
      <c r="I97" s="23"/>
      <c r="J97" s="24" t="s">
        <v>551</v>
      </c>
      <c r="L97" s="4"/>
      <c r="M97" s="4"/>
      <c r="N97" s="76"/>
      <c r="O97" s="76"/>
      <c r="P97" s="76" t="str">
        <f t="shared" si="7"/>
        <v>,ass0050_kiken_kodo</v>
      </c>
      <c r="Q97" s="76" t="str">
        <f t="shared" si="8"/>
        <v>TEXT</v>
      </c>
      <c r="R97" s="76" t="str">
        <f t="shared" si="9"/>
        <v/>
      </c>
      <c r="S97" s="76" t="str">
        <f t="shared" si="10"/>
        <v/>
      </c>
      <c r="T97" s="76" t="str">
        <f t="shared" si="11"/>
        <v>-- 危険行動</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milscm_2023_009.sny_202310_backup_merge_dpc_hn.ass0050_kiken_kodo IS '危険行動';</v>
      </c>
      <c r="AT97" s="4"/>
      <c r="AU97" s="4"/>
      <c r="AV97" s="4"/>
      <c r="AW97" s="4"/>
      <c r="AX97" s="4"/>
      <c r="AY97" s="4"/>
      <c r="AZ97" s="4"/>
    </row>
    <row r="98" spans="1:52" s="25" customFormat="1" ht="34.799999999999997">
      <c r="A98" s="4"/>
      <c r="B98" s="21">
        <f t="shared" si="2"/>
        <v>86</v>
      </c>
      <c r="C98" s="13" t="s">
        <v>398</v>
      </c>
      <c r="D98" s="13" t="s">
        <v>478</v>
      </c>
      <c r="E98" s="7"/>
      <c r="F98" s="7" t="s">
        <v>317</v>
      </c>
      <c r="G98" s="7" t="str">
        <f t="shared" si="3"/>
        <v>text</v>
      </c>
      <c r="H98" s="58"/>
      <c r="I98" s="23"/>
      <c r="J98" s="24" t="s">
        <v>547</v>
      </c>
      <c r="L98" s="4"/>
      <c r="M98" s="4"/>
      <c r="N98" s="76"/>
      <c r="O98" s="76"/>
      <c r="P98" s="76" t="str">
        <f t="shared" si="7"/>
        <v>,ass0051_negaeri</v>
      </c>
      <c r="Q98" s="76" t="str">
        <f t="shared" si="8"/>
        <v>TEXT</v>
      </c>
      <c r="R98" s="76" t="str">
        <f t="shared" si="9"/>
        <v/>
      </c>
      <c r="S98" s="76" t="str">
        <f t="shared" si="10"/>
        <v/>
      </c>
      <c r="T98" s="76" t="str">
        <f t="shared" si="11"/>
        <v>-- 寝返り</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milscm_2023_009.sny_202310_backup_merge_dpc_hn.ass0051_negaeri IS '寝返り';</v>
      </c>
      <c r="AT98" s="4"/>
      <c r="AU98" s="4"/>
      <c r="AV98" s="4"/>
      <c r="AW98" s="4"/>
      <c r="AX98" s="4"/>
      <c r="AY98" s="4"/>
      <c r="AZ98" s="4"/>
    </row>
    <row r="99" spans="1:52" s="25" customFormat="1">
      <c r="A99" s="4"/>
      <c r="B99" s="21">
        <f t="shared" si="2"/>
        <v>87</v>
      </c>
      <c r="C99" s="6" t="s">
        <v>413</v>
      </c>
      <c r="D99" s="6" t="s">
        <v>479</v>
      </c>
      <c r="E99" s="8"/>
      <c r="F99" s="7" t="s">
        <v>317</v>
      </c>
      <c r="G99" s="7" t="str">
        <f t="shared" si="3"/>
        <v>text</v>
      </c>
      <c r="H99" s="26"/>
      <c r="I99" s="10"/>
      <c r="J99" s="11" t="s">
        <v>552</v>
      </c>
      <c r="L99" s="4"/>
      <c r="M99" s="4"/>
      <c r="N99" s="76"/>
      <c r="O99" s="76"/>
      <c r="P99" s="76" t="str">
        <f t="shared" si="7"/>
        <v>,ass0051_ijo_kanja</v>
      </c>
      <c r="Q99" s="76" t="str">
        <f t="shared" si="8"/>
        <v>TEXT</v>
      </c>
      <c r="R99" s="76" t="str">
        <f t="shared" si="9"/>
        <v/>
      </c>
      <c r="S99" s="76" t="str">
        <f t="shared" si="10"/>
        <v/>
      </c>
      <c r="T99" s="76" t="str">
        <f t="shared" si="11"/>
        <v>-- 移乗（患者の状態）</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milscm_2023_009.sny_202310_backup_merge_dpc_hn.ass0051_ijo_kanja IS '移乗（患者の状態）';</v>
      </c>
      <c r="AT99" s="4"/>
      <c r="AU99" s="4"/>
      <c r="AV99" s="4"/>
      <c r="AW99" s="4"/>
      <c r="AX99" s="4"/>
      <c r="AY99" s="4"/>
      <c r="AZ99" s="4"/>
    </row>
    <row r="100" spans="1:52" s="25" customFormat="1" ht="30">
      <c r="A100" s="4"/>
      <c r="B100" s="21">
        <f t="shared" si="2"/>
        <v>88</v>
      </c>
      <c r="C100" s="13" t="s">
        <v>415</v>
      </c>
      <c r="D100" s="13" t="s">
        <v>480</v>
      </c>
      <c r="E100" s="7"/>
      <c r="F100" s="7" t="s">
        <v>317</v>
      </c>
      <c r="G100" s="7" t="str">
        <f t="shared" si="3"/>
        <v>text</v>
      </c>
      <c r="H100" s="58"/>
      <c r="I100" s="23"/>
      <c r="J100" s="24" t="s">
        <v>553</v>
      </c>
      <c r="L100" s="4"/>
      <c r="M100" s="4"/>
      <c r="N100" s="76"/>
      <c r="O100" s="76"/>
      <c r="P100" s="76" t="str">
        <f t="shared" si="7"/>
        <v>,ass0051_koku_seiketsu_kanja</v>
      </c>
      <c r="Q100" s="76" t="str">
        <f t="shared" si="8"/>
        <v>TEXT</v>
      </c>
      <c r="R100" s="76" t="str">
        <f t="shared" si="9"/>
        <v/>
      </c>
      <c r="S100" s="76" t="str">
        <f t="shared" si="10"/>
        <v/>
      </c>
      <c r="T100" s="76" t="str">
        <f t="shared" si="11"/>
        <v>-- 口腔清潔（患者の状態）</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417</v>
      </c>
      <c r="D101" s="6" t="s">
        <v>481</v>
      </c>
      <c r="E101" s="8"/>
      <c r="F101" s="7" t="s">
        <v>317</v>
      </c>
      <c r="G101" s="7" t="str">
        <f t="shared" si="3"/>
        <v>text</v>
      </c>
      <c r="H101" s="26"/>
      <c r="I101" s="10"/>
      <c r="J101" s="11" t="s">
        <v>552</v>
      </c>
      <c r="L101" s="4"/>
      <c r="M101" s="4"/>
      <c r="N101" s="76"/>
      <c r="O101" s="76"/>
      <c r="P101" s="76" t="str">
        <f t="shared" si="7"/>
        <v>,ass0051_shokuji_sesshu_kanja</v>
      </c>
      <c r="Q101" s="76" t="str">
        <f t="shared" si="8"/>
        <v>TEXT</v>
      </c>
      <c r="R101" s="76" t="str">
        <f t="shared" si="9"/>
        <v/>
      </c>
      <c r="S101" s="76" t="str">
        <f t="shared" si="10"/>
        <v/>
      </c>
      <c r="T101" s="76" t="str">
        <f t="shared" si="11"/>
        <v>-- 食事摂取（患者の状態）</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419</v>
      </c>
      <c r="D102" s="13" t="s">
        <v>482</v>
      </c>
      <c r="E102" s="7"/>
      <c r="F102" s="7" t="s">
        <v>317</v>
      </c>
      <c r="G102" s="7" t="str">
        <f t="shared" si="3"/>
        <v>text</v>
      </c>
      <c r="H102" s="58"/>
      <c r="I102" s="23"/>
      <c r="J102" s="24" t="s">
        <v>552</v>
      </c>
      <c r="L102" s="4"/>
      <c r="M102" s="4"/>
      <c r="N102" s="76"/>
      <c r="O102" s="76"/>
      <c r="P102" s="76" t="str">
        <f t="shared" si="7"/>
        <v>,ass0051_ifuku_chakudatsu_kanja</v>
      </c>
      <c r="Q102" s="76" t="str">
        <f t="shared" si="8"/>
        <v>TEXT</v>
      </c>
      <c r="R102" s="76" t="str">
        <f t="shared" si="9"/>
        <v/>
      </c>
      <c r="S102" s="76" t="str">
        <f t="shared" si="10"/>
        <v/>
      </c>
      <c r="T102" s="76" t="str">
        <f t="shared" si="11"/>
        <v>-- 衣服の着脱（患者の状態）</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408</v>
      </c>
      <c r="D103" s="6" t="s">
        <v>483</v>
      </c>
      <c r="E103" s="8"/>
      <c r="F103" s="7" t="s">
        <v>317</v>
      </c>
      <c r="G103" s="7" t="str">
        <f t="shared" si="3"/>
        <v>text</v>
      </c>
      <c r="H103" s="26"/>
      <c r="I103" s="10"/>
      <c r="J103" s="11" t="s">
        <v>550</v>
      </c>
      <c r="L103" s="4"/>
      <c r="M103" s="4"/>
      <c r="N103" s="76"/>
      <c r="O103" s="76"/>
      <c r="P103" s="76" t="str">
        <f t="shared" si="7"/>
        <v>,ass0051_shinryo_shiji</v>
      </c>
      <c r="Q103" s="76" t="str">
        <f t="shared" si="8"/>
        <v>TEXT</v>
      </c>
      <c r="R103" s="76" t="str">
        <f t="shared" si="9"/>
        <v/>
      </c>
      <c r="S103" s="76" t="str">
        <f t="shared" si="10"/>
        <v/>
      </c>
      <c r="T103" s="76" t="str">
        <f t="shared" si="11"/>
        <v>-- 診療・療養上の指示が通じる</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milscm_2023_009.sny_202310_backup_merge_dpc_hn.ass0051_shinryo_shiji IS '診療・療養上の指示が通じる';</v>
      </c>
      <c r="AT103" s="4"/>
      <c r="AU103" s="4"/>
      <c r="AV103" s="4"/>
      <c r="AW103" s="4"/>
      <c r="AX103" s="4"/>
      <c r="AY103" s="4"/>
      <c r="AZ103" s="4"/>
    </row>
    <row r="104" spans="1:52" s="25" customFormat="1">
      <c r="A104" s="4"/>
      <c r="B104" s="21">
        <f t="shared" si="2"/>
        <v>92</v>
      </c>
      <c r="C104" s="6" t="s">
        <v>410</v>
      </c>
      <c r="D104" s="6" t="s">
        <v>484</v>
      </c>
      <c r="E104" s="8"/>
      <c r="F104" s="7" t="s">
        <v>317</v>
      </c>
      <c r="G104" s="7" t="str">
        <f t="shared" si="3"/>
        <v>text</v>
      </c>
      <c r="H104" s="26"/>
      <c r="I104" s="10"/>
      <c r="J104" s="11" t="s">
        <v>551</v>
      </c>
      <c r="L104" s="4"/>
      <c r="M104" s="4"/>
      <c r="N104" s="76"/>
      <c r="O104" s="76"/>
      <c r="P104" s="76" t="str">
        <f t="shared" si="7"/>
        <v>,ass0051_kiken_kodo</v>
      </c>
      <c r="Q104" s="76" t="str">
        <f t="shared" si="8"/>
        <v>TEXT</v>
      </c>
      <c r="R104" s="76" t="str">
        <f t="shared" si="9"/>
        <v/>
      </c>
      <c r="S104" s="76" t="str">
        <f t="shared" si="10"/>
        <v/>
      </c>
      <c r="T104" s="76" t="str">
        <f t="shared" si="11"/>
        <v>-- 危険行動</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milscm_2023_009.sny_202310_backup_merge_dpc_hn.ass0051_kiken_kodo IS '危険行動';</v>
      </c>
      <c r="AT104" s="4"/>
      <c r="AU104" s="4"/>
      <c r="AV104" s="4"/>
      <c r="AW104" s="4"/>
      <c r="AX104" s="4"/>
      <c r="AY104" s="4"/>
      <c r="AZ104" s="4"/>
    </row>
    <row r="105" spans="1:52" s="25" customFormat="1">
      <c r="A105" s="4"/>
      <c r="B105" s="21">
        <f t="shared" si="2"/>
        <v>93</v>
      </c>
      <c r="C105" s="13" t="s">
        <v>423</v>
      </c>
      <c r="D105" s="13" t="s">
        <v>485</v>
      </c>
      <c r="E105" s="7"/>
      <c r="F105" s="7" t="s">
        <v>317</v>
      </c>
      <c r="G105" s="7" t="str">
        <f t="shared" si="3"/>
        <v>text</v>
      </c>
      <c r="H105" s="58"/>
      <c r="I105" s="23"/>
      <c r="J105" s="24" t="s">
        <v>554</v>
      </c>
      <c r="L105" s="4"/>
      <c r="M105" s="4"/>
      <c r="N105" s="76"/>
      <c r="O105" s="76"/>
      <c r="P105" s="76" t="str">
        <f t="shared" si="7"/>
        <v>,ass0051_ijo_kaijo</v>
      </c>
      <c r="Q105" s="76" t="str">
        <f t="shared" si="8"/>
        <v>TEXT</v>
      </c>
      <c r="R105" s="76" t="str">
        <f t="shared" si="9"/>
        <v/>
      </c>
      <c r="S105" s="76" t="str">
        <f t="shared" si="10"/>
        <v/>
      </c>
      <c r="T105" s="76" t="str">
        <f t="shared" si="11"/>
        <v>-- 移乗（介助の状態）</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milscm_2023_009.sny_202310_backup_merge_dpc_hn.ass0051_ijo_kaijo IS '移乗（介助の状態）';</v>
      </c>
      <c r="AT105" s="4"/>
      <c r="AU105" s="4"/>
      <c r="AV105" s="4"/>
      <c r="AW105" s="4"/>
      <c r="AX105" s="4"/>
      <c r="AY105" s="4"/>
      <c r="AZ105" s="4"/>
    </row>
    <row r="106" spans="1:52" s="25" customFormat="1" ht="30">
      <c r="A106" s="4"/>
      <c r="B106" s="21">
        <f t="shared" si="2"/>
        <v>94</v>
      </c>
      <c r="C106" s="6" t="s">
        <v>425</v>
      </c>
      <c r="D106" s="6" t="s">
        <v>486</v>
      </c>
      <c r="E106" s="8"/>
      <c r="F106" s="7" t="s">
        <v>317</v>
      </c>
      <c r="G106" s="7" t="str">
        <f t="shared" si="3"/>
        <v>text</v>
      </c>
      <c r="H106" s="26"/>
      <c r="I106" s="10"/>
      <c r="J106" s="11" t="s">
        <v>554</v>
      </c>
      <c r="L106" s="4"/>
      <c r="M106" s="4"/>
      <c r="N106" s="76"/>
      <c r="O106" s="76"/>
      <c r="P106" s="76" t="str">
        <f t="shared" si="7"/>
        <v>,ass0051_koku_seiketsu_kaijo</v>
      </c>
      <c r="Q106" s="76" t="str">
        <f t="shared" si="8"/>
        <v>TEXT</v>
      </c>
      <c r="R106" s="76" t="str">
        <f t="shared" si="9"/>
        <v/>
      </c>
      <c r="S106" s="76" t="str">
        <f t="shared" si="10"/>
        <v/>
      </c>
      <c r="T106" s="76" t="str">
        <f t="shared" si="11"/>
        <v>-- 口腔清潔（介助の状態）</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427</v>
      </c>
      <c r="D107" s="13" t="s">
        <v>487</v>
      </c>
      <c r="E107" s="7"/>
      <c r="F107" s="7" t="s">
        <v>317</v>
      </c>
      <c r="G107" s="7" t="str">
        <f t="shared" si="3"/>
        <v>text</v>
      </c>
      <c r="H107" s="58"/>
      <c r="I107" s="23"/>
      <c r="J107" s="24" t="s">
        <v>554</v>
      </c>
      <c r="L107" s="4"/>
      <c r="M107" s="4"/>
      <c r="N107" s="76"/>
      <c r="O107" s="76"/>
      <c r="P107" s="76" t="str">
        <f t="shared" si="7"/>
        <v>,ass0051_shokuji_sesshu_kaijo</v>
      </c>
      <c r="Q107" s="76" t="str">
        <f t="shared" si="8"/>
        <v>TEXT</v>
      </c>
      <c r="R107" s="76" t="str">
        <f t="shared" si="9"/>
        <v/>
      </c>
      <c r="S107" s="76" t="str">
        <f t="shared" si="10"/>
        <v/>
      </c>
      <c r="T107" s="76" t="str">
        <f t="shared" si="11"/>
        <v>-- 食事摂取（介助の状態）</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429</v>
      </c>
      <c r="D108" s="6" t="s">
        <v>488</v>
      </c>
      <c r="E108" s="8"/>
      <c r="F108" s="7" t="s">
        <v>317</v>
      </c>
      <c r="G108" s="7" t="str">
        <f t="shared" si="3"/>
        <v>text</v>
      </c>
      <c r="H108" s="26"/>
      <c r="I108" s="10"/>
      <c r="J108" s="11" t="s">
        <v>554</v>
      </c>
      <c r="L108" s="4"/>
      <c r="M108" s="4"/>
      <c r="N108" s="76"/>
      <c r="O108" s="76"/>
      <c r="P108" s="76" t="str">
        <f t="shared" si="7"/>
        <v>,ass0051_ifuku_chakudatsu_kaijo</v>
      </c>
      <c r="Q108" s="76" t="str">
        <f t="shared" si="8"/>
        <v>TEXT</v>
      </c>
      <c r="R108" s="76" t="str">
        <f t="shared" si="9"/>
        <v/>
      </c>
      <c r="S108" s="76" t="str">
        <f t="shared" si="10"/>
        <v/>
      </c>
      <c r="T108" s="76" t="str">
        <f t="shared" si="11"/>
        <v>-- 衣服の着脱（介助の状態）</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364</v>
      </c>
      <c r="D109" s="13" t="s">
        <v>489</v>
      </c>
      <c r="E109" s="7"/>
      <c r="F109" s="7" t="s">
        <v>317</v>
      </c>
      <c r="G109" s="7" t="str">
        <f t="shared" si="3"/>
        <v>text</v>
      </c>
      <c r="H109" s="58"/>
      <c r="I109" s="23"/>
      <c r="J109" s="24" t="s">
        <v>556</v>
      </c>
      <c r="L109" s="4"/>
      <c r="M109" s="4"/>
      <c r="N109" s="76"/>
      <c r="O109" s="76"/>
      <c r="P109" s="76" t="str">
        <f t="shared" si="7"/>
        <v>,ass0060_sosho_shochi</v>
      </c>
      <c r="Q109" s="76" t="str">
        <f t="shared" si="8"/>
        <v>TEXT</v>
      </c>
      <c r="R109" s="76" t="str">
        <f t="shared" si="9"/>
        <v/>
      </c>
      <c r="S109" s="76" t="str">
        <f t="shared" si="10"/>
        <v/>
      </c>
      <c r="T109" s="76" t="str">
        <f t="shared" si="11"/>
        <v>-- 創傷処置</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milscm_2023_009.sny_202310_backup_merge_dpc_hn.ass0060_sosho_shochi IS '創傷処置';</v>
      </c>
      <c r="AT109" s="4"/>
      <c r="AU109" s="4"/>
      <c r="AV109" s="4"/>
      <c r="AW109" s="4"/>
      <c r="AX109" s="4"/>
      <c r="AY109" s="4"/>
      <c r="AZ109" s="4"/>
    </row>
    <row r="110" spans="1:52" s="25" customFormat="1">
      <c r="A110" s="4"/>
      <c r="B110" s="21">
        <f t="shared" si="2"/>
        <v>98</v>
      </c>
      <c r="C110" s="6" t="s">
        <v>490</v>
      </c>
      <c r="D110" s="6" t="s">
        <v>491</v>
      </c>
      <c r="E110" s="8"/>
      <c r="F110" s="7" t="s">
        <v>317</v>
      </c>
      <c r="G110" s="7" t="str">
        <f t="shared" si="3"/>
        <v>text</v>
      </c>
      <c r="H110" s="26"/>
      <c r="I110" s="10"/>
      <c r="J110" s="11" t="s">
        <v>544</v>
      </c>
      <c r="L110" s="4"/>
      <c r="M110" s="4"/>
      <c r="N110" s="76"/>
      <c r="O110" s="76"/>
      <c r="P110" s="76" t="str">
        <f t="shared" si="7"/>
        <v>,ass0060_sosei</v>
      </c>
      <c r="Q110" s="76" t="str">
        <f t="shared" si="8"/>
        <v>TEXT</v>
      </c>
      <c r="R110" s="76" t="str">
        <f t="shared" si="9"/>
        <v/>
      </c>
      <c r="S110" s="76" t="str">
        <f t="shared" si="10"/>
        <v/>
      </c>
      <c r="T110" s="76" t="str">
        <f t="shared" si="11"/>
        <v>-- 蘇生術の施行</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milscm_2023_009.sny_202310_backup_merge_dpc_hn.ass0060_sosei IS '蘇生術の施行';</v>
      </c>
      <c r="AT110" s="4"/>
      <c r="AU110" s="4"/>
      <c r="AV110" s="4"/>
      <c r="AW110" s="4"/>
      <c r="AX110" s="4"/>
      <c r="AY110" s="4"/>
      <c r="AZ110" s="4"/>
    </row>
    <row r="111" spans="1:52" s="25" customFormat="1">
      <c r="A111" s="4"/>
      <c r="B111" s="21">
        <f t="shared" si="2"/>
        <v>99</v>
      </c>
      <c r="C111" s="13" t="s">
        <v>366</v>
      </c>
      <c r="D111" s="13" t="s">
        <v>492</v>
      </c>
      <c r="E111" s="7"/>
      <c r="F111" s="7" t="s">
        <v>317</v>
      </c>
      <c r="G111" s="7" t="str">
        <f t="shared" si="3"/>
        <v>text</v>
      </c>
      <c r="H111" s="58"/>
      <c r="I111" s="23"/>
      <c r="J111" s="24" t="s">
        <v>544</v>
      </c>
      <c r="L111" s="4"/>
      <c r="M111" s="4"/>
      <c r="N111" s="76"/>
      <c r="O111" s="76"/>
      <c r="P111" s="76" t="str">
        <f t="shared" si="7"/>
        <v>,ass0060_kokyu_care</v>
      </c>
      <c r="Q111" s="76" t="str">
        <f t="shared" si="8"/>
        <v>TEXT</v>
      </c>
      <c r="R111" s="76" t="str">
        <f t="shared" si="9"/>
        <v/>
      </c>
      <c r="S111" s="76" t="str">
        <f t="shared" si="10"/>
        <v/>
      </c>
      <c r="T111" s="76" t="str">
        <f t="shared" si="11"/>
        <v>-- 呼吸ケア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milscm_2023_009.sny_202310_backup_merge_dpc_hn.ass0060_kokyu_care IS '呼吸ケア';</v>
      </c>
      <c r="AT111" s="4"/>
      <c r="AU111" s="4"/>
      <c r="AV111" s="4"/>
      <c r="AW111" s="4"/>
      <c r="AX111" s="4"/>
      <c r="AY111" s="4"/>
      <c r="AZ111" s="4"/>
    </row>
    <row r="112" spans="1:52" s="25" customFormat="1">
      <c r="A112" s="4"/>
      <c r="B112" s="21">
        <f t="shared" si="2"/>
        <v>100</v>
      </c>
      <c r="C112" s="6" t="s">
        <v>368</v>
      </c>
      <c r="D112" s="6" t="s">
        <v>493</v>
      </c>
      <c r="E112" s="8"/>
      <c r="F112" s="7" t="s">
        <v>317</v>
      </c>
      <c r="G112" s="7" t="str">
        <f t="shared" si="3"/>
        <v>text</v>
      </c>
      <c r="H112" s="26"/>
      <c r="I112" s="10"/>
      <c r="J112" s="11" t="s">
        <v>544</v>
      </c>
      <c r="L112" s="4"/>
      <c r="M112" s="4"/>
      <c r="N112" s="76"/>
      <c r="O112" s="76"/>
      <c r="P112" s="76" t="str">
        <f t="shared" ref="P112:P153" si="12">IF(B112&lt;&gt;1,","&amp;D112,D112)</f>
        <v>,ass0060_tenteki_kanri</v>
      </c>
      <c r="Q112" s="76" t="str">
        <f t="shared" ref="Q112:Q153" si="13">UPPER(G112)</f>
        <v>TEXT</v>
      </c>
      <c r="R112" s="76" t="str">
        <f t="shared" ref="R112:R153" si="14">IF(H112&lt;&gt;"","default "&amp;IF(G112="text","'"&amp;H112&amp;"'",H112),"")</f>
        <v/>
      </c>
      <c r="S112" s="76" t="str">
        <f t="shared" ref="S112:S153" si="15">IF(I112="○","NOT NULL","")</f>
        <v/>
      </c>
      <c r="T112" s="76" t="str">
        <f t="shared" ref="T112:T153" si="16">"-- "&amp;C112</f>
        <v>-- 点滴ライン同時3本以上の管理</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370</v>
      </c>
      <c r="D113" s="13" t="s">
        <v>494</v>
      </c>
      <c r="E113" s="7"/>
      <c r="F113" s="7" t="s">
        <v>317</v>
      </c>
      <c r="G113" s="7" t="str">
        <f t="shared" si="3"/>
        <v>text</v>
      </c>
      <c r="H113" s="58"/>
      <c r="I113" s="23"/>
      <c r="J113" s="24" t="s">
        <v>544</v>
      </c>
      <c r="L113" s="4"/>
      <c r="M113" s="4"/>
      <c r="N113" s="76"/>
      <c r="O113" s="76"/>
      <c r="P113" s="76" t="str">
        <f t="shared" si="12"/>
        <v>,ass0060_shindenzu_kanri</v>
      </c>
      <c r="Q113" s="76" t="str">
        <f t="shared" si="13"/>
        <v>TEXT</v>
      </c>
      <c r="R113" s="76" t="str">
        <f t="shared" si="14"/>
        <v/>
      </c>
      <c r="S113" s="76" t="str">
        <f t="shared" si="15"/>
        <v/>
      </c>
      <c r="T113" s="76" t="str">
        <f t="shared" si="16"/>
        <v>-- 心電図モニターの管理</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446</v>
      </c>
      <c r="D114" s="13" t="s">
        <v>495</v>
      </c>
      <c r="E114" s="7"/>
      <c r="F114" s="7" t="s">
        <v>317</v>
      </c>
      <c r="G114" s="7" t="str">
        <f t="shared" si="3"/>
        <v>text</v>
      </c>
      <c r="H114" s="58"/>
      <c r="I114" s="23"/>
      <c r="J114" s="24" t="s">
        <v>544</v>
      </c>
      <c r="L114" s="4"/>
      <c r="M114" s="4"/>
      <c r="N114" s="76"/>
      <c r="O114" s="76"/>
      <c r="P114" s="76" t="str">
        <f t="shared" si="12"/>
        <v>,ass0060_yueki_pump_kanri</v>
      </c>
      <c r="Q114" s="76" t="str">
        <f t="shared" si="13"/>
        <v>TEXT</v>
      </c>
      <c r="R114" s="76" t="str">
        <f t="shared" si="14"/>
        <v/>
      </c>
      <c r="S114" s="76" t="str">
        <f t="shared" si="15"/>
        <v/>
      </c>
      <c r="T114" s="76" t="str">
        <f t="shared" si="16"/>
        <v>-- 輸液ポンプの管理</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milscm_2023_009.sny_202310_backup_merge_dpc_hn.ass0060_yueki_pump_kanri IS '輸液ポンプの管理';</v>
      </c>
      <c r="AT114" s="4"/>
      <c r="AU114" s="4"/>
      <c r="AV114" s="4"/>
      <c r="AW114" s="4"/>
      <c r="AX114" s="4"/>
      <c r="AY114" s="4"/>
      <c r="AZ114" s="4"/>
    </row>
    <row r="115" spans="1:52" s="25" customFormat="1" ht="30">
      <c r="A115" s="4"/>
      <c r="B115" s="21">
        <f t="shared" si="2"/>
        <v>103</v>
      </c>
      <c r="C115" s="13" t="s">
        <v>448</v>
      </c>
      <c r="D115" s="13" t="s">
        <v>496</v>
      </c>
      <c r="E115" s="7"/>
      <c r="F115" s="7" t="s">
        <v>317</v>
      </c>
      <c r="G115" s="7" t="str">
        <f t="shared" si="3"/>
        <v>text</v>
      </c>
      <c r="H115" s="58"/>
      <c r="I115" s="23"/>
      <c r="J115" s="24" t="s">
        <v>544</v>
      </c>
      <c r="L115" s="4"/>
      <c r="M115" s="4"/>
      <c r="N115" s="76"/>
      <c r="O115" s="76"/>
      <c r="P115" s="76" t="str">
        <f t="shared" si="12"/>
        <v>,ass0060_domyaku_sokutei</v>
      </c>
      <c r="Q115" s="76" t="str">
        <f t="shared" si="13"/>
        <v>TEXT</v>
      </c>
      <c r="R115" s="76" t="str">
        <f t="shared" si="14"/>
        <v/>
      </c>
      <c r="S115" s="76" t="str">
        <f t="shared" si="15"/>
        <v/>
      </c>
      <c r="T115" s="76" t="str">
        <f t="shared" si="16"/>
        <v>-- 動脈圧測定（動脈ライン）</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372</v>
      </c>
      <c r="D116" s="6" t="s">
        <v>497</v>
      </c>
      <c r="E116" s="8"/>
      <c r="F116" s="7" t="s">
        <v>317</v>
      </c>
      <c r="G116" s="7" t="str">
        <f t="shared" si="3"/>
        <v>text</v>
      </c>
      <c r="H116" s="26"/>
      <c r="I116" s="10"/>
      <c r="J116" s="11" t="s">
        <v>544</v>
      </c>
      <c r="L116" s="4"/>
      <c r="M116" s="4"/>
      <c r="N116" s="76"/>
      <c r="O116" s="76"/>
      <c r="P116" s="76" t="str">
        <f t="shared" si="12"/>
        <v>,ass0060_syringe_pump_kanri</v>
      </c>
      <c r="Q116" s="76" t="str">
        <f t="shared" si="13"/>
        <v>TEXT</v>
      </c>
      <c r="R116" s="76" t="str">
        <f t="shared" si="14"/>
        <v/>
      </c>
      <c r="S116" s="76" t="str">
        <f t="shared" si="15"/>
        <v/>
      </c>
      <c r="T116" s="76" t="str">
        <f t="shared" si="16"/>
        <v>-- シリンジポンプの管理</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451</v>
      </c>
      <c r="D117" s="13" t="s">
        <v>498</v>
      </c>
      <c r="E117" s="7"/>
      <c r="F117" s="7" t="s">
        <v>317</v>
      </c>
      <c r="G117" s="7" t="str">
        <f t="shared" si="3"/>
        <v>text</v>
      </c>
      <c r="H117" s="58"/>
      <c r="I117" s="23"/>
      <c r="J117" s="24" t="s">
        <v>544</v>
      </c>
      <c r="L117" s="4"/>
      <c r="M117" s="4"/>
      <c r="N117" s="76"/>
      <c r="O117" s="76"/>
      <c r="P117" s="76" t="str">
        <f t="shared" si="12"/>
        <v>,ass0060_jomyaku_sokutei</v>
      </c>
      <c r="Q117" s="76" t="str">
        <f t="shared" si="13"/>
        <v>TEXT</v>
      </c>
      <c r="R117" s="76" t="str">
        <f t="shared" si="14"/>
        <v/>
      </c>
      <c r="S117" s="76" t="str">
        <f t="shared" si="15"/>
        <v/>
      </c>
      <c r="T117" s="76" t="str">
        <f t="shared" si="16"/>
        <v>-- 中心静脈圧測定（中心静脈ライン）</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453</v>
      </c>
      <c r="D118" s="6" t="s">
        <v>499</v>
      </c>
      <c r="E118" s="8"/>
      <c r="F118" s="7" t="s">
        <v>317</v>
      </c>
      <c r="G118" s="7" t="str">
        <f t="shared" si="3"/>
        <v>text</v>
      </c>
      <c r="H118" s="26"/>
      <c r="I118" s="10"/>
      <c r="J118" s="11" t="s">
        <v>544</v>
      </c>
      <c r="L118" s="4"/>
      <c r="M118" s="4"/>
      <c r="N118" s="76"/>
      <c r="O118" s="76"/>
      <c r="P118" s="76" t="str">
        <f t="shared" si="12"/>
        <v>,ass0060_jinko_kokyuki_kanri</v>
      </c>
      <c r="Q118" s="76" t="str">
        <f t="shared" si="13"/>
        <v>TEXT</v>
      </c>
      <c r="R118" s="76" t="str">
        <f t="shared" si="14"/>
        <v/>
      </c>
      <c r="S118" s="76" t="str">
        <f t="shared" si="15"/>
        <v/>
      </c>
      <c r="T118" s="76" t="str">
        <f t="shared" si="16"/>
        <v>-- 人工呼吸器の管理</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milscm_2023_009.sny_202310_backup_merge_dpc_hn.ass0060_jinko_kokyuki_kanri IS '人工呼吸器の管理';</v>
      </c>
      <c r="AT118" s="4"/>
      <c r="AU118" s="4"/>
      <c r="AV118" s="4"/>
      <c r="AW118" s="4"/>
      <c r="AX118" s="4"/>
      <c r="AY118" s="4"/>
      <c r="AZ118" s="4"/>
    </row>
    <row r="119" spans="1:52" s="25" customFormat="1" ht="30">
      <c r="A119" s="4"/>
      <c r="B119" s="21">
        <f t="shared" si="2"/>
        <v>107</v>
      </c>
      <c r="C119" s="13" t="s">
        <v>374</v>
      </c>
      <c r="D119" s="13" t="s">
        <v>500</v>
      </c>
      <c r="E119" s="7"/>
      <c r="F119" s="7" t="s">
        <v>317</v>
      </c>
      <c r="G119" s="7" t="str">
        <f t="shared" si="3"/>
        <v>text</v>
      </c>
      <c r="H119" s="58"/>
      <c r="I119" s="23"/>
      <c r="J119" s="24" t="s">
        <v>544</v>
      </c>
      <c r="L119" s="4"/>
      <c r="M119" s="4"/>
      <c r="N119" s="76"/>
      <c r="O119" s="76"/>
      <c r="P119" s="76" t="str">
        <f t="shared" si="12"/>
        <v>,ass0060_blood_products_kanri</v>
      </c>
      <c r="Q119" s="76" t="str">
        <f t="shared" si="13"/>
        <v>TEXT</v>
      </c>
      <c r="R119" s="76" t="str">
        <f t="shared" si="14"/>
        <v/>
      </c>
      <c r="S119" s="76" t="str">
        <f t="shared" si="15"/>
        <v/>
      </c>
      <c r="T119" s="76" t="str">
        <f t="shared" si="16"/>
        <v>-- 輸血や血液製剤の管理</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456</v>
      </c>
      <c r="D120" s="6" t="s">
        <v>501</v>
      </c>
      <c r="E120" s="8"/>
      <c r="F120" s="7" t="s">
        <v>317</v>
      </c>
      <c r="G120" s="7" t="str">
        <f t="shared" si="3"/>
        <v>text</v>
      </c>
      <c r="H120" s="26"/>
      <c r="I120" s="10"/>
      <c r="J120" s="11" t="s">
        <v>544</v>
      </c>
      <c r="L120" s="4"/>
      <c r="M120" s="4"/>
      <c r="N120" s="76"/>
      <c r="O120" s="76"/>
      <c r="P120" s="76" t="str">
        <f t="shared" si="12"/>
        <v>,ass0060_hai_domyaku_sokutei</v>
      </c>
      <c r="Q120" s="76" t="str">
        <f t="shared" si="13"/>
        <v>TEXT</v>
      </c>
      <c r="R120" s="76" t="str">
        <f t="shared" si="14"/>
        <v/>
      </c>
      <c r="S120" s="76" t="str">
        <f t="shared" si="15"/>
        <v/>
      </c>
      <c r="T120" s="76" t="str">
        <f t="shared" si="16"/>
        <v>-- 肺動脈圧測定（スワンガンツカテーテル）</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458</v>
      </c>
      <c r="D121" s="13" t="s">
        <v>502</v>
      </c>
      <c r="E121" s="7"/>
      <c r="F121" s="7" t="s">
        <v>317</v>
      </c>
      <c r="G121" s="7" t="str">
        <f t="shared" si="3"/>
        <v>text</v>
      </c>
      <c r="H121" s="58"/>
      <c r="I121" s="23"/>
      <c r="J121" s="24" t="s">
        <v>544</v>
      </c>
      <c r="L121" s="4"/>
      <c r="M121" s="4"/>
      <c r="N121" s="76"/>
      <c r="O121" s="76"/>
      <c r="P121" s="76" t="str">
        <f t="shared" si="12"/>
        <v>,ass0060_special_chiryo</v>
      </c>
      <c r="Q121" s="76" t="str">
        <f t="shared" si="13"/>
        <v>TEXT</v>
      </c>
      <c r="R121" s="76" t="str">
        <f t="shared" si="14"/>
        <v/>
      </c>
      <c r="S121" s="76" t="str">
        <f t="shared" si="15"/>
        <v/>
      </c>
      <c r="T121" s="76" t="str">
        <f t="shared" si="16"/>
        <v>-- 特殊な治療法等</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milscm_2023_009.sny_202310_backup_merge_dpc_hn.ass0060_special_chiryo IS '特殊な治療法等';</v>
      </c>
      <c r="AT121" s="4"/>
      <c r="AU121" s="4"/>
      <c r="AV121" s="4"/>
      <c r="AW121" s="4"/>
      <c r="AX121" s="4"/>
      <c r="AY121" s="4"/>
      <c r="AZ121" s="4"/>
    </row>
    <row r="122" spans="1:52" s="25" customFormat="1" ht="156.6">
      <c r="A122" s="4"/>
      <c r="B122" s="21">
        <f t="shared" si="2"/>
        <v>110</v>
      </c>
      <c r="C122" s="6" t="s">
        <v>364</v>
      </c>
      <c r="D122" s="6" t="s">
        <v>503</v>
      </c>
      <c r="E122" s="8"/>
      <c r="F122" s="7" t="s">
        <v>317</v>
      </c>
      <c r="G122" s="7" t="str">
        <f t="shared" si="3"/>
        <v>text</v>
      </c>
      <c r="H122" s="26"/>
      <c r="I122" s="10"/>
      <c r="J122" s="11" t="s">
        <v>543</v>
      </c>
      <c r="L122" s="4"/>
      <c r="M122" s="4"/>
      <c r="N122" s="76"/>
      <c r="O122" s="76"/>
      <c r="P122" s="76" t="str">
        <f t="shared" si="12"/>
        <v>,ass0061_sosho_shochi</v>
      </c>
      <c r="Q122" s="76" t="str">
        <f t="shared" si="13"/>
        <v>TEXT</v>
      </c>
      <c r="R122" s="76" t="str">
        <f t="shared" si="14"/>
        <v/>
      </c>
      <c r="S122" s="76" t="str">
        <f t="shared" si="15"/>
        <v/>
      </c>
      <c r="T122" s="76" t="str">
        <f t="shared" si="16"/>
        <v>-- 創傷処置</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milscm_2023_009.sny_202310_backup_merge_dpc_hn.ass0061_sosho_shochi IS '創傷処置';</v>
      </c>
      <c r="AT122" s="4"/>
      <c r="AU122" s="4"/>
      <c r="AV122" s="4"/>
      <c r="AW122" s="4"/>
      <c r="AX122" s="4"/>
      <c r="AY122" s="4"/>
      <c r="AZ122" s="4"/>
    </row>
    <row r="123" spans="1:52" s="25" customFormat="1">
      <c r="A123" s="4"/>
      <c r="B123" s="21">
        <f t="shared" si="2"/>
        <v>111</v>
      </c>
      <c r="C123" s="13" t="s">
        <v>490</v>
      </c>
      <c r="D123" s="13" t="s">
        <v>504</v>
      </c>
      <c r="E123" s="7"/>
      <c r="F123" s="7" t="s">
        <v>317</v>
      </c>
      <c r="G123" s="7" t="str">
        <f t="shared" si="3"/>
        <v>text</v>
      </c>
      <c r="H123" s="58"/>
      <c r="I123" s="23"/>
      <c r="J123" s="24" t="s">
        <v>544</v>
      </c>
      <c r="L123" s="4"/>
      <c r="M123" s="4"/>
      <c r="N123" s="76"/>
      <c r="O123" s="76"/>
      <c r="P123" s="76" t="str">
        <f t="shared" si="12"/>
        <v>,ass0061_sosei</v>
      </c>
      <c r="Q123" s="76" t="str">
        <f t="shared" si="13"/>
        <v>TEXT</v>
      </c>
      <c r="R123" s="76" t="str">
        <f t="shared" si="14"/>
        <v/>
      </c>
      <c r="S123" s="76" t="str">
        <f t="shared" si="15"/>
        <v/>
      </c>
      <c r="T123" s="76" t="str">
        <f t="shared" si="16"/>
        <v>-- 蘇生術の施行</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milscm_2023_009.sny_202310_backup_merge_dpc_hn.ass0061_sosei IS '蘇生術の施行';</v>
      </c>
      <c r="AT123" s="4"/>
      <c r="AU123" s="4"/>
      <c r="AV123" s="4"/>
      <c r="AW123" s="4"/>
      <c r="AX123" s="4"/>
      <c r="AY123" s="4"/>
      <c r="AZ123" s="4"/>
    </row>
    <row r="124" spans="1:52" s="25" customFormat="1" ht="45">
      <c r="A124" s="4"/>
      <c r="B124" s="21">
        <f t="shared" si="2"/>
        <v>112</v>
      </c>
      <c r="C124" s="13" t="s">
        <v>505</v>
      </c>
      <c r="D124" s="13" t="s">
        <v>506</v>
      </c>
      <c r="E124" s="7"/>
      <c r="F124" s="7" t="s">
        <v>317</v>
      </c>
      <c r="G124" s="7" t="str">
        <f t="shared" si="3"/>
        <v>text</v>
      </c>
      <c r="H124" s="58"/>
      <c r="I124" s="23"/>
      <c r="J124" s="24" t="s">
        <v>544</v>
      </c>
      <c r="L124" s="4"/>
      <c r="M124" s="4"/>
      <c r="N124" s="76"/>
      <c r="O124" s="76"/>
      <c r="P124" s="76" t="str">
        <f t="shared" si="12"/>
        <v>,ass0061_kokyu_care_respirator_trim</v>
      </c>
      <c r="Q124" s="76" t="str">
        <f t="shared" si="13"/>
        <v>TEXT</v>
      </c>
      <c r="R124" s="76" t="str">
        <f t="shared" si="14"/>
        <v/>
      </c>
      <c r="S124" s="76" t="str">
        <f t="shared" si="15"/>
        <v/>
      </c>
      <c r="T124" s="76" t="str">
        <f t="shared" si="16"/>
        <v>-- 呼吸ケア（喀痰吸引のみの場合及び人工呼吸器の装着の場合を除く）</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507</v>
      </c>
      <c r="D125" s="6" t="s">
        <v>508</v>
      </c>
      <c r="E125" s="8"/>
      <c r="F125" s="7" t="s">
        <v>317</v>
      </c>
      <c r="G125" s="7" t="str">
        <f t="shared" si="3"/>
        <v>text</v>
      </c>
      <c r="H125" s="26"/>
      <c r="I125" s="10"/>
      <c r="J125" s="11" t="s">
        <v>544</v>
      </c>
      <c r="L125" s="4"/>
      <c r="M125" s="4"/>
      <c r="N125" s="76"/>
      <c r="O125" s="76"/>
      <c r="P125" s="76" t="str">
        <f t="shared" si="12"/>
        <v>,ass0061_tenteki_kanri</v>
      </c>
      <c r="Q125" s="76" t="str">
        <f t="shared" si="13"/>
        <v>TEXT</v>
      </c>
      <c r="R125" s="76" t="str">
        <f t="shared" si="14"/>
        <v/>
      </c>
      <c r="S125" s="76" t="str">
        <f t="shared" si="15"/>
        <v/>
      </c>
      <c r="T125" s="76" t="str">
        <f t="shared" si="16"/>
        <v>-- 点滴ライン同時３本以上の管理</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370</v>
      </c>
      <c r="D126" s="13" t="s">
        <v>509</v>
      </c>
      <c r="E126" s="7"/>
      <c r="F126" s="7" t="s">
        <v>317</v>
      </c>
      <c r="G126" s="7" t="str">
        <f t="shared" si="3"/>
        <v>text</v>
      </c>
      <c r="H126" s="58"/>
      <c r="I126" s="23"/>
      <c r="J126" s="24" t="s">
        <v>544</v>
      </c>
      <c r="L126" s="4"/>
      <c r="M126" s="4"/>
      <c r="N126" s="76"/>
      <c r="O126" s="76"/>
      <c r="P126" s="76" t="str">
        <f t="shared" si="12"/>
        <v>,ass0061_shindenzu_kanri</v>
      </c>
      <c r="Q126" s="76" t="str">
        <f t="shared" si="13"/>
        <v>TEXT</v>
      </c>
      <c r="R126" s="76" t="str">
        <f t="shared" si="14"/>
        <v/>
      </c>
      <c r="S126" s="76" t="str">
        <f t="shared" si="15"/>
        <v/>
      </c>
      <c r="T126" s="76" t="str">
        <f t="shared" si="16"/>
        <v>-- 心電図モニターの管理</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446</v>
      </c>
      <c r="D127" s="13" t="s">
        <v>510</v>
      </c>
      <c r="E127" s="7"/>
      <c r="F127" s="7" t="s">
        <v>317</v>
      </c>
      <c r="G127" s="7" t="str">
        <f t="shared" si="3"/>
        <v>text</v>
      </c>
      <c r="H127" s="58"/>
      <c r="I127" s="23"/>
      <c r="J127" s="24" t="s">
        <v>544</v>
      </c>
      <c r="L127" s="4"/>
      <c r="M127" s="4"/>
      <c r="N127" s="76"/>
      <c r="O127" s="76"/>
      <c r="P127" s="76" t="str">
        <f t="shared" si="12"/>
        <v>,ass0061_yueki_pump_kanri</v>
      </c>
      <c r="Q127" s="76" t="str">
        <f t="shared" si="13"/>
        <v>TEXT</v>
      </c>
      <c r="R127" s="76" t="str">
        <f t="shared" si="14"/>
        <v/>
      </c>
      <c r="S127" s="76" t="str">
        <f t="shared" si="15"/>
        <v/>
      </c>
      <c r="T127" s="76" t="str">
        <f t="shared" si="16"/>
        <v>-- 輸液ポンプの管理</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milscm_2023_009.sny_202310_backup_merge_dpc_hn.ass0061_yueki_pump_kanri IS '輸液ポンプの管理';</v>
      </c>
      <c r="AT127" s="4"/>
      <c r="AU127" s="4"/>
      <c r="AV127" s="4"/>
      <c r="AW127" s="4"/>
      <c r="AX127" s="4"/>
      <c r="AY127" s="4"/>
      <c r="AZ127" s="4"/>
    </row>
    <row r="128" spans="1:52" s="25" customFormat="1" ht="30">
      <c r="A128" s="4"/>
      <c r="B128" s="21">
        <f t="shared" si="2"/>
        <v>116</v>
      </c>
      <c r="C128" s="13" t="s">
        <v>448</v>
      </c>
      <c r="D128" s="13" t="s">
        <v>511</v>
      </c>
      <c r="E128" s="7"/>
      <c r="F128" s="7" t="s">
        <v>317</v>
      </c>
      <c r="G128" s="7" t="str">
        <f t="shared" si="3"/>
        <v>text</v>
      </c>
      <c r="H128" s="58"/>
      <c r="I128" s="23"/>
      <c r="J128" s="24" t="s">
        <v>544</v>
      </c>
      <c r="L128" s="4"/>
      <c r="M128" s="4"/>
      <c r="N128" s="76"/>
      <c r="O128" s="76"/>
      <c r="P128" s="76" t="str">
        <f t="shared" si="12"/>
        <v>,ass0061_domyaku_sokutei</v>
      </c>
      <c r="Q128" s="76" t="str">
        <f t="shared" si="13"/>
        <v>TEXT</v>
      </c>
      <c r="R128" s="76" t="str">
        <f t="shared" si="14"/>
        <v/>
      </c>
      <c r="S128" s="76" t="str">
        <f t="shared" si="15"/>
        <v/>
      </c>
      <c r="T128" s="76" t="str">
        <f t="shared" si="16"/>
        <v>-- 動脈圧測定（動脈ライン）</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372</v>
      </c>
      <c r="D129" s="6" t="s">
        <v>512</v>
      </c>
      <c r="E129" s="8"/>
      <c r="F129" s="7" t="s">
        <v>317</v>
      </c>
      <c r="G129" s="7" t="str">
        <f t="shared" si="3"/>
        <v>text</v>
      </c>
      <c r="H129" s="26"/>
      <c r="I129" s="10"/>
      <c r="J129" s="11" t="s">
        <v>544</v>
      </c>
      <c r="L129" s="4"/>
      <c r="M129" s="4"/>
      <c r="N129" s="76"/>
      <c r="O129" s="76"/>
      <c r="P129" s="76" t="str">
        <f t="shared" si="12"/>
        <v>,ass0061_syringe_pump_kanri</v>
      </c>
      <c r="Q129" s="76" t="str">
        <f t="shared" si="13"/>
        <v>TEXT</v>
      </c>
      <c r="R129" s="76" t="str">
        <f t="shared" si="14"/>
        <v/>
      </c>
      <c r="S129" s="76" t="str">
        <f t="shared" si="15"/>
        <v/>
      </c>
      <c r="T129" s="76" t="str">
        <f t="shared" si="16"/>
        <v>-- シリンジポンプの管理</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451</v>
      </c>
      <c r="D130" s="13" t="s">
        <v>513</v>
      </c>
      <c r="E130" s="7"/>
      <c r="F130" s="7" t="s">
        <v>317</v>
      </c>
      <c r="G130" s="7" t="str">
        <f t="shared" si="3"/>
        <v>text</v>
      </c>
      <c r="H130" s="58"/>
      <c r="I130" s="23"/>
      <c r="J130" s="24" t="s">
        <v>544</v>
      </c>
      <c r="L130" s="4"/>
      <c r="M130" s="4"/>
      <c r="N130" s="76"/>
      <c r="O130" s="76"/>
      <c r="P130" s="76" t="str">
        <f t="shared" si="12"/>
        <v>,ass0061_jomyaku_sokutei</v>
      </c>
      <c r="Q130" s="76" t="str">
        <f t="shared" si="13"/>
        <v>TEXT</v>
      </c>
      <c r="R130" s="76" t="str">
        <f t="shared" si="14"/>
        <v/>
      </c>
      <c r="S130" s="76" t="str">
        <f t="shared" si="15"/>
        <v/>
      </c>
      <c r="T130" s="76" t="str">
        <f t="shared" si="16"/>
        <v>-- 中心静脈圧測定（中心静脈ライン）</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465</v>
      </c>
      <c r="D131" s="6" t="s">
        <v>514</v>
      </c>
      <c r="E131" s="8"/>
      <c r="F131" s="7" t="s">
        <v>317</v>
      </c>
      <c r="G131" s="7" t="str">
        <f t="shared" si="3"/>
        <v>text</v>
      </c>
      <c r="H131" s="26"/>
      <c r="I131" s="10"/>
      <c r="J131" s="11" t="s">
        <v>544</v>
      </c>
      <c r="L131" s="4"/>
      <c r="M131" s="4"/>
      <c r="N131" s="76"/>
      <c r="O131" s="76"/>
      <c r="P131" s="76" t="str">
        <f t="shared" si="12"/>
        <v>,ass0061_jinko_kokyuki_kanri</v>
      </c>
      <c r="Q131" s="76" t="str">
        <f t="shared" si="13"/>
        <v>TEXT</v>
      </c>
      <c r="R131" s="76" t="str">
        <f t="shared" si="14"/>
        <v/>
      </c>
      <c r="S131" s="76" t="str">
        <f t="shared" si="15"/>
        <v/>
      </c>
      <c r="T131" s="76" t="str">
        <f t="shared" si="16"/>
        <v>-- 人工呼吸器の管理</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milscm_2023_009.sny_202310_backup_merge_dpc_hn.ass0061_jinko_kokyuki_kanri IS '人工呼吸器の管理';</v>
      </c>
      <c r="AT131" s="4"/>
      <c r="AU131" s="4"/>
      <c r="AV131" s="4"/>
      <c r="AW131" s="4"/>
      <c r="AX131" s="4"/>
      <c r="AY131" s="4"/>
      <c r="AZ131" s="4"/>
    </row>
    <row r="132" spans="1:52" s="25" customFormat="1" ht="30">
      <c r="A132" s="4"/>
      <c r="B132" s="21">
        <f t="shared" si="2"/>
        <v>120</v>
      </c>
      <c r="C132" s="13" t="s">
        <v>374</v>
      </c>
      <c r="D132" s="13" t="s">
        <v>515</v>
      </c>
      <c r="E132" s="7"/>
      <c r="F132" s="7" t="s">
        <v>317</v>
      </c>
      <c r="G132" s="7" t="str">
        <f t="shared" si="3"/>
        <v>text</v>
      </c>
      <c r="H132" s="58"/>
      <c r="I132" s="23"/>
      <c r="J132" s="24" t="s">
        <v>544</v>
      </c>
      <c r="L132" s="4"/>
      <c r="M132" s="4"/>
      <c r="N132" s="76"/>
      <c r="O132" s="76"/>
      <c r="P132" s="76" t="str">
        <f t="shared" si="12"/>
        <v>,ass0061_blood_products_kanri</v>
      </c>
      <c r="Q132" s="76" t="str">
        <f t="shared" si="13"/>
        <v>TEXT</v>
      </c>
      <c r="R132" s="76" t="str">
        <f t="shared" si="14"/>
        <v/>
      </c>
      <c r="S132" s="76" t="str">
        <f t="shared" si="15"/>
        <v/>
      </c>
      <c r="T132" s="76" t="str">
        <f t="shared" si="16"/>
        <v>-- 輸血や血液製剤の管理</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468</v>
      </c>
      <c r="D133" s="6" t="s">
        <v>516</v>
      </c>
      <c r="E133" s="8"/>
      <c r="F133" s="7" t="s">
        <v>317</v>
      </c>
      <c r="G133" s="7" t="str">
        <f t="shared" si="3"/>
        <v>text</v>
      </c>
      <c r="H133" s="26"/>
      <c r="I133" s="10"/>
      <c r="J133" s="11" t="s">
        <v>544</v>
      </c>
      <c r="L133" s="4"/>
      <c r="M133" s="4"/>
      <c r="N133" s="76"/>
      <c r="O133" s="76"/>
      <c r="P133" s="76" t="str">
        <f t="shared" si="12"/>
        <v>,ass0061_hai_domyaku_sokutei</v>
      </c>
      <c r="Q133" s="76" t="str">
        <f t="shared" si="13"/>
        <v>TEXT</v>
      </c>
      <c r="R133" s="76" t="str">
        <f t="shared" si="14"/>
        <v/>
      </c>
      <c r="S133" s="76" t="str">
        <f t="shared" si="15"/>
        <v/>
      </c>
      <c r="T133" s="76" t="str">
        <f t="shared" si="16"/>
        <v>-- 肺動脈圧測定（スワンガンツカテーテル）</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458</v>
      </c>
      <c r="D134" s="13" t="s">
        <v>517</v>
      </c>
      <c r="E134" s="7"/>
      <c r="F134" s="7" t="s">
        <v>317</v>
      </c>
      <c r="G134" s="7" t="str">
        <f t="shared" si="3"/>
        <v>text</v>
      </c>
      <c r="H134" s="58"/>
      <c r="I134" s="23"/>
      <c r="J134" s="24" t="s">
        <v>544</v>
      </c>
      <c r="L134" s="4"/>
      <c r="M134" s="4"/>
      <c r="N134" s="76"/>
      <c r="O134" s="76"/>
      <c r="P134" s="76" t="str">
        <f t="shared" si="12"/>
        <v>,ass0061_special_chiryo</v>
      </c>
      <c r="Q134" s="76" t="str">
        <f t="shared" si="13"/>
        <v>TEXT</v>
      </c>
      <c r="R134" s="76" t="str">
        <f t="shared" si="14"/>
        <v/>
      </c>
      <c r="S134" s="76" t="str">
        <f t="shared" si="15"/>
        <v/>
      </c>
      <c r="T134" s="76" t="str">
        <f t="shared" si="16"/>
        <v>-- 特殊な治療法等</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398</v>
      </c>
      <c r="D135" s="6" t="s">
        <v>518</v>
      </c>
      <c r="E135" s="8"/>
      <c r="F135" s="7" t="s">
        <v>317</v>
      </c>
      <c r="G135" s="7" t="str">
        <f t="shared" si="3"/>
        <v>text</v>
      </c>
      <c r="H135" s="26"/>
      <c r="I135" s="10"/>
      <c r="J135" s="11" t="s">
        <v>547</v>
      </c>
      <c r="L135" s="4"/>
      <c r="M135" s="4"/>
      <c r="N135" s="76"/>
      <c r="O135" s="76"/>
      <c r="P135" s="76" t="str">
        <f t="shared" si="12"/>
        <v>,ass0070_negaeri</v>
      </c>
      <c r="Q135" s="76" t="str">
        <f t="shared" si="13"/>
        <v>TEXT</v>
      </c>
      <c r="R135" s="76" t="str">
        <f t="shared" si="14"/>
        <v/>
      </c>
      <c r="S135" s="76" t="str">
        <f t="shared" si="15"/>
        <v/>
      </c>
      <c r="T135" s="76" t="str">
        <f t="shared" si="16"/>
        <v>-- 寝返り</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milscm_2023_009.sny_202310_backup_merge_dpc_hn.ass0070_negaeri IS '寝返り';</v>
      </c>
      <c r="AT135" s="4"/>
      <c r="AU135" s="4"/>
      <c r="AV135" s="4"/>
      <c r="AW135" s="4"/>
      <c r="AX135" s="4"/>
      <c r="AY135" s="4"/>
      <c r="AZ135" s="4"/>
    </row>
    <row r="136" spans="1:52" s="25" customFormat="1">
      <c r="A136" s="4"/>
      <c r="B136" s="21">
        <f t="shared" si="2"/>
        <v>124</v>
      </c>
      <c r="C136" s="13" t="s">
        <v>400</v>
      </c>
      <c r="D136" s="13" t="s">
        <v>519</v>
      </c>
      <c r="E136" s="7"/>
      <c r="F136" s="7" t="s">
        <v>317</v>
      </c>
      <c r="G136" s="7" t="str">
        <f t="shared" si="3"/>
        <v>text</v>
      </c>
      <c r="H136" s="58"/>
      <c r="I136" s="23"/>
      <c r="J136" s="24" t="s">
        <v>548</v>
      </c>
      <c r="L136" s="4"/>
      <c r="M136" s="4"/>
      <c r="N136" s="76"/>
      <c r="O136" s="76"/>
      <c r="P136" s="76" t="str">
        <f t="shared" si="12"/>
        <v>,ass0070_ijo</v>
      </c>
      <c r="Q136" s="76" t="str">
        <f t="shared" si="13"/>
        <v>TEXT</v>
      </c>
      <c r="R136" s="76" t="str">
        <f t="shared" si="14"/>
        <v/>
      </c>
      <c r="S136" s="76" t="str">
        <f t="shared" si="15"/>
        <v/>
      </c>
      <c r="T136" s="76" t="str">
        <f t="shared" si="16"/>
        <v>-- 移乗</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milscm_2023_009.sny_202310_backup_merge_dpc_hn.ass0070_ijo IS '移乗';</v>
      </c>
      <c r="AT136" s="4"/>
      <c r="AU136" s="4"/>
      <c r="AV136" s="4"/>
      <c r="AW136" s="4"/>
      <c r="AX136" s="4"/>
      <c r="AY136" s="4"/>
      <c r="AZ136" s="4"/>
    </row>
    <row r="137" spans="1:52" s="25" customFormat="1">
      <c r="A137" s="4"/>
      <c r="B137" s="21">
        <f t="shared" si="2"/>
        <v>125</v>
      </c>
      <c r="C137" s="13" t="s">
        <v>402</v>
      </c>
      <c r="D137" s="13" t="s">
        <v>520</v>
      </c>
      <c r="E137" s="7"/>
      <c r="F137" s="7" t="s">
        <v>317</v>
      </c>
      <c r="G137" s="7" t="str">
        <f t="shared" si="3"/>
        <v>text</v>
      </c>
      <c r="H137" s="58"/>
      <c r="I137" s="23"/>
      <c r="J137" s="24" t="s">
        <v>549</v>
      </c>
      <c r="L137" s="4"/>
      <c r="M137" s="4"/>
      <c r="N137" s="76"/>
      <c r="O137" s="76"/>
      <c r="P137" s="76" t="str">
        <f t="shared" si="12"/>
        <v>,ass0070_koku_seiketsu</v>
      </c>
      <c r="Q137" s="76" t="str">
        <f t="shared" si="13"/>
        <v>TEXT</v>
      </c>
      <c r="R137" s="76" t="str">
        <f t="shared" si="14"/>
        <v/>
      </c>
      <c r="S137" s="76" t="str">
        <f t="shared" si="15"/>
        <v/>
      </c>
      <c r="T137" s="76" t="str">
        <f t="shared" si="16"/>
        <v>-- 口腔清潔</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milscm_2023_009.sny_202310_backup_merge_dpc_hn.ass0070_koku_seiketsu IS '口腔清潔';</v>
      </c>
      <c r="AT137" s="4"/>
      <c r="AU137" s="4"/>
      <c r="AV137" s="4"/>
      <c r="AW137" s="4"/>
      <c r="AX137" s="4"/>
      <c r="AY137" s="4"/>
      <c r="AZ137" s="4"/>
    </row>
    <row r="138" spans="1:52" s="25" customFormat="1">
      <c r="A138" s="4"/>
      <c r="B138" s="21">
        <f t="shared" si="2"/>
        <v>126</v>
      </c>
      <c r="C138" s="6" t="s">
        <v>404</v>
      </c>
      <c r="D138" s="6" t="s">
        <v>521</v>
      </c>
      <c r="E138" s="8"/>
      <c r="F138" s="7" t="s">
        <v>317</v>
      </c>
      <c r="G138" s="7" t="str">
        <f t="shared" si="3"/>
        <v>text</v>
      </c>
      <c r="H138" s="26"/>
      <c r="I138" s="10"/>
      <c r="J138" s="11" t="s">
        <v>548</v>
      </c>
      <c r="L138" s="4"/>
      <c r="M138" s="4"/>
      <c r="N138" s="76"/>
      <c r="O138" s="76"/>
      <c r="P138" s="76" t="str">
        <f t="shared" si="12"/>
        <v>,ass0070_shokuji_sesshu</v>
      </c>
      <c r="Q138" s="76" t="str">
        <f t="shared" si="13"/>
        <v>TEXT</v>
      </c>
      <c r="R138" s="76" t="str">
        <f t="shared" si="14"/>
        <v/>
      </c>
      <c r="S138" s="76" t="str">
        <f t="shared" si="15"/>
        <v/>
      </c>
      <c r="T138" s="76" t="str">
        <f t="shared" si="16"/>
        <v>-- 食事摂取</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milscm_2023_009.sny_202310_backup_merge_dpc_hn.ass0070_shokuji_sesshu IS '食事摂取';</v>
      </c>
      <c r="AT138" s="4"/>
      <c r="AU138" s="4"/>
      <c r="AV138" s="4"/>
      <c r="AW138" s="4"/>
      <c r="AX138" s="4"/>
      <c r="AY138" s="4"/>
      <c r="AZ138" s="4"/>
    </row>
    <row r="139" spans="1:52" s="25" customFormat="1" ht="30">
      <c r="A139" s="4"/>
      <c r="B139" s="21">
        <f t="shared" si="2"/>
        <v>127</v>
      </c>
      <c r="C139" s="13" t="s">
        <v>406</v>
      </c>
      <c r="D139" s="13" t="s">
        <v>522</v>
      </c>
      <c r="E139" s="7"/>
      <c r="F139" s="7" t="s">
        <v>317</v>
      </c>
      <c r="G139" s="7" t="str">
        <f t="shared" si="3"/>
        <v>text</v>
      </c>
      <c r="H139" s="58"/>
      <c r="I139" s="23"/>
      <c r="J139" s="24" t="s">
        <v>548</v>
      </c>
      <c r="L139" s="4"/>
      <c r="M139" s="4"/>
      <c r="N139" s="76"/>
      <c r="O139" s="76"/>
      <c r="P139" s="76" t="str">
        <f t="shared" si="12"/>
        <v>,ass0070_ifuku_chakudatsu</v>
      </c>
      <c r="Q139" s="76" t="str">
        <f t="shared" si="13"/>
        <v>TEXT</v>
      </c>
      <c r="R139" s="76" t="str">
        <f t="shared" si="14"/>
        <v/>
      </c>
      <c r="S139" s="76" t="str">
        <f t="shared" si="15"/>
        <v/>
      </c>
      <c r="T139" s="76" t="str">
        <f t="shared" si="16"/>
        <v>-- 衣服の着脱</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milscm_2023_009.sny_202310_backup_merge_dpc_hn.ass0070_ifuku_chakudatsu IS '衣服の着脱';</v>
      </c>
      <c r="AT139" s="4"/>
      <c r="AU139" s="4"/>
      <c r="AV139" s="4"/>
      <c r="AW139" s="4"/>
      <c r="AX139" s="4"/>
      <c r="AY139" s="4"/>
      <c r="AZ139" s="4"/>
    </row>
    <row r="140" spans="1:52" s="25" customFormat="1">
      <c r="A140" s="4"/>
      <c r="B140" s="21">
        <f t="shared" si="2"/>
        <v>128</v>
      </c>
      <c r="C140" s="13" t="s">
        <v>408</v>
      </c>
      <c r="D140" s="13" t="s">
        <v>523</v>
      </c>
      <c r="E140" s="7"/>
      <c r="F140" s="7" t="s">
        <v>317</v>
      </c>
      <c r="G140" s="7" t="str">
        <f t="shared" si="3"/>
        <v>text</v>
      </c>
      <c r="H140" s="58"/>
      <c r="I140" s="23"/>
      <c r="J140" s="24" t="s">
        <v>550</v>
      </c>
      <c r="L140" s="4"/>
      <c r="M140" s="4"/>
      <c r="N140" s="76"/>
      <c r="O140" s="76"/>
      <c r="P140" s="76" t="str">
        <f t="shared" si="12"/>
        <v>,ass0070_shinryo_shiji</v>
      </c>
      <c r="Q140" s="76" t="str">
        <f t="shared" si="13"/>
        <v>TEXT</v>
      </c>
      <c r="R140" s="76" t="str">
        <f t="shared" si="14"/>
        <v/>
      </c>
      <c r="S140" s="76" t="str">
        <f t="shared" si="15"/>
        <v/>
      </c>
      <c r="T140" s="76" t="str">
        <f t="shared" si="16"/>
        <v>-- 診療・療養上の指示が通じる</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524</v>
      </c>
      <c r="D141" s="13" t="s">
        <v>525</v>
      </c>
      <c r="E141" s="7"/>
      <c r="F141" s="7" t="s">
        <v>317</v>
      </c>
      <c r="G141" s="7" t="str">
        <f t="shared" si="3"/>
        <v>text</v>
      </c>
      <c r="H141" s="58"/>
      <c r="I141" s="23"/>
      <c r="J141" s="24" t="s">
        <v>551</v>
      </c>
      <c r="L141" s="4"/>
      <c r="M141" s="4"/>
      <c r="N141" s="76"/>
      <c r="O141" s="76"/>
      <c r="P141" s="76" t="str">
        <f t="shared" si="12"/>
        <v>,ass0070_kiken_kodo</v>
      </c>
      <c r="Q141" s="76" t="str">
        <f t="shared" si="13"/>
        <v>TEXT</v>
      </c>
      <c r="R141" s="76" t="str">
        <f t="shared" si="14"/>
        <v/>
      </c>
      <c r="S141" s="76" t="str">
        <f t="shared" si="15"/>
        <v/>
      </c>
      <c r="T141" s="76" t="str">
        <f t="shared" si="16"/>
        <v>-- 危険行動</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milscm_2023_009.sny_202310_backup_merge_dpc_hn.ass0070_kiken_kodo IS '危険行動';</v>
      </c>
      <c r="AT141" s="4"/>
      <c r="AU141" s="4"/>
      <c r="AV141" s="4"/>
      <c r="AW141" s="4"/>
      <c r="AX141" s="4"/>
      <c r="AY141" s="4"/>
      <c r="AZ141" s="4"/>
    </row>
    <row r="142" spans="1:52" s="25" customFormat="1" ht="34.799999999999997">
      <c r="A142" s="4"/>
      <c r="B142" s="21">
        <f t="shared" si="2"/>
        <v>130</v>
      </c>
      <c r="C142" s="6" t="s">
        <v>398</v>
      </c>
      <c r="D142" s="6" t="s">
        <v>526</v>
      </c>
      <c r="E142" s="8"/>
      <c r="F142" s="7" t="s">
        <v>317</v>
      </c>
      <c r="G142" s="7" t="str">
        <f t="shared" si="3"/>
        <v>text</v>
      </c>
      <c r="H142" s="26"/>
      <c r="I142" s="10"/>
      <c r="J142" s="11" t="s">
        <v>547</v>
      </c>
      <c r="L142" s="4"/>
      <c r="M142" s="4"/>
      <c r="N142" s="76"/>
      <c r="O142" s="76"/>
      <c r="P142" s="76" t="str">
        <f t="shared" si="12"/>
        <v>,ass0071_negaeri</v>
      </c>
      <c r="Q142" s="76" t="str">
        <f t="shared" si="13"/>
        <v>TEXT</v>
      </c>
      <c r="R142" s="76" t="str">
        <f t="shared" si="14"/>
        <v/>
      </c>
      <c r="S142" s="76" t="str">
        <f t="shared" si="15"/>
        <v/>
      </c>
      <c r="T142" s="76" t="str">
        <f t="shared" si="16"/>
        <v>-- 寝返り</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milscm_2023_009.sny_202310_backup_merge_dpc_hn.ass0071_negaeri IS '寝返り';</v>
      </c>
      <c r="AT142" s="4"/>
      <c r="AU142" s="4"/>
      <c r="AV142" s="4"/>
      <c r="AW142" s="4"/>
      <c r="AX142" s="4"/>
      <c r="AY142" s="4"/>
      <c r="AZ142" s="4"/>
    </row>
    <row r="143" spans="1:52" s="25" customFormat="1">
      <c r="A143" s="4"/>
      <c r="B143" s="21">
        <f t="shared" si="2"/>
        <v>131</v>
      </c>
      <c r="C143" s="13" t="s">
        <v>413</v>
      </c>
      <c r="D143" s="13" t="s">
        <v>527</v>
      </c>
      <c r="E143" s="7"/>
      <c r="F143" s="7" t="s">
        <v>317</v>
      </c>
      <c r="G143" s="7" t="str">
        <f t="shared" si="3"/>
        <v>text</v>
      </c>
      <c r="H143" s="58"/>
      <c r="I143" s="23"/>
      <c r="J143" s="24" t="s">
        <v>552</v>
      </c>
      <c r="L143" s="4"/>
      <c r="M143" s="4"/>
      <c r="N143" s="76"/>
      <c r="O143" s="76"/>
      <c r="P143" s="76" t="str">
        <f t="shared" si="12"/>
        <v>,ass0071_ijo_kanja</v>
      </c>
      <c r="Q143" s="76" t="str">
        <f t="shared" si="13"/>
        <v>TEXT</v>
      </c>
      <c r="R143" s="76" t="str">
        <f t="shared" si="14"/>
        <v/>
      </c>
      <c r="S143" s="76" t="str">
        <f t="shared" si="15"/>
        <v/>
      </c>
      <c r="T143" s="76" t="str">
        <f t="shared" si="16"/>
        <v>-- 移乗（患者の状態）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milscm_2023_009.sny_202310_backup_merge_dpc_hn.ass0071_ijo_kanja IS '移乗（患者の状態）';</v>
      </c>
      <c r="AT143" s="4"/>
      <c r="AU143" s="4"/>
      <c r="AV143" s="4"/>
      <c r="AW143" s="4"/>
      <c r="AX143" s="4"/>
      <c r="AY143" s="4"/>
      <c r="AZ143" s="4"/>
    </row>
    <row r="144" spans="1:52" s="25" customFormat="1" ht="30">
      <c r="A144" s="4"/>
      <c r="B144" s="21">
        <f t="shared" si="2"/>
        <v>132</v>
      </c>
      <c r="C144" s="6" t="s">
        <v>415</v>
      </c>
      <c r="D144" s="6" t="s">
        <v>528</v>
      </c>
      <c r="E144" s="8"/>
      <c r="F144" s="7" t="s">
        <v>317</v>
      </c>
      <c r="G144" s="7" t="str">
        <f t="shared" si="3"/>
        <v>text</v>
      </c>
      <c r="H144" s="26"/>
      <c r="I144" s="10"/>
      <c r="J144" s="11" t="s">
        <v>553</v>
      </c>
      <c r="L144" s="4"/>
      <c r="M144" s="4"/>
      <c r="N144" s="76"/>
      <c r="O144" s="76"/>
      <c r="P144" s="76" t="str">
        <f t="shared" si="12"/>
        <v>,ass0071_koku_seiketsu_kanja</v>
      </c>
      <c r="Q144" s="76" t="str">
        <f t="shared" si="13"/>
        <v>TEXT</v>
      </c>
      <c r="R144" s="76" t="str">
        <f t="shared" si="14"/>
        <v/>
      </c>
      <c r="S144" s="76" t="str">
        <f t="shared" si="15"/>
        <v/>
      </c>
      <c r="T144" s="76" t="str">
        <f t="shared" si="16"/>
        <v>-- 口腔清潔（患者の状態）</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417</v>
      </c>
      <c r="D145" s="13" t="s">
        <v>529</v>
      </c>
      <c r="E145" s="7"/>
      <c r="F145" s="7" t="s">
        <v>317</v>
      </c>
      <c r="G145" s="7" t="str">
        <f t="shared" si="3"/>
        <v>text</v>
      </c>
      <c r="H145" s="58"/>
      <c r="I145" s="23"/>
      <c r="J145" s="24" t="s">
        <v>552</v>
      </c>
      <c r="L145" s="4"/>
      <c r="M145" s="4"/>
      <c r="N145" s="76"/>
      <c r="O145" s="76"/>
      <c r="P145" s="76" t="str">
        <f t="shared" si="12"/>
        <v>,ass0071_shokuji_sesshu_kanja</v>
      </c>
      <c r="Q145" s="76" t="str">
        <f t="shared" si="13"/>
        <v>TEXT</v>
      </c>
      <c r="R145" s="76" t="str">
        <f t="shared" si="14"/>
        <v/>
      </c>
      <c r="S145" s="76" t="str">
        <f t="shared" si="15"/>
        <v/>
      </c>
      <c r="T145" s="76" t="str">
        <f t="shared" si="16"/>
        <v>-- 食事摂取（患者の状態）</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419</v>
      </c>
      <c r="D146" s="6" t="s">
        <v>530</v>
      </c>
      <c r="E146" s="8"/>
      <c r="F146" s="7" t="s">
        <v>317</v>
      </c>
      <c r="G146" s="7" t="str">
        <f t="shared" si="3"/>
        <v>text</v>
      </c>
      <c r="H146" s="26"/>
      <c r="I146" s="10"/>
      <c r="J146" s="11" t="s">
        <v>552</v>
      </c>
      <c r="L146" s="4"/>
      <c r="M146" s="4"/>
      <c r="N146" s="76"/>
      <c r="O146" s="76"/>
      <c r="P146" s="76" t="str">
        <f t="shared" si="12"/>
        <v>,ass0071_ifuku_chakudatsu_kanja</v>
      </c>
      <c r="Q146" s="76" t="str">
        <f t="shared" si="13"/>
        <v>TEXT</v>
      </c>
      <c r="R146" s="76" t="str">
        <f t="shared" si="14"/>
        <v/>
      </c>
      <c r="S146" s="76" t="str">
        <f t="shared" si="15"/>
        <v/>
      </c>
      <c r="T146" s="76" t="str">
        <f t="shared" si="16"/>
        <v>-- 衣服の着脱（患者の状態）</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408</v>
      </c>
      <c r="D147" s="13" t="s">
        <v>531</v>
      </c>
      <c r="E147" s="7"/>
      <c r="F147" s="7" t="s">
        <v>317</v>
      </c>
      <c r="G147" s="7" t="str">
        <f t="shared" si="3"/>
        <v>text</v>
      </c>
      <c r="H147" s="58"/>
      <c r="I147" s="23"/>
      <c r="J147" s="24" t="s">
        <v>550</v>
      </c>
      <c r="L147" s="4"/>
      <c r="M147" s="4"/>
      <c r="N147" s="76"/>
      <c r="O147" s="76"/>
      <c r="P147" s="76" t="str">
        <f t="shared" si="12"/>
        <v>,ass0071_shinryo_shiji</v>
      </c>
      <c r="Q147" s="76" t="str">
        <f t="shared" si="13"/>
        <v>TEXT</v>
      </c>
      <c r="R147" s="76" t="str">
        <f t="shared" si="14"/>
        <v/>
      </c>
      <c r="S147" s="76" t="str">
        <f t="shared" si="15"/>
        <v/>
      </c>
      <c r="T147" s="76" t="str">
        <f t="shared" si="16"/>
        <v>-- 診療・療養上の指示が通じる</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milscm_2023_009.sny_202310_backup_merge_dpc_hn.ass0071_shinryo_shiji IS '診療・療養上の指示が通じる';</v>
      </c>
      <c r="AT147" s="4"/>
      <c r="AU147" s="4"/>
      <c r="AV147" s="4"/>
      <c r="AW147" s="4"/>
      <c r="AX147" s="4"/>
      <c r="AY147" s="4"/>
      <c r="AZ147" s="4"/>
    </row>
    <row r="148" spans="1:52" s="25" customFormat="1">
      <c r="A148" s="4"/>
      <c r="B148" s="21">
        <f t="shared" si="2"/>
        <v>136</v>
      </c>
      <c r="C148" s="6" t="s">
        <v>410</v>
      </c>
      <c r="D148" s="6" t="s">
        <v>532</v>
      </c>
      <c r="E148" s="8"/>
      <c r="F148" s="7" t="s">
        <v>317</v>
      </c>
      <c r="G148" s="7" t="str">
        <f t="shared" si="3"/>
        <v>text</v>
      </c>
      <c r="H148" s="26"/>
      <c r="I148" s="10"/>
      <c r="J148" s="11" t="s">
        <v>551</v>
      </c>
      <c r="L148" s="4"/>
      <c r="M148" s="4"/>
      <c r="N148" s="76"/>
      <c r="O148" s="76"/>
      <c r="P148" s="76" t="str">
        <f t="shared" si="12"/>
        <v>,ass0071_kiken_kodo</v>
      </c>
      <c r="Q148" s="76" t="str">
        <f t="shared" si="13"/>
        <v>TEXT</v>
      </c>
      <c r="R148" s="76" t="str">
        <f t="shared" si="14"/>
        <v/>
      </c>
      <c r="S148" s="76" t="str">
        <f t="shared" si="15"/>
        <v/>
      </c>
      <c r="T148" s="76" t="str">
        <f t="shared" si="16"/>
        <v>-- 危険行動</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milscm_2023_009.sny_202310_backup_merge_dpc_hn.ass0071_kiken_kodo IS '危険行動';</v>
      </c>
      <c r="AT148" s="4"/>
      <c r="AU148" s="4"/>
      <c r="AV148" s="4"/>
      <c r="AW148" s="4"/>
      <c r="AX148" s="4"/>
      <c r="AY148" s="4"/>
      <c r="AZ148" s="4"/>
    </row>
    <row r="149" spans="1:52" s="25" customFormat="1">
      <c r="A149" s="4"/>
      <c r="B149" s="21">
        <f t="shared" si="2"/>
        <v>137</v>
      </c>
      <c r="C149" s="13" t="s">
        <v>423</v>
      </c>
      <c r="D149" s="13" t="s">
        <v>533</v>
      </c>
      <c r="E149" s="7"/>
      <c r="F149" s="7" t="s">
        <v>317</v>
      </c>
      <c r="G149" s="7" t="str">
        <f t="shared" si="3"/>
        <v>text</v>
      </c>
      <c r="H149" s="58"/>
      <c r="I149" s="23"/>
      <c r="J149" s="24" t="s">
        <v>554</v>
      </c>
      <c r="L149" s="4"/>
      <c r="M149" s="4"/>
      <c r="N149" s="76"/>
      <c r="O149" s="76"/>
      <c r="P149" s="76" t="str">
        <f t="shared" si="12"/>
        <v>,ass0071_ijo_kaijo</v>
      </c>
      <c r="Q149" s="76" t="str">
        <f t="shared" si="13"/>
        <v>TEXT</v>
      </c>
      <c r="R149" s="76" t="str">
        <f t="shared" si="14"/>
        <v/>
      </c>
      <c r="S149" s="76" t="str">
        <f t="shared" si="15"/>
        <v/>
      </c>
      <c r="T149" s="76" t="str">
        <f t="shared" si="16"/>
        <v>-- 移乗（介助の状態）</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milscm_2023_009.sny_202310_backup_merge_dpc_hn.ass0071_ijo_kaijo IS '移乗（介助の状態）';</v>
      </c>
      <c r="AT149" s="4"/>
      <c r="AU149" s="4"/>
      <c r="AV149" s="4"/>
      <c r="AW149" s="4"/>
      <c r="AX149" s="4"/>
      <c r="AY149" s="4"/>
      <c r="AZ149" s="4"/>
    </row>
    <row r="150" spans="1:52" s="25" customFormat="1" ht="30">
      <c r="A150" s="4"/>
      <c r="B150" s="21">
        <f t="shared" si="2"/>
        <v>138</v>
      </c>
      <c r="C150" s="13" t="s">
        <v>425</v>
      </c>
      <c r="D150" s="13" t="s">
        <v>534</v>
      </c>
      <c r="E150" s="7"/>
      <c r="F150" s="7" t="s">
        <v>317</v>
      </c>
      <c r="G150" s="7" t="str">
        <f t="shared" si="3"/>
        <v>text</v>
      </c>
      <c r="H150" s="58"/>
      <c r="I150" s="23"/>
      <c r="J150" s="24" t="s">
        <v>554</v>
      </c>
      <c r="L150" s="4"/>
      <c r="M150" s="4"/>
      <c r="N150" s="76"/>
      <c r="O150" s="76"/>
      <c r="P150" s="76" t="str">
        <f t="shared" si="12"/>
        <v>,ass0071_koku_seiketsu_kaijo</v>
      </c>
      <c r="Q150" s="76" t="str">
        <f t="shared" si="13"/>
        <v>TEXT</v>
      </c>
      <c r="R150" s="76" t="str">
        <f t="shared" si="14"/>
        <v/>
      </c>
      <c r="S150" s="76" t="str">
        <f t="shared" si="15"/>
        <v/>
      </c>
      <c r="T150" s="76" t="str">
        <f t="shared" si="16"/>
        <v>-- 口腔清潔（介助の状態）</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427</v>
      </c>
      <c r="D151" s="13" t="s">
        <v>535</v>
      </c>
      <c r="E151" s="7"/>
      <c r="F151" s="7" t="s">
        <v>317</v>
      </c>
      <c r="G151" s="7" t="str">
        <f t="shared" si="3"/>
        <v>text</v>
      </c>
      <c r="H151" s="58"/>
      <c r="I151" s="23"/>
      <c r="J151" s="24" t="s">
        <v>554</v>
      </c>
      <c r="L151" s="4"/>
      <c r="M151" s="4"/>
      <c r="N151" s="76"/>
      <c r="O151" s="76"/>
      <c r="P151" s="76" t="str">
        <f t="shared" si="12"/>
        <v>,ass0071_shokuji_sesshu_kaijo</v>
      </c>
      <c r="Q151" s="76" t="str">
        <f t="shared" si="13"/>
        <v>TEXT</v>
      </c>
      <c r="R151" s="76" t="str">
        <f t="shared" si="14"/>
        <v/>
      </c>
      <c r="S151" s="76" t="str">
        <f t="shared" si="15"/>
        <v/>
      </c>
      <c r="T151" s="76" t="str">
        <f t="shared" si="16"/>
        <v>-- 食事摂取（介助の状態）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429</v>
      </c>
      <c r="D152" s="13" t="s">
        <v>536</v>
      </c>
      <c r="E152" s="7"/>
      <c r="F152" s="7" t="s">
        <v>317</v>
      </c>
      <c r="G152" s="7" t="str">
        <f t="shared" si="3"/>
        <v>text</v>
      </c>
      <c r="H152" s="58"/>
      <c r="I152" s="23"/>
      <c r="J152" s="24" t="s">
        <v>554</v>
      </c>
      <c r="L152" s="4"/>
      <c r="M152" s="4"/>
      <c r="N152" s="76"/>
      <c r="O152" s="76"/>
      <c r="P152" s="76" t="str">
        <f t="shared" si="12"/>
        <v>,ass0071_ifuku_chakudatsu_kaijo</v>
      </c>
      <c r="Q152" s="76" t="str">
        <f t="shared" si="13"/>
        <v>TEXT</v>
      </c>
      <c r="R152" s="76" t="str">
        <f t="shared" si="14"/>
        <v/>
      </c>
      <c r="S152" s="76" t="str">
        <f t="shared" si="15"/>
        <v/>
      </c>
      <c r="T152" s="76" t="str">
        <f t="shared" si="16"/>
        <v>-- 衣服の着脱（介助の状態）</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537</v>
      </c>
      <c r="D153" s="57" t="s">
        <v>538</v>
      </c>
      <c r="E153" s="56"/>
      <c r="F153" s="56" t="s">
        <v>317</v>
      </c>
      <c r="G153" s="56" t="str">
        <f t="shared" si="3"/>
        <v>text</v>
      </c>
      <c r="H153" s="59"/>
      <c r="I153" s="60"/>
      <c r="J153" s="61" t="s">
        <v>557</v>
      </c>
      <c r="L153" s="4"/>
      <c r="M153" s="4"/>
      <c r="N153" s="76"/>
      <c r="O153" s="76"/>
      <c r="P153" s="76" t="str">
        <f t="shared" si="12"/>
        <v>,tar0010_kango_hantei</v>
      </c>
      <c r="Q153" s="76" t="str">
        <f t="shared" si="13"/>
        <v>TEXT</v>
      </c>
      <c r="R153" s="76" t="str">
        <f t="shared" si="14"/>
        <v/>
      </c>
      <c r="S153" s="76" t="str">
        <f t="shared" si="15"/>
        <v/>
      </c>
      <c r="T153" s="76" t="str">
        <f t="shared" si="16"/>
        <v>-- 看護必要度判定対象</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milscm_2023_009.sny_202310_backup_merge_dpc_hn.tar0010_kango_hantei IS '看護必要度判定対象';</v>
      </c>
      <c r="AT153" s="4"/>
      <c r="AU153" s="4"/>
      <c r="AV153" s="4"/>
      <c r="AW153" s="4"/>
      <c r="AX153" s="4"/>
      <c r="AY153" s="4"/>
      <c r="AZ153" s="4"/>
    </row>
    <row r="154" spans="1:52">
      <c r="N154" s="76" t="s">
        <v>142</v>
      </c>
      <c r="O154" s="76"/>
      <c r="P154" s="76"/>
      <c r="Q154" s="76"/>
      <c r="R154" s="76"/>
      <c r="S154" s="76"/>
      <c r="T154" s="76"/>
      <c r="V154" s="25"/>
      <c r="W154" s="25"/>
      <c r="X154" s="25"/>
      <c r="Y154" s="25"/>
      <c r="Z154" s="25"/>
      <c r="AJ154"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ENT_01_C1-05</v>
      </c>
      <c r="E6" s="234"/>
      <c r="F6" s="234"/>
      <c r="G6" s="234"/>
      <c r="H6" s="234"/>
      <c r="I6" s="234"/>
      <c r="J6" s="235"/>
    </row>
    <row r="7" spans="1:45">
      <c r="B7" s="223" t="s">
        <v>115</v>
      </c>
      <c r="C7" s="224"/>
      <c r="D7" s="225" t="s">
        <v>181</v>
      </c>
      <c r="E7" s="226"/>
      <c r="F7" s="226"/>
      <c r="G7" s="226"/>
      <c r="H7" s="226"/>
      <c r="I7" s="226"/>
      <c r="J7" s="227"/>
    </row>
    <row r="8" spans="1:45">
      <c r="B8" s="223" t="s">
        <v>116</v>
      </c>
      <c r="C8" s="224"/>
      <c r="D8" s="225" t="str">
        <f>エンティティ一覧!AE2&amp;"_"&amp;D5&amp;"_merge_dpc_ff1"</f>
        <v>sny_202310_backup_merge_dpc_ff1</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milscm_2023_009.sny_202310_backup_merge_dpc_ff1;</v>
      </c>
      <c r="O10" s="76"/>
      <c r="P10" s="76"/>
      <c r="Q10" s="76"/>
      <c r="R10" s="76"/>
      <c r="S10" s="76"/>
      <c r="T10" s="76"/>
      <c r="AJ10" s="76" t="str">
        <f>"ALTER TABLE ONLY "&amp;エンティティ一覧!$O$2&amp;"."&amp;D$8</f>
        <v>ALTER TABLE ONLY milscm_2023_009.sny_202310_backup_merge_dpc_ff1</v>
      </c>
      <c r="AS10" s="76" t="str">
        <f>"ALTER TABLE "&amp;エンティティ一覧!$O$2&amp;"."&amp;D$8&amp;" OWNER TO pgmisgrp1;"</f>
        <v>ALTER TABLE milscm_2023_009.sny_202310_backup_merge_dpc_ff1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v>
      </c>
      <c r="O11" s="76"/>
      <c r="P11" s="76"/>
      <c r="Q11" s="76"/>
      <c r="R11" s="76"/>
      <c r="S11" s="76"/>
      <c r="T11" s="76"/>
      <c r="AJ11" s="76" t="str">
        <f>"ADD CONSTRAINT "&amp;D$8&amp;"_pkey PRIMARY KEY"</f>
        <v>ADD CONSTRAINT sny_202310_backup_merge_dpc_ff1_pkey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 IS 'バックアップ_DPC調査データ_様式1';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milscm_2023_009.sny_202310_backup_merge_dpc_ff1.facility_id IS '施設ID';</v>
      </c>
    </row>
    <row r="16" spans="1:45" s="25" customFormat="1" ht="87">
      <c r="B16" s="21">
        <f t="shared" si="2"/>
        <v>4</v>
      </c>
      <c r="C16" s="6" t="s">
        <v>318</v>
      </c>
      <c r="D16" s="6" t="s">
        <v>206</v>
      </c>
      <c r="E16" s="8" t="s">
        <v>127</v>
      </c>
      <c r="F16" s="7" t="s">
        <v>317</v>
      </c>
      <c r="G16" s="7" t="str">
        <f t="shared" ref="G16:G17" si="5">IF(F16="フラグ","boolean",IF(F16="文字列","text",IF(F16="整数","integer",IF(F16="実数","numeric",""))))</f>
        <v>text</v>
      </c>
      <c r="H16" s="26"/>
      <c r="I16" s="10" t="s">
        <v>127</v>
      </c>
      <c r="J16" s="53" t="s">
        <v>902</v>
      </c>
      <c r="M16" s="4"/>
      <c r="N16" s="76"/>
      <c r="O16" s="76"/>
      <c r="P16" s="76" t="str">
        <f t="shared" si="4"/>
        <v>,shinryo_ym</v>
      </c>
      <c r="Q16" s="76" t="str">
        <f t="shared" si="0"/>
        <v>TEXT</v>
      </c>
      <c r="R16" s="76" t="str">
        <f t="shared" si="1"/>
        <v/>
      </c>
      <c r="S16" s="76" t="str">
        <f t="shared" ref="S16:S47" si="6">IF(I16="○","NOT NULL","")</f>
        <v>NOT NULL</v>
      </c>
      <c r="T16" s="76" t="str">
        <f t="shared" ref="T16:T47" si="7">"--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milscm_2023_009.sny_202310_backup_merge_dpc_ff1.shinryo_ym IS '診療年月';</v>
      </c>
    </row>
    <row r="17" spans="1:45" s="25" customFormat="1">
      <c r="B17" s="21">
        <f t="shared" si="2"/>
        <v>5</v>
      </c>
      <c r="C17" s="6" t="s">
        <v>207</v>
      </c>
      <c r="D17" s="6" t="s">
        <v>208</v>
      </c>
      <c r="E17" s="8"/>
      <c r="F17" s="7" t="s">
        <v>317</v>
      </c>
      <c r="G17" s="7" t="str">
        <f t="shared" si="5"/>
        <v>text</v>
      </c>
      <c r="H17" s="58" t="s">
        <v>259</v>
      </c>
      <c r="I17" s="23" t="s">
        <v>127</v>
      </c>
      <c r="J17" s="24" t="s">
        <v>808</v>
      </c>
      <c r="N17" s="76"/>
      <c r="O17" s="76"/>
      <c r="P17" s="76" t="str">
        <f t="shared" si="4"/>
        <v>,data_type</v>
      </c>
      <c r="Q17" s="76" t="str">
        <f t="shared" si="0"/>
        <v>TEXT</v>
      </c>
      <c r="R17" s="76" t="str">
        <f t="shared" si="1"/>
        <v>default 'DPC'</v>
      </c>
      <c r="S17" s="76" t="str">
        <f t="shared" si="6"/>
        <v>NOT NULL</v>
      </c>
      <c r="T17" s="76" t="str">
        <f t="shared" si="7"/>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6"/>
        <v>NOT NULL</v>
      </c>
      <c r="T18" s="76" t="str">
        <f t="shared" si="7"/>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6"/>
        <v>NOT NULL</v>
      </c>
      <c r="T19" s="76" t="str">
        <f t="shared" si="7"/>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6"/>
        <v>NOT NULL</v>
      </c>
      <c r="T20" s="76" t="str">
        <f t="shared" si="7"/>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6"/>
        <v>NOT NULL</v>
      </c>
      <c r="T21" s="76" t="str">
        <f t="shared" si="7"/>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6"/>
        <v>NOT NULL</v>
      </c>
      <c r="T22" s="76" t="str">
        <f t="shared" si="7"/>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6"/>
        <v>NOT NULL</v>
      </c>
      <c r="T23" s="76" t="str">
        <f t="shared" si="7"/>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6"/>
        <v>NOT NULL</v>
      </c>
      <c r="T24" s="76" t="str">
        <f t="shared" si="7"/>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6"/>
        <v/>
      </c>
      <c r="T25" s="76" t="str">
        <f t="shared" si="7"/>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6"/>
        <v/>
      </c>
      <c r="T26" s="76" t="str">
        <f t="shared" si="7"/>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6"/>
        <v/>
      </c>
      <c r="T27" s="76" t="str">
        <f t="shared" si="7"/>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6"/>
        <v/>
      </c>
      <c r="T28" s="76" t="str">
        <f t="shared" si="7"/>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6"/>
        <v/>
      </c>
      <c r="T29" s="76" t="str">
        <f t="shared" si="7"/>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6"/>
        <v/>
      </c>
      <c r="T30" s="76" t="str">
        <f t="shared" si="7"/>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milscm_2023_009.sny_202310_backup_merge_dpc_ff1.a000020_shokai_flag IS '他院よりの紹介の有無';</v>
      </c>
    </row>
    <row r="31" spans="1:45" s="25" customFormat="1" ht="30">
      <c r="A31" s="4"/>
      <c r="B31" s="21">
        <f t="shared" si="2"/>
        <v>19</v>
      </c>
      <c r="C31" s="6" t="s">
        <v>578</v>
      </c>
      <c r="D31" s="6" t="s">
        <v>579</v>
      </c>
      <c r="E31" s="8"/>
      <c r="F31" s="7" t="s">
        <v>317</v>
      </c>
      <c r="G31" s="7" t="str">
        <f t="shared" si="3"/>
        <v>text</v>
      </c>
      <c r="H31" s="26"/>
      <c r="I31" s="10"/>
      <c r="J31" s="11" t="s">
        <v>813</v>
      </c>
      <c r="N31" s="76"/>
      <c r="O31" s="76"/>
      <c r="P31" s="76" t="str">
        <f t="shared" si="4"/>
        <v>,a000020_gairai_nyuin_flag</v>
      </c>
      <c r="Q31" s="76" t="str">
        <f t="shared" si="0"/>
        <v>TEXT</v>
      </c>
      <c r="R31" s="76" t="str">
        <f t="shared" si="1"/>
        <v/>
      </c>
      <c r="S31" s="76" t="str">
        <f t="shared" si="6"/>
        <v/>
      </c>
      <c r="T31" s="76" t="str">
        <f t="shared" si="7"/>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4"/>
        <v>,a000020_yotei_nyuin</v>
      </c>
      <c r="Q32" s="76" t="str">
        <f t="shared" si="0"/>
        <v>TEXT</v>
      </c>
      <c r="R32" s="76" t="str">
        <f t="shared" si="1"/>
        <v/>
      </c>
      <c r="S32" s="76" t="str">
        <f t="shared" si="6"/>
        <v/>
      </c>
      <c r="T32" s="76" t="str">
        <f t="shared" si="7"/>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4"/>
        <v>,a000020_hanso_flag</v>
      </c>
      <c r="Q33" s="76" t="str">
        <f t="shared" si="0"/>
        <v>TEXT</v>
      </c>
      <c r="R33" s="76" t="str">
        <f t="shared" si="1"/>
        <v/>
      </c>
      <c r="S33" s="76" t="str">
        <f t="shared" si="6"/>
        <v/>
      </c>
      <c r="T33" s="76" t="str">
        <f t="shared" si="7"/>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milscm_2023_009.sny_202310_backup_merge_dpc_ff1.a000020_hanso_flag IS '救急車による搬送の有無';</v>
      </c>
    </row>
    <row r="34" spans="1:52" s="25" customFormat="1" ht="30">
      <c r="A34" s="4"/>
      <c r="B34" s="21">
        <f t="shared" si="2"/>
        <v>22</v>
      </c>
      <c r="C34" s="13" t="s">
        <v>584</v>
      </c>
      <c r="D34" s="13" t="s">
        <v>585</v>
      </c>
      <c r="E34" s="7"/>
      <c r="F34" s="7" t="s">
        <v>317</v>
      </c>
      <c r="G34" s="7" t="str">
        <f t="shared" si="3"/>
        <v>text</v>
      </c>
      <c r="H34" s="58"/>
      <c r="I34" s="23"/>
      <c r="J34" s="24" t="s">
        <v>813</v>
      </c>
      <c r="N34" s="76"/>
      <c r="O34" s="76"/>
      <c r="P34" s="76" t="str">
        <f t="shared" si="4"/>
        <v>,a000020_nyuin_homecare_flag</v>
      </c>
      <c r="Q34" s="76" t="str">
        <f t="shared" si="0"/>
        <v>TEXT</v>
      </c>
      <c r="R34" s="76" t="str">
        <f t="shared" si="1"/>
        <v/>
      </c>
      <c r="S34" s="76" t="str">
        <f t="shared" si="6"/>
        <v/>
      </c>
      <c r="T34" s="76" t="str">
        <f t="shared" si="7"/>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milscm_2023_009.sny_202310_backup_merge_dpc_ff1.a000020_nyuin_homecare_flag IS '入院前の在宅医療の有無';</v>
      </c>
    </row>
    <row r="35" spans="1:52" s="25" customFormat="1" ht="191.4">
      <c r="A35" s="4"/>
      <c r="B35" s="21">
        <f t="shared" si="2"/>
        <v>23</v>
      </c>
      <c r="C35" s="6" t="s">
        <v>586</v>
      </c>
      <c r="D35" s="6" t="s">
        <v>587</v>
      </c>
      <c r="E35" s="8"/>
      <c r="F35" s="7" t="s">
        <v>317</v>
      </c>
      <c r="G35" s="7" t="str">
        <f t="shared" si="3"/>
        <v>text</v>
      </c>
      <c r="H35" s="26"/>
      <c r="I35" s="10"/>
      <c r="J35" s="11" t="s">
        <v>814</v>
      </c>
      <c r="N35" s="76"/>
      <c r="O35" s="76"/>
      <c r="P35" s="76" t="str">
        <f t="shared" si="4"/>
        <v>,a000020_jisho_flag</v>
      </c>
      <c r="Q35" s="76" t="str">
        <f t="shared" si="0"/>
        <v>TEXT</v>
      </c>
      <c r="R35" s="76" t="str">
        <f t="shared" si="1"/>
        <v/>
      </c>
      <c r="S35" s="76" t="str">
        <f t="shared" si="6"/>
        <v/>
      </c>
      <c r="T35" s="76" t="str">
        <f t="shared" si="7"/>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milscm_2023_009.sny_202310_backup_merge_dpc_ff1.a000020_jisho_flag IS '自傷行為・自殺企図の有無';</v>
      </c>
    </row>
    <row r="36" spans="1:52" s="25" customFormat="1" ht="52.2">
      <c r="A36" s="4"/>
      <c r="B36" s="21">
        <f t="shared" si="2"/>
        <v>24</v>
      </c>
      <c r="C36" s="13" t="s">
        <v>588</v>
      </c>
      <c r="D36" s="13" t="s">
        <v>589</v>
      </c>
      <c r="E36" s="7"/>
      <c r="F36" s="7" t="s">
        <v>317</v>
      </c>
      <c r="G36" s="7" t="str">
        <f t="shared" si="3"/>
        <v>text</v>
      </c>
      <c r="H36" s="26"/>
      <c r="I36" s="10"/>
      <c r="J36" s="11" t="s">
        <v>815</v>
      </c>
      <c r="N36" s="76"/>
      <c r="O36" s="76"/>
      <c r="P36" s="76" t="str">
        <f t="shared" si="4"/>
        <v>,a000020_kako_jisho_flag</v>
      </c>
      <c r="Q36" s="76" t="str">
        <f t="shared" si="0"/>
        <v>TEXT</v>
      </c>
      <c r="R36" s="76" t="str">
        <f t="shared" si="1"/>
        <v/>
      </c>
      <c r="S36" s="76" t="str">
        <f t="shared" si="6"/>
        <v/>
      </c>
      <c r="T36" s="76" t="str">
        <f t="shared" si="7"/>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4"/>
        <v>,a000030_taiin_ymd</v>
      </c>
      <c r="Q37" s="76" t="str">
        <f t="shared" si="0"/>
        <v>TEXT</v>
      </c>
      <c r="R37" s="76" t="str">
        <f t="shared" si="1"/>
        <v/>
      </c>
      <c r="S37" s="76" t="str">
        <f t="shared" si="6"/>
        <v/>
      </c>
      <c r="T37" s="76" t="str">
        <f t="shared" si="7"/>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4"/>
        <v>,a000030_taiin_saki</v>
      </c>
      <c r="Q38" s="76" t="str">
        <f t="shared" si="0"/>
        <v>TEXT</v>
      </c>
      <c r="R38" s="76" t="str">
        <f t="shared" si="1"/>
        <v/>
      </c>
      <c r="S38" s="76" t="str">
        <f t="shared" si="6"/>
        <v/>
      </c>
      <c r="T38" s="76" t="str">
        <f t="shared" si="7"/>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4"/>
        <v>,a000030_taiin_tenki</v>
      </c>
      <c r="Q39" s="76" t="str">
        <f t="shared" si="0"/>
        <v>TEXT</v>
      </c>
      <c r="R39" s="76" t="str">
        <f t="shared" si="1"/>
        <v/>
      </c>
      <c r="S39" s="76" t="str">
        <f t="shared" si="6"/>
        <v/>
      </c>
      <c r="T39" s="76" t="str">
        <f t="shared" si="7"/>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milscm_2023_009.sny_202310_backup_merge_dpc_ff1.a000030_taiin_tenki IS '退院時転帰';</v>
      </c>
    </row>
    <row r="40" spans="1:52" s="25" customFormat="1" ht="69.599999999999994">
      <c r="A40" s="4"/>
      <c r="B40" s="21">
        <f t="shared" si="2"/>
        <v>28</v>
      </c>
      <c r="C40" s="6" t="s">
        <v>595</v>
      </c>
      <c r="D40" s="6" t="s">
        <v>596</v>
      </c>
      <c r="E40" s="8"/>
      <c r="F40" s="7" t="s">
        <v>317</v>
      </c>
      <c r="G40" s="7" t="str">
        <f t="shared" si="3"/>
        <v>text</v>
      </c>
      <c r="H40" s="26"/>
      <c r="I40" s="10"/>
      <c r="J40" s="11" t="s">
        <v>816</v>
      </c>
      <c r="N40" s="76"/>
      <c r="O40" s="76"/>
      <c r="P40" s="76" t="str">
        <f t="shared" si="4"/>
        <v>,a000030_death24_flag</v>
      </c>
      <c r="Q40" s="76" t="str">
        <f t="shared" si="0"/>
        <v>TEXT</v>
      </c>
      <c r="R40" s="76" t="str">
        <f t="shared" si="1"/>
        <v/>
      </c>
      <c r="S40" s="76" t="str">
        <f t="shared" si="6"/>
        <v/>
      </c>
      <c r="T40" s="76" t="str">
        <f t="shared" si="7"/>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milscm_2023_009.sny_202310_backup_merge_dpc_ff1.a000030_death24_flag IS '24時間以内の死亡の有無';</v>
      </c>
    </row>
    <row r="41" spans="1:52" s="25" customFormat="1" ht="30">
      <c r="A41" s="4"/>
      <c r="B41" s="21">
        <f t="shared" si="2"/>
        <v>29</v>
      </c>
      <c r="C41" s="13" t="s">
        <v>597</v>
      </c>
      <c r="D41" s="13" t="s">
        <v>598</v>
      </c>
      <c r="E41" s="7"/>
      <c r="F41" s="7" t="s">
        <v>317</v>
      </c>
      <c r="G41" s="7" t="str">
        <f t="shared" si="3"/>
        <v>text</v>
      </c>
      <c r="H41" s="58"/>
      <c r="I41" s="23"/>
      <c r="J41" s="24" t="s">
        <v>817</v>
      </c>
      <c r="N41" s="76"/>
      <c r="O41" s="76"/>
      <c r="P41" s="76" t="str">
        <f t="shared" si="4"/>
        <v>,a000030_taiin_homecare_flag</v>
      </c>
      <c r="Q41" s="76" t="str">
        <f t="shared" si="0"/>
        <v>TEXT</v>
      </c>
      <c r="R41" s="76" t="str">
        <f t="shared" si="1"/>
        <v/>
      </c>
      <c r="S41" s="76" t="str">
        <f t="shared" si="6"/>
        <v/>
      </c>
      <c r="T41" s="76" t="str">
        <f t="shared" si="7"/>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4"/>
        <v>,a000031_ff1_start_ymd</v>
      </c>
      <c r="Q42" s="76" t="str">
        <f t="shared" si="0"/>
        <v>TEXT</v>
      </c>
      <c r="R42" s="76" t="str">
        <f t="shared" si="1"/>
        <v/>
      </c>
      <c r="S42" s="76" t="str">
        <f t="shared" si="6"/>
        <v/>
      </c>
      <c r="T42" s="76" t="str">
        <f t="shared" si="7"/>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4"/>
        <v>,a000031_ff1_end_ymd</v>
      </c>
      <c r="Q43" s="76" t="str">
        <f t="shared" si="0"/>
        <v>TEXT</v>
      </c>
      <c r="R43" s="76" t="str">
        <f t="shared" si="1"/>
        <v/>
      </c>
      <c r="S43" s="76" t="str">
        <f t="shared" si="6"/>
        <v/>
      </c>
      <c r="T43" s="76" t="str">
        <f t="shared" si="7"/>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milscm_2023_009.sny_202310_backup_merge_dpc_ff1.a000031_ff1_end_ymd IS '様式1終了日';</v>
      </c>
    </row>
    <row r="44" spans="1:52" s="25" customFormat="1" ht="30">
      <c r="A44" s="4"/>
      <c r="B44" s="21">
        <f t="shared" si="2"/>
        <v>32</v>
      </c>
      <c r="C44" s="6" t="s">
        <v>603</v>
      </c>
      <c r="D44" s="6" t="s">
        <v>604</v>
      </c>
      <c r="E44" s="8"/>
      <c r="F44" s="7" t="s">
        <v>317</v>
      </c>
      <c r="G44" s="7" t="str">
        <f t="shared" si="3"/>
        <v>text</v>
      </c>
      <c r="H44" s="26"/>
      <c r="I44" s="10"/>
      <c r="J44" s="11"/>
      <c r="N44" s="76"/>
      <c r="O44" s="76"/>
      <c r="P44" s="76" t="str">
        <f t="shared" si="4"/>
        <v>,a000040_department_code</v>
      </c>
      <c r="Q44" s="76" t="str">
        <f t="shared" si="0"/>
        <v>TEXT</v>
      </c>
      <c r="R44" s="76" t="str">
        <f t="shared" si="1"/>
        <v/>
      </c>
      <c r="S44" s="76" t="str">
        <f t="shared" si="6"/>
        <v/>
      </c>
      <c r="T44" s="76" t="str">
        <f t="shared" si="7"/>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4"/>
        <v>,a000040_tenka_flag</v>
      </c>
      <c r="Q45" s="76" t="str">
        <f t="shared" si="0"/>
        <v>TEXT</v>
      </c>
      <c r="R45" s="76" t="str">
        <f t="shared" si="1"/>
        <v/>
      </c>
      <c r="S45" s="76" t="str">
        <f t="shared" si="6"/>
        <v/>
      </c>
      <c r="T45" s="76" t="str">
        <f t="shared" si="7"/>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milscm_2023_009.sny_202310_backup_merge_dpc_ff1.a000040_tenka_flag IS '転科の有無';</v>
      </c>
    </row>
    <row r="46" spans="1:52" s="25" customFormat="1" ht="30">
      <c r="A46" s="4"/>
      <c r="B46" s="21">
        <f t="shared" si="2"/>
        <v>34</v>
      </c>
      <c r="C46" s="6" t="s">
        <v>607</v>
      </c>
      <c r="D46" s="6" t="s">
        <v>608</v>
      </c>
      <c r="E46" s="8"/>
      <c r="F46" s="7" t="s">
        <v>317</v>
      </c>
      <c r="G46" s="7" t="str">
        <f t="shared" si="3"/>
        <v>text</v>
      </c>
      <c r="H46" s="58"/>
      <c r="I46" s="23"/>
      <c r="J46" s="24"/>
      <c r="N46" s="76"/>
      <c r="O46" s="76"/>
      <c r="P46" s="76" t="str">
        <f t="shared" si="4"/>
        <v>,a000050_ippan_ward_flag</v>
      </c>
      <c r="Q46" s="76" t="str">
        <f t="shared" si="0"/>
        <v>TEXT</v>
      </c>
      <c r="R46" s="76" t="str">
        <f t="shared" si="1"/>
        <v/>
      </c>
      <c r="S46" s="76" t="str">
        <f t="shared" si="6"/>
        <v/>
      </c>
      <c r="T46" s="76" t="str">
        <f t="shared" si="7"/>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milscm_2023_009.sny_202310_backup_merge_dpc_ff1.a000050_ippan_ward_flag IS '調査対象となる一般病棟への入院の有無';</v>
      </c>
    </row>
    <row r="47" spans="1:52" s="25" customFormat="1" ht="30">
      <c r="A47" s="4"/>
      <c r="B47" s="21">
        <f t="shared" si="2"/>
        <v>35</v>
      </c>
      <c r="C47" s="13" t="s">
        <v>609</v>
      </c>
      <c r="D47" s="13" t="s">
        <v>610</v>
      </c>
      <c r="E47" s="7"/>
      <c r="F47" s="7" t="s">
        <v>317</v>
      </c>
      <c r="G47" s="7" t="str">
        <f t="shared" si="3"/>
        <v>text</v>
      </c>
      <c r="H47" s="26"/>
      <c r="I47" s="10"/>
      <c r="J47" s="11"/>
      <c r="N47" s="76"/>
      <c r="O47" s="76"/>
      <c r="P47" s="76" t="str">
        <f t="shared" si="4"/>
        <v>,a000050_seishin_ward_flag</v>
      </c>
      <c r="Q47" s="76" t="str">
        <f t="shared" si="0"/>
        <v>TEXT</v>
      </c>
      <c r="R47" s="76" t="str">
        <f t="shared" si="1"/>
        <v/>
      </c>
      <c r="S47" s="76" t="str">
        <f t="shared" si="6"/>
        <v/>
      </c>
      <c r="T47" s="76" t="str">
        <f t="shared" si="7"/>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milscm_2023_009.sny_202310_backup_merge_dpc_ff1.a000050_seishin_ward_flag IS '調査対象となる精神病棟への入院の有無';</v>
      </c>
      <c r="AT47" s="4"/>
      <c r="AU47" s="4"/>
    </row>
    <row r="48" spans="1:52" s="25" customFormat="1" ht="30">
      <c r="A48" s="4"/>
      <c r="B48" s="21">
        <f t="shared" si="2"/>
        <v>36</v>
      </c>
      <c r="C48" s="13" t="s">
        <v>611</v>
      </c>
      <c r="D48" s="13" t="s">
        <v>612</v>
      </c>
      <c r="E48" s="7"/>
      <c r="F48" s="7" t="s">
        <v>317</v>
      </c>
      <c r="G48" s="7" t="str">
        <f t="shared" si="3"/>
        <v>text</v>
      </c>
      <c r="H48" s="26"/>
      <c r="I48" s="10"/>
      <c r="J48" s="11"/>
      <c r="L48" s="4"/>
      <c r="N48" s="76"/>
      <c r="O48" s="76"/>
      <c r="P48" s="76" t="str">
        <f t="shared" ref="P48:P111" si="8">IF(B48&lt;&gt;1,","&amp;D48,D48)</f>
        <v>,a000050_other_ward_flag</v>
      </c>
      <c r="Q48" s="76" t="str">
        <f t="shared" ref="Q48:Q111" si="9">UPPER(G48)</f>
        <v>TEXT</v>
      </c>
      <c r="R48" s="76" t="str">
        <f t="shared" ref="R48:R111" si="10">IF(H48&lt;&gt;"","default "&amp;IF(G48="text","'"&amp;H48&amp;"'",H48),"")</f>
        <v/>
      </c>
      <c r="S48" s="76" t="str">
        <f t="shared" ref="S48:S111" si="11">IF(I48="○","NOT NULL","")</f>
        <v/>
      </c>
      <c r="T48" s="76" t="str">
        <f t="shared" ref="T48:T111" si="12">"-- "&amp;C48</f>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613</v>
      </c>
      <c r="D49" s="13" t="s">
        <v>614</v>
      </c>
      <c r="E49" s="7"/>
      <c r="F49" s="7" t="s">
        <v>317</v>
      </c>
      <c r="G49" s="7" t="str">
        <f t="shared" si="3"/>
        <v>text</v>
      </c>
      <c r="H49" s="58"/>
      <c r="I49" s="23"/>
      <c r="J49" s="24" t="s">
        <v>818</v>
      </c>
      <c r="L49" s="4"/>
      <c r="N49" s="76"/>
      <c r="O49" s="76"/>
      <c r="P49" s="76" t="str">
        <f t="shared" si="8"/>
        <v>,a000060_shinryo_purpose</v>
      </c>
      <c r="Q49" s="76" t="str">
        <f t="shared" si="9"/>
        <v>TEXT</v>
      </c>
      <c r="R49" s="76" t="str">
        <f t="shared" si="10"/>
        <v/>
      </c>
      <c r="S49" s="76" t="str">
        <f t="shared" si="11"/>
        <v/>
      </c>
      <c r="T49" s="76" t="str">
        <f t="shared" si="12"/>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8"/>
        <v>,a000060_trial_flag</v>
      </c>
      <c r="Q50" s="76" t="str">
        <f t="shared" si="9"/>
        <v>TEXT</v>
      </c>
      <c r="R50" s="76" t="str">
        <f t="shared" si="10"/>
        <v/>
      </c>
      <c r="S50" s="76" t="str">
        <f t="shared" si="11"/>
        <v/>
      </c>
      <c r="T50" s="76" t="str">
        <f t="shared" si="12"/>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8"/>
        <v>,a000070_zentaiin_ymd</v>
      </c>
      <c r="Q51" s="76" t="str">
        <f t="shared" si="9"/>
        <v>TEXT</v>
      </c>
      <c r="R51" s="76" t="str">
        <f t="shared" si="10"/>
        <v/>
      </c>
      <c r="S51" s="76" t="str">
        <f t="shared" si="11"/>
        <v/>
      </c>
      <c r="T51" s="76" t="str">
        <f t="shared" si="12"/>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milscm_2023_009.sny_202310_backup_merge_dpc_ff1.a000070_zentaiin_ymd IS '前回退院年月日';</v>
      </c>
      <c r="AT51" s="4"/>
      <c r="AU51" s="4"/>
      <c r="AV51" s="4"/>
      <c r="AW51" s="4"/>
      <c r="AX51" s="4"/>
      <c r="AY51" s="4"/>
      <c r="AZ51" s="4"/>
    </row>
    <row r="52" spans="1:52" s="25" customFormat="1" ht="30">
      <c r="A52" s="4"/>
      <c r="B52" s="21">
        <f t="shared" si="2"/>
        <v>40</v>
      </c>
      <c r="C52" s="6" t="s">
        <v>619</v>
      </c>
      <c r="D52" s="6" t="s">
        <v>620</v>
      </c>
      <c r="E52" s="8"/>
      <c r="F52" s="7" t="s">
        <v>317</v>
      </c>
      <c r="G52" s="7" t="str">
        <f t="shared" si="3"/>
        <v>text</v>
      </c>
      <c r="H52" s="26"/>
      <c r="I52" s="10"/>
      <c r="J52" s="11" t="s">
        <v>144</v>
      </c>
      <c r="L52" s="4"/>
      <c r="N52" s="76"/>
      <c r="O52" s="76"/>
      <c r="P52" s="76" t="str">
        <f t="shared" si="8"/>
        <v>,a000070_same_jiin_nyuin_flag</v>
      </c>
      <c r="Q52" s="76" t="str">
        <f t="shared" si="9"/>
        <v>TEXT</v>
      </c>
      <c r="R52" s="76" t="str">
        <f t="shared" si="10"/>
        <v/>
      </c>
      <c r="S52" s="76" t="str">
        <f t="shared" si="11"/>
        <v/>
      </c>
      <c r="T52" s="76" t="str">
        <f t="shared" si="12"/>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N53" s="76"/>
      <c r="O53" s="76"/>
      <c r="P53" s="76" t="str">
        <f t="shared" si="8"/>
        <v>,a000080_sai_nyuin_type</v>
      </c>
      <c r="Q53" s="76" t="str">
        <f t="shared" si="9"/>
        <v>TEXT</v>
      </c>
      <c r="R53" s="76" t="str">
        <f t="shared" si="10"/>
        <v/>
      </c>
      <c r="S53" s="76" t="str">
        <f t="shared" si="11"/>
        <v/>
      </c>
      <c r="T53" s="76" t="str">
        <f t="shared" si="12"/>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8"/>
        <v>,a000080_riyu_type</v>
      </c>
      <c r="Q54" s="76" t="str">
        <f t="shared" si="9"/>
        <v>TEXT</v>
      </c>
      <c r="R54" s="76" t="str">
        <f t="shared" si="10"/>
        <v/>
      </c>
      <c r="S54" s="76" t="str">
        <f t="shared" si="11"/>
        <v/>
      </c>
      <c r="T54" s="76" t="str">
        <f t="shared" si="12"/>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8"/>
        <v>,a000080_free_entry</v>
      </c>
      <c r="Q55" s="76" t="str">
        <f t="shared" si="9"/>
        <v>TEXT</v>
      </c>
      <c r="R55" s="76" t="str">
        <f t="shared" si="10"/>
        <v/>
      </c>
      <c r="S55" s="76" t="str">
        <f t="shared" si="11"/>
        <v/>
      </c>
      <c r="T55" s="76" t="str">
        <f t="shared" si="12"/>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8"/>
        <v>,a000090_sai_tento_type</v>
      </c>
      <c r="Q56" s="76" t="str">
        <f t="shared" si="9"/>
        <v>TEXT</v>
      </c>
      <c r="R56" s="76" t="str">
        <f t="shared" si="10"/>
        <v/>
      </c>
      <c r="S56" s="76" t="str">
        <f t="shared" si="11"/>
        <v/>
      </c>
      <c r="T56" s="76" t="str">
        <f t="shared" si="12"/>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8"/>
        <v>,a000090_riyu_type</v>
      </c>
      <c r="Q57" s="76" t="str">
        <f t="shared" si="9"/>
        <v>TEXT</v>
      </c>
      <c r="R57" s="76" t="str">
        <f t="shared" si="10"/>
        <v/>
      </c>
      <c r="S57" s="76" t="str">
        <f t="shared" si="11"/>
        <v/>
      </c>
      <c r="T57" s="76" t="str">
        <f t="shared" si="12"/>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8"/>
        <v>,a000090_free_entry</v>
      </c>
      <c r="Q58" s="76" t="str">
        <f t="shared" si="9"/>
        <v>TEXT</v>
      </c>
      <c r="R58" s="76" t="str">
        <f t="shared" si="10"/>
        <v/>
      </c>
      <c r="S58" s="76" t="str">
        <f t="shared" si="11"/>
        <v/>
      </c>
      <c r="T58" s="76" t="str">
        <f t="shared" si="12"/>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8"/>
        <v>,a001010_height</v>
      </c>
      <c r="Q59" s="76" t="str">
        <f t="shared" si="9"/>
        <v>TEXT</v>
      </c>
      <c r="R59" s="76" t="str">
        <f t="shared" si="10"/>
        <v/>
      </c>
      <c r="S59" s="76" t="str">
        <f t="shared" si="11"/>
        <v/>
      </c>
      <c r="T59" s="76" t="str">
        <f t="shared" si="12"/>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milscm_2023_009.sny_202310_backup_merge_dpc_ff1.a001010_height IS '身長';</v>
      </c>
      <c r="AT59" s="4"/>
      <c r="AU59" s="4"/>
      <c r="AV59" s="4"/>
      <c r="AW59" s="4"/>
      <c r="AX59" s="4"/>
      <c r="AY59" s="4"/>
      <c r="AZ59" s="4"/>
    </row>
    <row r="60" spans="1:52" s="25" customFormat="1" ht="34.799999999999997">
      <c r="A60" s="4"/>
      <c r="B60" s="21">
        <f t="shared" si="2"/>
        <v>48</v>
      </c>
      <c r="C60" s="13" t="s">
        <v>633</v>
      </c>
      <c r="D60" s="13" t="s">
        <v>634</v>
      </c>
      <c r="E60" s="7"/>
      <c r="F60" s="7" t="s">
        <v>317</v>
      </c>
      <c r="G60" s="7" t="str">
        <f t="shared" si="3"/>
        <v>text</v>
      </c>
      <c r="H60" s="26"/>
      <c r="I60" s="10"/>
      <c r="J60" s="11" t="s">
        <v>823</v>
      </c>
      <c r="L60" s="4"/>
      <c r="M60" s="4"/>
      <c r="N60" s="76"/>
      <c r="O60" s="76"/>
      <c r="P60" s="76" t="str">
        <f t="shared" si="8"/>
        <v>,a001010_weight</v>
      </c>
      <c r="Q60" s="76" t="str">
        <f t="shared" si="9"/>
        <v>TEXT</v>
      </c>
      <c r="R60" s="76" t="str">
        <f t="shared" si="10"/>
        <v/>
      </c>
      <c r="S60" s="76" t="str">
        <f t="shared" si="11"/>
        <v/>
      </c>
      <c r="T60" s="76" t="str">
        <f t="shared" si="12"/>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8"/>
        <v>,a001020_smoking</v>
      </c>
      <c r="Q61" s="76" t="str">
        <f t="shared" si="9"/>
        <v>TEXT</v>
      </c>
      <c r="R61" s="76" t="str">
        <f t="shared" si="10"/>
        <v/>
      </c>
      <c r="S61" s="76" t="str">
        <f t="shared" si="11"/>
        <v/>
      </c>
      <c r="T61" s="76" t="str">
        <f t="shared" si="12"/>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8"/>
        <v>,a002010_ninshin_flag</v>
      </c>
      <c r="Q62" s="76" t="str">
        <f t="shared" si="9"/>
        <v>TEXT</v>
      </c>
      <c r="R62" s="76" t="str">
        <f t="shared" si="10"/>
        <v/>
      </c>
      <c r="S62" s="76" t="str">
        <f t="shared" si="11"/>
        <v/>
      </c>
      <c r="T62" s="76" t="str">
        <f t="shared" si="12"/>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8"/>
        <v>,a002010_nyuin_ninshin</v>
      </c>
      <c r="Q63" s="76" t="str">
        <f t="shared" si="9"/>
        <v>TEXT</v>
      </c>
      <c r="R63" s="76" t="str">
        <f t="shared" si="10"/>
        <v/>
      </c>
      <c r="S63" s="76" t="str">
        <f t="shared" si="11"/>
        <v/>
      </c>
      <c r="T63" s="76" t="str">
        <f t="shared" si="12"/>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8"/>
        <v>,a003010_birth_weight</v>
      </c>
      <c r="Q64" s="76" t="str">
        <f t="shared" si="9"/>
        <v>TEXT</v>
      </c>
      <c r="R64" s="76" t="str">
        <f t="shared" si="10"/>
        <v/>
      </c>
      <c r="S64" s="76" t="str">
        <f t="shared" si="11"/>
        <v/>
      </c>
      <c r="T64" s="76" t="str">
        <f t="shared" si="12"/>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8"/>
        <v>,a003010_birth_ninshin</v>
      </c>
      <c r="Q65" s="76" t="str">
        <f t="shared" si="9"/>
        <v>TEXT</v>
      </c>
      <c r="R65" s="76" t="str">
        <f t="shared" si="10"/>
        <v/>
      </c>
      <c r="S65" s="76" t="str">
        <f t="shared" si="11"/>
        <v/>
      </c>
      <c r="T65" s="76" t="str">
        <f t="shared" si="12"/>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milscm_2023_009.sny_202310_backup_merge_dpc_ff1.a003010_birth_ninshin IS '出生時妊娠週数';</v>
      </c>
      <c r="AT65" s="4"/>
      <c r="AU65" s="4"/>
      <c r="AV65" s="4"/>
      <c r="AW65" s="4"/>
      <c r="AX65" s="4"/>
      <c r="AY65" s="4"/>
      <c r="AZ65" s="4"/>
    </row>
    <row r="66" spans="1:52" s="25" customFormat="1" ht="30">
      <c r="A66" s="4"/>
      <c r="B66" s="21">
        <f t="shared" si="2"/>
        <v>54</v>
      </c>
      <c r="C66" s="13" t="s">
        <v>645</v>
      </c>
      <c r="D66" s="13" t="s">
        <v>646</v>
      </c>
      <c r="E66" s="7"/>
      <c r="F66" s="7" t="s">
        <v>317</v>
      </c>
      <c r="G66" s="7" t="str">
        <f t="shared" si="3"/>
        <v>text</v>
      </c>
      <c r="H66" s="26"/>
      <c r="I66" s="10"/>
      <c r="J66" s="11" t="s">
        <v>828</v>
      </c>
      <c r="L66" s="4"/>
      <c r="M66" s="4"/>
      <c r="N66" s="76"/>
      <c r="O66" s="76"/>
      <c r="P66" s="76" t="str">
        <f t="shared" si="8"/>
        <v>,a004010_aged_jiritsu_kijun</v>
      </c>
      <c r="Q66" s="76" t="str">
        <f t="shared" si="9"/>
        <v>TEXT</v>
      </c>
      <c r="R66" s="76" t="str">
        <f t="shared" si="10"/>
        <v/>
      </c>
      <c r="S66" s="76" t="str">
        <f t="shared" si="11"/>
        <v/>
      </c>
      <c r="T66" s="76" t="str">
        <f t="shared" si="12"/>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647</v>
      </c>
      <c r="D67" s="6" t="s">
        <v>648</v>
      </c>
      <c r="E67" s="8"/>
      <c r="F67" s="7" t="s">
        <v>317</v>
      </c>
      <c r="G67" s="7" t="str">
        <f t="shared" si="3"/>
        <v>text</v>
      </c>
      <c r="H67" s="58"/>
      <c r="I67" s="23"/>
      <c r="J67" s="24" t="s">
        <v>829</v>
      </c>
      <c r="L67" s="4"/>
      <c r="M67" s="4"/>
      <c r="N67" s="76"/>
      <c r="O67" s="76"/>
      <c r="P67" s="76" t="str">
        <f t="shared" si="8"/>
        <v>,a004020_care</v>
      </c>
      <c r="Q67" s="76" t="str">
        <f t="shared" si="9"/>
        <v>TEXT</v>
      </c>
      <c r="R67" s="76" t="str">
        <f t="shared" si="10"/>
        <v/>
      </c>
      <c r="S67" s="76" t="str">
        <f t="shared" si="11"/>
        <v/>
      </c>
      <c r="T67" s="76" t="str">
        <f t="shared" si="12"/>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milscm_2023_009.sny_202310_backup_merge_dpc_ff1.a004020_care IS '要介護度';</v>
      </c>
      <c r="AT67" s="4"/>
      <c r="AU67" s="4"/>
      <c r="AV67" s="4"/>
      <c r="AW67" s="4"/>
      <c r="AX67" s="4"/>
      <c r="AY67" s="4"/>
      <c r="AZ67" s="4"/>
    </row>
    <row r="68" spans="1:52" s="25" customFormat="1" ht="30">
      <c r="A68" s="4"/>
      <c r="B68" s="21">
        <f t="shared" si="2"/>
        <v>56</v>
      </c>
      <c r="C68" s="13" t="s">
        <v>246</v>
      </c>
      <c r="D68" s="13" t="s">
        <v>649</v>
      </c>
      <c r="E68" s="7"/>
      <c r="F68" s="7" t="s">
        <v>317</v>
      </c>
      <c r="G68" s="7" t="str">
        <f t="shared" si="3"/>
        <v>text</v>
      </c>
      <c r="H68" s="26"/>
      <c r="I68" s="10"/>
      <c r="J68" s="11" t="s">
        <v>144</v>
      </c>
      <c r="L68" s="4"/>
      <c r="M68" s="4"/>
      <c r="N68" s="76"/>
      <c r="O68" s="76"/>
      <c r="P68" s="76" t="str">
        <f t="shared" si="8"/>
        <v>,a004030_santei_start_ymd</v>
      </c>
      <c r="Q68" s="76" t="str">
        <f t="shared" si="9"/>
        <v>TEXT</v>
      </c>
      <c r="R68" s="76" t="str">
        <f t="shared" si="10"/>
        <v/>
      </c>
      <c r="S68" s="76" t="str">
        <f t="shared" si="11"/>
        <v/>
      </c>
      <c r="T68" s="76" t="str">
        <f t="shared" si="12"/>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milscm_2023_009.sny_202310_backup_merge_dpc_ff1.a004030_santei_start_ymd IS '算定開始日';</v>
      </c>
      <c r="AT68" s="4"/>
      <c r="AU68" s="4"/>
      <c r="AV68" s="4"/>
      <c r="AW68" s="4"/>
      <c r="AX68" s="4"/>
      <c r="AY68" s="4"/>
      <c r="AZ68" s="4"/>
    </row>
    <row r="69" spans="1:52" s="25" customFormat="1" ht="30">
      <c r="A69" s="4"/>
      <c r="B69" s="21">
        <f t="shared" si="2"/>
        <v>57</v>
      </c>
      <c r="C69" s="6" t="s">
        <v>248</v>
      </c>
      <c r="D69" s="6" t="s">
        <v>650</v>
      </c>
      <c r="E69" s="8"/>
      <c r="F69" s="7" t="s">
        <v>317</v>
      </c>
      <c r="G69" s="7" t="str">
        <f t="shared" si="3"/>
        <v>text</v>
      </c>
      <c r="H69" s="58"/>
      <c r="I69" s="23"/>
      <c r="J69" s="24" t="s">
        <v>144</v>
      </c>
      <c r="L69" s="4"/>
      <c r="M69" s="4"/>
      <c r="N69" s="76"/>
      <c r="O69" s="76"/>
      <c r="P69" s="76" t="str">
        <f t="shared" si="8"/>
        <v>,a004030_santei_end_ymd</v>
      </c>
      <c r="Q69" s="76" t="str">
        <f t="shared" si="9"/>
        <v>TEXT</v>
      </c>
      <c r="R69" s="76" t="str">
        <f t="shared" si="10"/>
        <v/>
      </c>
      <c r="S69" s="76" t="str">
        <f t="shared" si="11"/>
        <v/>
      </c>
      <c r="T69" s="76" t="str">
        <f t="shared" si="12"/>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milscm_2023_009.sny_202310_backup_merge_dpc_ff1.a004030_santei_end_ymd IS '算定終了日';</v>
      </c>
      <c r="AT69" s="4"/>
      <c r="AU69" s="4"/>
      <c r="AV69" s="4"/>
      <c r="AW69" s="4"/>
      <c r="AX69" s="4"/>
      <c r="AY69" s="4"/>
      <c r="AZ69" s="4"/>
    </row>
    <row r="70" spans="1:52" s="25" customFormat="1" ht="30">
      <c r="A70" s="4"/>
      <c r="B70" s="21">
        <f t="shared" si="2"/>
        <v>58</v>
      </c>
      <c r="C70" s="13" t="s">
        <v>651</v>
      </c>
      <c r="D70" s="13" t="s">
        <v>652</v>
      </c>
      <c r="E70" s="7"/>
      <c r="F70" s="7" t="s">
        <v>317</v>
      </c>
      <c r="G70" s="7" t="str">
        <f t="shared" si="3"/>
        <v>text</v>
      </c>
      <c r="H70" s="58"/>
      <c r="I70" s="23"/>
      <c r="J70" s="24" t="s">
        <v>830</v>
      </c>
      <c r="L70" s="4"/>
      <c r="M70" s="4"/>
      <c r="N70" s="76"/>
      <c r="O70" s="76"/>
      <c r="P70" s="76" t="str">
        <f t="shared" si="8"/>
        <v>,a004030_teieiyo_start_flag</v>
      </c>
      <c r="Q70" s="76" t="str">
        <f t="shared" si="9"/>
        <v>TEXT</v>
      </c>
      <c r="R70" s="76" t="str">
        <f t="shared" si="10"/>
        <v/>
      </c>
      <c r="S70" s="76" t="str">
        <f t="shared" si="11"/>
        <v/>
      </c>
      <c r="T70" s="76" t="str">
        <f t="shared" si="12"/>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milscm_2023_009.sny_202310_backup_merge_dpc_ff1.a004030_teieiyo_start_flag IS '低栄養の有無（算定開始時）';</v>
      </c>
      <c r="AT70" s="4"/>
      <c r="AU70" s="4"/>
      <c r="AV70" s="4"/>
      <c r="AW70" s="4"/>
      <c r="AX70" s="4"/>
      <c r="AY70" s="4"/>
      <c r="AZ70" s="4"/>
    </row>
    <row r="71" spans="1:52" s="25" customFormat="1" ht="30">
      <c r="A71" s="4"/>
      <c r="B71" s="21">
        <f t="shared" si="2"/>
        <v>59</v>
      </c>
      <c r="C71" s="6" t="s">
        <v>653</v>
      </c>
      <c r="D71" s="6" t="s">
        <v>654</v>
      </c>
      <c r="E71" s="8"/>
      <c r="F71" s="7" t="s">
        <v>317</v>
      </c>
      <c r="G71" s="7" t="str">
        <f t="shared" si="3"/>
        <v>text</v>
      </c>
      <c r="H71" s="26"/>
      <c r="I71" s="10"/>
      <c r="J71" s="11" t="s">
        <v>830</v>
      </c>
      <c r="L71" s="4"/>
      <c r="M71" s="4"/>
      <c r="N71" s="76"/>
      <c r="O71" s="76"/>
      <c r="P71" s="76" t="str">
        <f t="shared" si="8"/>
        <v>,a004030_sesshoku_shogai_start_flag</v>
      </c>
      <c r="Q71" s="76" t="str">
        <f t="shared" si="9"/>
        <v>TEXT</v>
      </c>
      <c r="R71" s="76" t="str">
        <f t="shared" si="10"/>
        <v/>
      </c>
      <c r="S71" s="76" t="str">
        <f t="shared" si="11"/>
        <v/>
      </c>
      <c r="T71" s="76" t="str">
        <f t="shared" si="12"/>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655</v>
      </c>
      <c r="D72" s="6" t="s">
        <v>656</v>
      </c>
      <c r="E72" s="8"/>
      <c r="F72" s="7" t="s">
        <v>317</v>
      </c>
      <c r="G72" s="7" t="str">
        <f t="shared" si="3"/>
        <v>text</v>
      </c>
      <c r="H72" s="26"/>
      <c r="I72" s="10"/>
      <c r="J72" s="11" t="s">
        <v>830</v>
      </c>
      <c r="L72" s="4"/>
      <c r="M72" s="4"/>
      <c r="N72" s="76"/>
      <c r="O72" s="76"/>
      <c r="P72" s="76" t="str">
        <f t="shared" si="8"/>
        <v>,a004030_teieiyo_end_flag</v>
      </c>
      <c r="Q72" s="76" t="str">
        <f t="shared" si="9"/>
        <v>TEXT</v>
      </c>
      <c r="R72" s="76" t="str">
        <f t="shared" si="10"/>
        <v/>
      </c>
      <c r="S72" s="76" t="str">
        <f t="shared" si="11"/>
        <v/>
      </c>
      <c r="T72" s="76" t="str">
        <f t="shared" si="12"/>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milscm_2023_009.sny_202310_backup_merge_dpc_ff1.a004030_teieiyo_end_flag IS '低栄養の有無（算定終了時）';</v>
      </c>
      <c r="AT72" s="4"/>
      <c r="AU72" s="4"/>
      <c r="AV72" s="4"/>
      <c r="AW72" s="4"/>
      <c r="AX72" s="4"/>
      <c r="AY72" s="4"/>
      <c r="AZ72" s="4"/>
    </row>
    <row r="73" spans="1:52" s="25" customFormat="1" ht="30">
      <c r="A73" s="4"/>
      <c r="B73" s="21">
        <f t="shared" si="2"/>
        <v>61</v>
      </c>
      <c r="C73" s="13" t="s">
        <v>657</v>
      </c>
      <c r="D73" s="13" t="s">
        <v>658</v>
      </c>
      <c r="E73" s="7"/>
      <c r="F73" s="7" t="s">
        <v>317</v>
      </c>
      <c r="G73" s="7" t="str">
        <f t="shared" si="3"/>
        <v>text</v>
      </c>
      <c r="H73" s="58"/>
      <c r="I73" s="23"/>
      <c r="J73" s="24" t="s">
        <v>830</v>
      </c>
      <c r="L73" s="4"/>
      <c r="M73" s="4"/>
      <c r="N73" s="76"/>
      <c r="O73" s="76"/>
      <c r="P73" s="76" t="str">
        <f t="shared" si="8"/>
        <v>,a004030_sesshoku_shogai_end_flag</v>
      </c>
      <c r="Q73" s="76" t="str">
        <f t="shared" si="9"/>
        <v>TEXT</v>
      </c>
      <c r="R73" s="76" t="str">
        <f t="shared" si="10"/>
        <v/>
      </c>
      <c r="S73" s="76" t="str">
        <f t="shared" si="11"/>
        <v/>
      </c>
      <c r="T73" s="76" t="str">
        <f t="shared" si="12"/>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659</v>
      </c>
      <c r="D74" s="6" t="s">
        <v>660</v>
      </c>
      <c r="E74" s="8"/>
      <c r="F74" s="7" t="s">
        <v>317</v>
      </c>
      <c r="G74" s="7" t="str">
        <f t="shared" si="3"/>
        <v>text</v>
      </c>
      <c r="H74" s="26"/>
      <c r="I74" s="10"/>
      <c r="J74" s="11" t="s">
        <v>831</v>
      </c>
      <c r="L74" s="4"/>
      <c r="M74" s="4"/>
      <c r="N74" s="76"/>
      <c r="O74" s="76"/>
      <c r="P74" s="76" t="str">
        <f t="shared" si="8"/>
        <v>,a004030_keikan_eiyou_start</v>
      </c>
      <c r="Q74" s="76" t="str">
        <f t="shared" si="9"/>
        <v>TEXT</v>
      </c>
      <c r="R74" s="76" t="str">
        <f t="shared" si="10"/>
        <v/>
      </c>
      <c r="S74" s="76" t="str">
        <f t="shared" si="11"/>
        <v/>
      </c>
      <c r="T74" s="76" t="str">
        <f t="shared" si="12"/>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661</v>
      </c>
      <c r="D75" s="13" t="s">
        <v>662</v>
      </c>
      <c r="E75" s="7"/>
      <c r="F75" s="7" t="s">
        <v>317</v>
      </c>
      <c r="G75" s="7" t="str">
        <f t="shared" si="3"/>
        <v>text</v>
      </c>
      <c r="H75" s="58"/>
      <c r="I75" s="23"/>
      <c r="J75" s="24" t="s">
        <v>831</v>
      </c>
      <c r="L75" s="4"/>
      <c r="M75" s="4"/>
      <c r="N75" s="76"/>
      <c r="O75" s="76"/>
      <c r="P75" s="76" t="str">
        <f t="shared" si="8"/>
        <v>,a004030_keikan_eiyou_end</v>
      </c>
      <c r="Q75" s="76" t="str">
        <f t="shared" si="9"/>
        <v>TEXT</v>
      </c>
      <c r="R75" s="76" t="str">
        <f t="shared" si="10"/>
        <v/>
      </c>
      <c r="S75" s="76" t="str">
        <f t="shared" si="11"/>
        <v/>
      </c>
      <c r="T75" s="76" t="str">
        <f t="shared" si="12"/>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8"/>
        <v>,a006010_icd10_code</v>
      </c>
      <c r="Q76" s="76" t="str">
        <f t="shared" si="9"/>
        <v>TEXT</v>
      </c>
      <c r="R76" s="76" t="str">
        <f t="shared" si="10"/>
        <v/>
      </c>
      <c r="S76" s="76" t="str">
        <f t="shared" si="11"/>
        <v/>
      </c>
      <c r="T76" s="76" t="str">
        <f t="shared" si="12"/>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8"/>
        <v>,a006010_shobyo_code</v>
      </c>
      <c r="Q77" s="76" t="str">
        <f t="shared" si="9"/>
        <v>TEXT</v>
      </c>
      <c r="R77" s="76" t="str">
        <f t="shared" si="10"/>
        <v/>
      </c>
      <c r="S77" s="76" t="str">
        <f t="shared" si="11"/>
        <v/>
      </c>
      <c r="T77" s="76" t="str">
        <f t="shared" si="12"/>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milscm_2023_009.sny_202310_backup_merge_dpc_ff1.a006010_shobyo_code IS '傷病名コード';</v>
      </c>
      <c r="AT77" s="4"/>
      <c r="AU77" s="4"/>
      <c r="AV77" s="4"/>
      <c r="AW77" s="4"/>
      <c r="AX77" s="4"/>
      <c r="AY77" s="4"/>
      <c r="AZ77" s="4"/>
    </row>
    <row r="78" spans="1:52" s="25" customFormat="1" ht="30">
      <c r="A78" s="4"/>
      <c r="B78" s="21">
        <f t="shared" si="2"/>
        <v>66</v>
      </c>
      <c r="C78" s="6" t="s">
        <v>667</v>
      </c>
      <c r="D78" s="6" t="s">
        <v>668</v>
      </c>
      <c r="E78" s="8"/>
      <c r="F78" s="7" t="s">
        <v>317</v>
      </c>
      <c r="G78" s="7" t="str">
        <f t="shared" si="3"/>
        <v>text</v>
      </c>
      <c r="H78" s="26"/>
      <c r="I78" s="10"/>
      <c r="J78" s="11"/>
      <c r="L78" s="4"/>
      <c r="M78" s="4"/>
      <c r="N78" s="76"/>
      <c r="O78" s="76"/>
      <c r="P78" s="76" t="str">
        <f t="shared" si="8"/>
        <v>,a006010_shushoku_code1</v>
      </c>
      <c r="Q78" s="76" t="str">
        <f t="shared" si="9"/>
        <v>TEXT</v>
      </c>
      <c r="R78" s="76" t="str">
        <f t="shared" si="10"/>
        <v/>
      </c>
      <c r="S78" s="76" t="str">
        <f t="shared" si="11"/>
        <v/>
      </c>
      <c r="T78" s="76" t="str">
        <f t="shared" si="12"/>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milscm_2023_009.sny_202310_backup_merge_dpc_ff1.a006010_shushoku_code1 IS '修飾語コード1';</v>
      </c>
      <c r="AT78" s="4"/>
      <c r="AU78" s="4"/>
      <c r="AV78" s="4"/>
      <c r="AW78" s="4"/>
      <c r="AX78" s="4"/>
      <c r="AY78" s="4"/>
      <c r="AZ78" s="4"/>
    </row>
    <row r="79" spans="1:52" s="25" customFormat="1" ht="30">
      <c r="A79" s="4"/>
      <c r="B79" s="21">
        <f t="shared" si="2"/>
        <v>67</v>
      </c>
      <c r="C79" s="13" t="s">
        <v>669</v>
      </c>
      <c r="D79" s="13" t="s">
        <v>670</v>
      </c>
      <c r="E79" s="7"/>
      <c r="F79" s="7" t="s">
        <v>317</v>
      </c>
      <c r="G79" s="7" t="str">
        <f t="shared" si="3"/>
        <v>text</v>
      </c>
      <c r="H79" s="58"/>
      <c r="I79" s="23"/>
      <c r="J79" s="24"/>
      <c r="L79" s="4"/>
      <c r="M79" s="4"/>
      <c r="N79" s="76"/>
      <c r="O79" s="76"/>
      <c r="P79" s="76" t="str">
        <f t="shared" si="8"/>
        <v>,a006010_shushoku_code2</v>
      </c>
      <c r="Q79" s="76" t="str">
        <f t="shared" si="9"/>
        <v>TEXT</v>
      </c>
      <c r="R79" s="76" t="str">
        <f t="shared" si="10"/>
        <v/>
      </c>
      <c r="S79" s="76" t="str">
        <f t="shared" si="11"/>
        <v/>
      </c>
      <c r="T79" s="76" t="str">
        <f t="shared" si="12"/>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milscm_2023_009.sny_202310_backup_merge_dpc_ff1.a006010_shushoku_code2 IS '修飾語コード2';</v>
      </c>
      <c r="AT79" s="4"/>
      <c r="AU79" s="4"/>
      <c r="AV79" s="4"/>
      <c r="AW79" s="4"/>
      <c r="AX79" s="4"/>
      <c r="AY79" s="4"/>
      <c r="AZ79" s="4"/>
    </row>
    <row r="80" spans="1:52" s="25" customFormat="1" ht="30">
      <c r="A80" s="4"/>
      <c r="B80" s="21">
        <f t="shared" si="2"/>
        <v>68</v>
      </c>
      <c r="C80" s="6" t="s">
        <v>671</v>
      </c>
      <c r="D80" s="6" t="s">
        <v>672</v>
      </c>
      <c r="E80" s="8"/>
      <c r="F80" s="7" t="s">
        <v>317</v>
      </c>
      <c r="G80" s="7" t="str">
        <f t="shared" si="3"/>
        <v>text</v>
      </c>
      <c r="H80" s="26"/>
      <c r="I80" s="10"/>
      <c r="J80" s="11"/>
      <c r="L80" s="4"/>
      <c r="M80" s="4"/>
      <c r="N80" s="76"/>
      <c r="O80" s="76"/>
      <c r="P80" s="76" t="str">
        <f t="shared" si="8"/>
        <v>,a006010_shushoku_code3</v>
      </c>
      <c r="Q80" s="76" t="str">
        <f t="shared" si="9"/>
        <v>TEXT</v>
      </c>
      <c r="R80" s="76" t="str">
        <f t="shared" si="10"/>
        <v/>
      </c>
      <c r="S80" s="76" t="str">
        <f t="shared" si="11"/>
        <v/>
      </c>
      <c r="T80" s="76" t="str">
        <f t="shared" si="12"/>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milscm_2023_009.sny_202310_backup_merge_dpc_ff1.a006010_shushoku_code3 IS '修飾語コード3';</v>
      </c>
      <c r="AT80" s="4"/>
      <c r="AU80" s="4"/>
      <c r="AV80" s="4"/>
      <c r="AW80" s="4"/>
      <c r="AX80" s="4"/>
      <c r="AY80" s="4"/>
      <c r="AZ80" s="4"/>
    </row>
    <row r="81" spans="1:52" s="25" customFormat="1" ht="30">
      <c r="A81" s="4"/>
      <c r="B81" s="21">
        <f t="shared" si="2"/>
        <v>69</v>
      </c>
      <c r="C81" s="13" t="s">
        <v>673</v>
      </c>
      <c r="D81" s="13" t="s">
        <v>674</v>
      </c>
      <c r="E81" s="7"/>
      <c r="F81" s="7" t="s">
        <v>317</v>
      </c>
      <c r="G81" s="7" t="str">
        <f t="shared" si="3"/>
        <v>text</v>
      </c>
      <c r="H81" s="58"/>
      <c r="I81" s="23"/>
      <c r="J81" s="24"/>
      <c r="L81" s="4"/>
      <c r="M81" s="4"/>
      <c r="N81" s="76"/>
      <c r="O81" s="76"/>
      <c r="P81" s="76" t="str">
        <f t="shared" si="8"/>
        <v>,a006010_shushoku_code4</v>
      </c>
      <c r="Q81" s="76" t="str">
        <f t="shared" si="9"/>
        <v>TEXT</v>
      </c>
      <c r="R81" s="76" t="str">
        <f t="shared" si="10"/>
        <v/>
      </c>
      <c r="S81" s="76" t="str">
        <f t="shared" si="11"/>
        <v/>
      </c>
      <c r="T81" s="76" t="str">
        <f t="shared" si="12"/>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milscm_2023_009.sny_202310_backup_merge_dpc_ff1.a006010_shushoku_code4 IS '修飾語コード4';</v>
      </c>
      <c r="AT81" s="4"/>
      <c r="AU81" s="4"/>
      <c r="AV81" s="4"/>
      <c r="AW81" s="4"/>
      <c r="AX81" s="4"/>
      <c r="AY81" s="4"/>
      <c r="AZ81" s="4"/>
    </row>
    <row r="82" spans="1:52" s="25" customFormat="1" ht="34.799999999999997">
      <c r="A82" s="4"/>
      <c r="B82" s="21">
        <f t="shared" si="2"/>
        <v>70</v>
      </c>
      <c r="C82" s="13" t="s">
        <v>675</v>
      </c>
      <c r="D82" s="13" t="s">
        <v>676</v>
      </c>
      <c r="E82" s="7"/>
      <c r="F82" s="7" t="s">
        <v>317</v>
      </c>
      <c r="G82" s="7" t="str">
        <f t="shared" si="3"/>
        <v>text</v>
      </c>
      <c r="H82" s="58"/>
      <c r="I82" s="23"/>
      <c r="J82" s="24" t="s">
        <v>833</v>
      </c>
      <c r="L82" s="4"/>
      <c r="M82" s="4"/>
      <c r="N82" s="76"/>
      <c r="O82" s="76"/>
      <c r="P82" s="76" t="str">
        <f t="shared" si="8"/>
        <v>,a006010_main_shobyo_name</v>
      </c>
      <c r="Q82" s="76" t="str">
        <f t="shared" si="9"/>
        <v>TEXT</v>
      </c>
      <c r="R82" s="76" t="str">
        <f t="shared" si="10"/>
        <v/>
      </c>
      <c r="S82" s="76" t="str">
        <f t="shared" si="11"/>
        <v/>
      </c>
      <c r="T82" s="76" t="str">
        <f t="shared" si="12"/>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8"/>
        <v>,a006020_icd10_code</v>
      </c>
      <c r="Q83" s="76" t="str">
        <f t="shared" si="9"/>
        <v>TEXT</v>
      </c>
      <c r="R83" s="76" t="str">
        <f t="shared" si="10"/>
        <v/>
      </c>
      <c r="S83" s="76" t="str">
        <f t="shared" si="11"/>
        <v/>
      </c>
      <c r="T83" s="76" t="str">
        <f t="shared" si="12"/>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8"/>
        <v>,a006020_shobyo_code</v>
      </c>
      <c r="Q84" s="76" t="str">
        <f t="shared" si="9"/>
        <v>TEXT</v>
      </c>
      <c r="R84" s="76" t="str">
        <f t="shared" si="10"/>
        <v/>
      </c>
      <c r="S84" s="76" t="str">
        <f t="shared" si="11"/>
        <v/>
      </c>
      <c r="T84" s="76" t="str">
        <f t="shared" si="12"/>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milscm_2023_009.sny_202310_backup_merge_dpc_ff1.a006020_shobyo_code IS '傷病名コード';</v>
      </c>
      <c r="AT84" s="4"/>
      <c r="AU84" s="4"/>
      <c r="AV84" s="4"/>
      <c r="AW84" s="4"/>
      <c r="AX84" s="4"/>
      <c r="AY84" s="4"/>
      <c r="AZ84" s="4"/>
    </row>
    <row r="85" spans="1:52" s="25" customFormat="1" ht="30">
      <c r="A85" s="4"/>
      <c r="B85" s="21">
        <f t="shared" si="2"/>
        <v>73</v>
      </c>
      <c r="C85" s="13" t="s">
        <v>667</v>
      </c>
      <c r="D85" s="13" t="s">
        <v>679</v>
      </c>
      <c r="E85" s="7"/>
      <c r="F85" s="7" t="s">
        <v>317</v>
      </c>
      <c r="G85" s="7" t="str">
        <f t="shared" si="3"/>
        <v>text</v>
      </c>
      <c r="H85" s="58"/>
      <c r="I85" s="23"/>
      <c r="J85" s="24"/>
      <c r="L85" s="4"/>
      <c r="M85" s="4"/>
      <c r="N85" s="76"/>
      <c r="O85" s="76"/>
      <c r="P85" s="76" t="str">
        <f t="shared" si="8"/>
        <v>,a006020_shushoku_code1</v>
      </c>
      <c r="Q85" s="76" t="str">
        <f t="shared" si="9"/>
        <v>TEXT</v>
      </c>
      <c r="R85" s="76" t="str">
        <f t="shared" si="10"/>
        <v/>
      </c>
      <c r="S85" s="76" t="str">
        <f t="shared" si="11"/>
        <v/>
      </c>
      <c r="T85" s="76" t="str">
        <f t="shared" si="12"/>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milscm_2023_009.sny_202310_backup_merge_dpc_ff1.a006020_shushoku_code1 IS '修飾語コード1';</v>
      </c>
      <c r="AT85" s="4"/>
      <c r="AU85" s="4"/>
      <c r="AV85" s="4"/>
      <c r="AW85" s="4"/>
      <c r="AX85" s="4"/>
      <c r="AY85" s="4"/>
      <c r="AZ85" s="4"/>
    </row>
    <row r="86" spans="1:52" s="25" customFormat="1" ht="30">
      <c r="A86" s="4"/>
      <c r="B86" s="21">
        <f t="shared" si="2"/>
        <v>74</v>
      </c>
      <c r="C86" s="6" t="s">
        <v>669</v>
      </c>
      <c r="D86" s="6" t="s">
        <v>680</v>
      </c>
      <c r="E86" s="8"/>
      <c r="F86" s="7" t="s">
        <v>317</v>
      </c>
      <c r="G86" s="7" t="str">
        <f t="shared" si="3"/>
        <v>text</v>
      </c>
      <c r="H86" s="26"/>
      <c r="I86" s="10"/>
      <c r="J86" s="11"/>
      <c r="L86" s="4"/>
      <c r="M86" s="4"/>
      <c r="N86" s="76"/>
      <c r="O86" s="76"/>
      <c r="P86" s="76" t="str">
        <f t="shared" si="8"/>
        <v>,a006020_shushoku_code2</v>
      </c>
      <c r="Q86" s="76" t="str">
        <f t="shared" si="9"/>
        <v>TEXT</v>
      </c>
      <c r="R86" s="76" t="str">
        <f t="shared" si="10"/>
        <v/>
      </c>
      <c r="S86" s="76" t="str">
        <f t="shared" si="11"/>
        <v/>
      </c>
      <c r="T86" s="76" t="str">
        <f t="shared" si="12"/>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milscm_2023_009.sny_202310_backup_merge_dpc_ff1.a006020_shushoku_code2 IS '修飾語コード2';</v>
      </c>
      <c r="AT86" s="4"/>
      <c r="AU86" s="4"/>
      <c r="AV86" s="4"/>
      <c r="AW86" s="4"/>
      <c r="AX86" s="4"/>
      <c r="AY86" s="4"/>
      <c r="AZ86" s="4"/>
    </row>
    <row r="87" spans="1:52" s="25" customFormat="1" ht="30">
      <c r="A87" s="4"/>
      <c r="B87" s="21">
        <f t="shared" si="2"/>
        <v>75</v>
      </c>
      <c r="C87" s="13" t="s">
        <v>671</v>
      </c>
      <c r="D87" s="13" t="s">
        <v>681</v>
      </c>
      <c r="E87" s="7"/>
      <c r="F87" s="7" t="s">
        <v>317</v>
      </c>
      <c r="G87" s="7" t="str">
        <f t="shared" si="3"/>
        <v>text</v>
      </c>
      <c r="H87" s="58"/>
      <c r="I87" s="23"/>
      <c r="J87" s="24"/>
      <c r="L87" s="4"/>
      <c r="M87" s="4"/>
      <c r="N87" s="76"/>
      <c r="O87" s="76"/>
      <c r="P87" s="76" t="str">
        <f t="shared" si="8"/>
        <v>,a006020_shushoku_code3</v>
      </c>
      <c r="Q87" s="76" t="str">
        <f t="shared" si="9"/>
        <v>TEXT</v>
      </c>
      <c r="R87" s="76" t="str">
        <f t="shared" si="10"/>
        <v/>
      </c>
      <c r="S87" s="76" t="str">
        <f t="shared" si="11"/>
        <v/>
      </c>
      <c r="T87" s="76" t="str">
        <f t="shared" si="12"/>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milscm_2023_009.sny_202310_backup_merge_dpc_ff1.a006020_shushoku_code3 IS '修飾語コード3';</v>
      </c>
      <c r="AT87" s="4"/>
      <c r="AU87" s="4"/>
      <c r="AV87" s="4"/>
      <c r="AW87" s="4"/>
      <c r="AX87" s="4"/>
      <c r="AY87" s="4"/>
      <c r="AZ87" s="4"/>
    </row>
    <row r="88" spans="1:52" s="25" customFormat="1" ht="30">
      <c r="A88" s="4"/>
      <c r="B88" s="21">
        <f t="shared" si="2"/>
        <v>76</v>
      </c>
      <c r="C88" s="6" t="s">
        <v>673</v>
      </c>
      <c r="D88" s="6" t="s">
        <v>682</v>
      </c>
      <c r="E88" s="8"/>
      <c r="F88" s="7" t="s">
        <v>317</v>
      </c>
      <c r="G88" s="7" t="str">
        <f t="shared" si="3"/>
        <v>text</v>
      </c>
      <c r="H88" s="26"/>
      <c r="I88" s="10"/>
      <c r="J88" s="11"/>
      <c r="L88" s="4"/>
      <c r="M88" s="4"/>
      <c r="N88" s="76"/>
      <c r="O88" s="76"/>
      <c r="P88" s="76" t="str">
        <f t="shared" si="8"/>
        <v>,a006020_shushoku_code4</v>
      </c>
      <c r="Q88" s="76" t="str">
        <f t="shared" si="9"/>
        <v>TEXT</v>
      </c>
      <c r="R88" s="76" t="str">
        <f t="shared" si="10"/>
        <v/>
      </c>
      <c r="S88" s="76" t="str">
        <f t="shared" si="11"/>
        <v/>
      </c>
      <c r="T88" s="76" t="str">
        <f t="shared" si="12"/>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milscm_2023_009.sny_202310_backup_merge_dpc_ff1.a006020_shushoku_code4 IS '修飾語コード4';</v>
      </c>
      <c r="AT88" s="4"/>
      <c r="AU88" s="4"/>
      <c r="AV88" s="4"/>
      <c r="AW88" s="4"/>
      <c r="AX88" s="4"/>
      <c r="AY88" s="4"/>
      <c r="AZ88" s="4"/>
    </row>
    <row r="89" spans="1:52" s="25" customFormat="1" ht="30">
      <c r="A89" s="4"/>
      <c r="B89" s="21">
        <f t="shared" si="2"/>
        <v>77</v>
      </c>
      <c r="C89" s="6" t="s">
        <v>683</v>
      </c>
      <c r="D89" s="6" t="s">
        <v>684</v>
      </c>
      <c r="E89" s="8"/>
      <c r="F89" s="7" t="s">
        <v>317</v>
      </c>
      <c r="G89" s="7" t="str">
        <f t="shared" si="3"/>
        <v>text</v>
      </c>
      <c r="H89" s="58"/>
      <c r="I89" s="23"/>
      <c r="J89" s="24" t="s">
        <v>683</v>
      </c>
      <c r="L89" s="4"/>
      <c r="M89" s="4"/>
      <c r="N89" s="76"/>
      <c r="O89" s="76"/>
      <c r="P89" s="76" t="str">
        <f t="shared" si="8"/>
        <v>,a006020_nyuin_shobyo_name</v>
      </c>
      <c r="Q89" s="76" t="str">
        <f t="shared" si="9"/>
        <v>TEXT</v>
      </c>
      <c r="R89" s="76" t="str">
        <f t="shared" si="10"/>
        <v/>
      </c>
      <c r="S89" s="76" t="str">
        <f t="shared" si="11"/>
        <v/>
      </c>
      <c r="T89" s="76" t="str">
        <f t="shared" si="12"/>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663</v>
      </c>
      <c r="D90" s="13" t="s">
        <v>685</v>
      </c>
      <c r="E90" s="7"/>
      <c r="F90" s="7" t="s">
        <v>317</v>
      </c>
      <c r="G90" s="7" t="str">
        <f t="shared" si="3"/>
        <v>text</v>
      </c>
      <c r="H90" s="26"/>
      <c r="I90" s="10"/>
      <c r="J90" s="11" t="s">
        <v>835</v>
      </c>
      <c r="L90" s="4"/>
      <c r="M90" s="4"/>
      <c r="N90" s="76"/>
      <c r="O90" s="76"/>
      <c r="P90" s="76" t="str">
        <f t="shared" si="8"/>
        <v>,a006030_icd10_code</v>
      </c>
      <c r="Q90" s="76" t="str">
        <f t="shared" si="9"/>
        <v>TEXT</v>
      </c>
      <c r="R90" s="76" t="str">
        <f t="shared" si="10"/>
        <v/>
      </c>
      <c r="S90" s="76" t="str">
        <f t="shared" si="11"/>
        <v/>
      </c>
      <c r="T90" s="76" t="str">
        <f t="shared" si="12"/>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milscm_2023_009.sny_202310_backup_merge_dpc_ff1.a006030_icd10_code IS 'ICD10コード';</v>
      </c>
      <c r="AT90" s="4"/>
      <c r="AU90" s="4"/>
      <c r="AV90" s="4"/>
      <c r="AW90" s="4"/>
      <c r="AX90" s="4"/>
      <c r="AY90" s="4"/>
      <c r="AZ90" s="4"/>
    </row>
    <row r="91" spans="1:52" s="25" customFormat="1" ht="30">
      <c r="A91" s="4"/>
      <c r="B91" s="21">
        <f t="shared" si="2"/>
        <v>79</v>
      </c>
      <c r="C91" s="6" t="s">
        <v>686</v>
      </c>
      <c r="D91" s="6" t="s">
        <v>687</v>
      </c>
      <c r="E91" s="8"/>
      <c r="F91" s="7" t="s">
        <v>317</v>
      </c>
      <c r="G91" s="7" t="str">
        <f t="shared" si="3"/>
        <v>text</v>
      </c>
      <c r="H91" s="58"/>
      <c r="I91" s="23"/>
      <c r="J91" s="24"/>
      <c r="L91" s="4"/>
      <c r="M91" s="4"/>
      <c r="N91" s="76"/>
      <c r="O91" s="76"/>
      <c r="P91" s="76" t="str">
        <f t="shared" si="8"/>
        <v>,a006030_byomei_fuka_code</v>
      </c>
      <c r="Q91" s="76" t="str">
        <f t="shared" si="9"/>
        <v>TEXT</v>
      </c>
      <c r="R91" s="76" t="str">
        <f t="shared" si="10"/>
        <v/>
      </c>
      <c r="S91" s="76" t="str">
        <f t="shared" si="11"/>
        <v/>
      </c>
      <c r="T91" s="76" t="str">
        <f t="shared" si="12"/>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milscm_2023_009.sny_202310_backup_merge_dpc_ff1.a006030_byomei_fuka_code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8"/>
        <v>,a006030_shobyo_code</v>
      </c>
      <c r="Q92" s="76" t="str">
        <f t="shared" si="9"/>
        <v>TEXT</v>
      </c>
      <c r="R92" s="76" t="str">
        <f t="shared" si="10"/>
        <v/>
      </c>
      <c r="S92" s="76" t="str">
        <f t="shared" si="11"/>
        <v/>
      </c>
      <c r="T92" s="76" t="str">
        <f t="shared" si="12"/>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milscm_2023_009.sny_202310_backup_merge_dpc_ff1.a006030_shobyo_code IS '傷病名コード';</v>
      </c>
      <c r="AT92" s="4"/>
      <c r="AU92" s="4"/>
      <c r="AV92" s="4"/>
      <c r="AW92" s="4"/>
      <c r="AX92" s="4"/>
      <c r="AY92" s="4"/>
      <c r="AZ92" s="4"/>
    </row>
    <row r="93" spans="1:52" s="25" customFormat="1" ht="30">
      <c r="A93" s="4"/>
      <c r="B93" s="21">
        <f t="shared" si="2"/>
        <v>81</v>
      </c>
      <c r="C93" s="6" t="s">
        <v>667</v>
      </c>
      <c r="D93" s="6" t="s">
        <v>689</v>
      </c>
      <c r="E93" s="8"/>
      <c r="F93" s="7" t="s">
        <v>317</v>
      </c>
      <c r="G93" s="7" t="str">
        <f t="shared" si="3"/>
        <v>text</v>
      </c>
      <c r="H93" s="58"/>
      <c r="I93" s="23"/>
      <c r="J93" s="24"/>
      <c r="L93" s="4"/>
      <c r="M93" s="4"/>
      <c r="N93" s="76"/>
      <c r="O93" s="76"/>
      <c r="P93" s="76" t="str">
        <f t="shared" si="8"/>
        <v>,a006030_shushoku_code1</v>
      </c>
      <c r="Q93" s="76" t="str">
        <f t="shared" si="9"/>
        <v>TEXT</v>
      </c>
      <c r="R93" s="76" t="str">
        <f t="shared" si="10"/>
        <v/>
      </c>
      <c r="S93" s="76" t="str">
        <f t="shared" si="11"/>
        <v/>
      </c>
      <c r="T93" s="76" t="str">
        <f t="shared" si="12"/>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milscm_2023_009.sny_202310_backup_merge_dpc_ff1.a006030_shushoku_code1 IS '修飾語コード1';</v>
      </c>
      <c r="AT93" s="4"/>
      <c r="AU93" s="4"/>
      <c r="AV93" s="4"/>
      <c r="AW93" s="4"/>
      <c r="AX93" s="4"/>
      <c r="AY93" s="4"/>
      <c r="AZ93" s="4"/>
    </row>
    <row r="94" spans="1:52" s="25" customFormat="1" ht="30">
      <c r="A94" s="4"/>
      <c r="B94" s="21">
        <f t="shared" si="2"/>
        <v>82</v>
      </c>
      <c r="C94" s="13" t="s">
        <v>669</v>
      </c>
      <c r="D94" s="13" t="s">
        <v>690</v>
      </c>
      <c r="E94" s="7"/>
      <c r="F94" s="7" t="s">
        <v>317</v>
      </c>
      <c r="G94" s="7" t="str">
        <f t="shared" si="3"/>
        <v>text</v>
      </c>
      <c r="H94" s="58"/>
      <c r="I94" s="23"/>
      <c r="J94" s="24"/>
      <c r="L94" s="4"/>
      <c r="M94" s="4"/>
      <c r="N94" s="76"/>
      <c r="O94" s="76"/>
      <c r="P94" s="76" t="str">
        <f t="shared" si="8"/>
        <v>,a006030_shushoku_code2</v>
      </c>
      <c r="Q94" s="76" t="str">
        <f t="shared" si="9"/>
        <v>TEXT</v>
      </c>
      <c r="R94" s="76" t="str">
        <f t="shared" si="10"/>
        <v/>
      </c>
      <c r="S94" s="76" t="str">
        <f t="shared" si="11"/>
        <v/>
      </c>
      <c r="T94" s="76" t="str">
        <f t="shared" si="12"/>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milscm_2023_009.sny_202310_backup_merge_dpc_ff1.a006030_shushoku_code2 IS '修飾語コード2';</v>
      </c>
      <c r="AT94" s="4"/>
      <c r="AU94" s="4"/>
      <c r="AV94" s="4"/>
      <c r="AW94" s="4"/>
      <c r="AX94" s="4"/>
      <c r="AY94" s="4"/>
      <c r="AZ94" s="4"/>
    </row>
    <row r="95" spans="1:52" s="25" customFormat="1" ht="30">
      <c r="A95" s="4"/>
      <c r="B95" s="21">
        <f t="shared" si="2"/>
        <v>83</v>
      </c>
      <c r="C95" s="6" t="s">
        <v>671</v>
      </c>
      <c r="D95" s="6" t="s">
        <v>691</v>
      </c>
      <c r="E95" s="8"/>
      <c r="F95" s="7" t="s">
        <v>317</v>
      </c>
      <c r="G95" s="7" t="str">
        <f t="shared" si="3"/>
        <v>text</v>
      </c>
      <c r="H95" s="26"/>
      <c r="I95" s="10"/>
      <c r="J95" s="11"/>
      <c r="L95" s="4"/>
      <c r="M95" s="4"/>
      <c r="N95" s="76"/>
      <c r="O95" s="76"/>
      <c r="P95" s="76" t="str">
        <f t="shared" si="8"/>
        <v>,a006030_shushoku_code3</v>
      </c>
      <c r="Q95" s="76" t="str">
        <f t="shared" si="9"/>
        <v>TEXT</v>
      </c>
      <c r="R95" s="76" t="str">
        <f t="shared" si="10"/>
        <v/>
      </c>
      <c r="S95" s="76" t="str">
        <f t="shared" si="11"/>
        <v/>
      </c>
      <c r="T95" s="76" t="str">
        <f t="shared" si="12"/>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milscm_2023_009.sny_202310_backup_merge_dpc_ff1.a006030_shushoku_code3 IS '修飾語コード3';</v>
      </c>
      <c r="AT95" s="4"/>
      <c r="AU95" s="4"/>
      <c r="AV95" s="4"/>
      <c r="AW95" s="4"/>
      <c r="AX95" s="4"/>
      <c r="AY95" s="4"/>
      <c r="AZ95" s="4"/>
    </row>
    <row r="96" spans="1:52" s="25" customFormat="1" ht="30">
      <c r="A96" s="4"/>
      <c r="B96" s="21">
        <f t="shared" si="2"/>
        <v>84</v>
      </c>
      <c r="C96" s="13" t="s">
        <v>673</v>
      </c>
      <c r="D96" s="13" t="s">
        <v>692</v>
      </c>
      <c r="E96" s="7"/>
      <c r="F96" s="7" t="s">
        <v>317</v>
      </c>
      <c r="G96" s="7" t="str">
        <f t="shared" si="3"/>
        <v>text</v>
      </c>
      <c r="H96" s="26"/>
      <c r="I96" s="10"/>
      <c r="J96" s="11"/>
      <c r="L96" s="4"/>
      <c r="M96" s="4"/>
      <c r="N96" s="76"/>
      <c r="O96" s="76"/>
      <c r="P96" s="76" t="str">
        <f t="shared" si="8"/>
        <v>,a006030_shushoku_code4</v>
      </c>
      <c r="Q96" s="76" t="str">
        <f t="shared" si="9"/>
        <v>TEXT</v>
      </c>
      <c r="R96" s="76" t="str">
        <f t="shared" si="10"/>
        <v/>
      </c>
      <c r="S96" s="76" t="str">
        <f t="shared" si="11"/>
        <v/>
      </c>
      <c r="T96" s="76" t="str">
        <f t="shared" si="12"/>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milscm_2023_009.sny_202310_backup_merge_dpc_ff1.a006030_shushoku_code4 IS '修飾語コード4';</v>
      </c>
      <c r="AT96" s="4"/>
      <c r="AU96" s="4"/>
      <c r="AV96" s="4"/>
      <c r="AW96" s="4"/>
      <c r="AX96" s="4"/>
      <c r="AY96" s="4"/>
      <c r="AZ96" s="4"/>
    </row>
    <row r="97" spans="1:52" s="25" customFormat="1" ht="52.2">
      <c r="A97" s="4"/>
      <c r="B97" s="21">
        <f t="shared" si="2"/>
        <v>85</v>
      </c>
      <c r="C97" s="6" t="s">
        <v>693</v>
      </c>
      <c r="D97" s="6" t="s">
        <v>694</v>
      </c>
      <c r="E97" s="8"/>
      <c r="F97" s="7" t="s">
        <v>317</v>
      </c>
      <c r="G97" s="7" t="str">
        <f t="shared" si="3"/>
        <v>text</v>
      </c>
      <c r="H97" s="58"/>
      <c r="I97" s="23"/>
      <c r="J97" s="24" t="s">
        <v>836</v>
      </c>
      <c r="L97" s="4"/>
      <c r="M97" s="4"/>
      <c r="N97" s="76"/>
      <c r="O97" s="76"/>
      <c r="P97" s="76" t="str">
        <f t="shared" si="8"/>
        <v>,a006030_iryo1_shobyo_name</v>
      </c>
      <c r="Q97" s="76" t="str">
        <f t="shared" si="9"/>
        <v>TEXT</v>
      </c>
      <c r="R97" s="76" t="str">
        <f t="shared" si="10"/>
        <v/>
      </c>
      <c r="S97" s="76" t="str">
        <f t="shared" si="11"/>
        <v/>
      </c>
      <c r="T97" s="76" t="str">
        <f t="shared" si="12"/>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663</v>
      </c>
      <c r="D98" s="13" t="s">
        <v>695</v>
      </c>
      <c r="E98" s="7"/>
      <c r="F98" s="7" t="s">
        <v>317</v>
      </c>
      <c r="G98" s="7" t="str">
        <f t="shared" si="3"/>
        <v>text</v>
      </c>
      <c r="H98" s="26"/>
      <c r="I98" s="10"/>
      <c r="J98" s="11" t="s">
        <v>837</v>
      </c>
      <c r="L98" s="4"/>
      <c r="M98" s="4"/>
      <c r="N98" s="76"/>
      <c r="O98" s="76"/>
      <c r="P98" s="76" t="str">
        <f t="shared" si="8"/>
        <v>,a006031_icd10_code</v>
      </c>
      <c r="Q98" s="76" t="str">
        <f t="shared" si="9"/>
        <v>TEXT</v>
      </c>
      <c r="R98" s="76" t="str">
        <f t="shared" si="10"/>
        <v/>
      </c>
      <c r="S98" s="76" t="str">
        <f t="shared" si="11"/>
        <v/>
      </c>
      <c r="T98" s="76" t="str">
        <f t="shared" si="12"/>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milscm_2023_009.sny_202310_backup_merge_dpc_ff1.a006031_icd10_code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8"/>
        <v>,a006031_shobyo_code</v>
      </c>
      <c r="Q99" s="76" t="str">
        <f t="shared" si="9"/>
        <v>TEXT</v>
      </c>
      <c r="R99" s="76" t="str">
        <f t="shared" si="10"/>
        <v/>
      </c>
      <c r="S99" s="76" t="str">
        <f t="shared" si="11"/>
        <v/>
      </c>
      <c r="T99" s="76" t="str">
        <f t="shared" si="12"/>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milscm_2023_009.sny_202310_backup_merge_dpc_ff1.a006031_shobyo_code IS '傷病名コード';</v>
      </c>
      <c r="AT99" s="4"/>
      <c r="AU99" s="4"/>
      <c r="AV99" s="4"/>
      <c r="AW99" s="4"/>
      <c r="AX99" s="4"/>
      <c r="AY99" s="4"/>
      <c r="AZ99" s="4"/>
    </row>
    <row r="100" spans="1:52" s="25" customFormat="1" ht="30">
      <c r="A100" s="4"/>
      <c r="B100" s="21">
        <f t="shared" si="2"/>
        <v>88</v>
      </c>
      <c r="C100" s="13" t="s">
        <v>667</v>
      </c>
      <c r="D100" s="13" t="s">
        <v>697</v>
      </c>
      <c r="E100" s="7"/>
      <c r="F100" s="7" t="s">
        <v>317</v>
      </c>
      <c r="G100" s="7" t="str">
        <f t="shared" si="3"/>
        <v>text</v>
      </c>
      <c r="H100" s="26"/>
      <c r="I100" s="10"/>
      <c r="J100" s="11"/>
      <c r="L100" s="4"/>
      <c r="M100" s="4"/>
      <c r="N100" s="76"/>
      <c r="O100" s="76"/>
      <c r="P100" s="76" t="str">
        <f t="shared" si="8"/>
        <v>,a006031_shushoku_code1</v>
      </c>
      <c r="Q100" s="76" t="str">
        <f t="shared" si="9"/>
        <v>TEXT</v>
      </c>
      <c r="R100" s="76" t="str">
        <f t="shared" si="10"/>
        <v/>
      </c>
      <c r="S100" s="76" t="str">
        <f t="shared" si="11"/>
        <v/>
      </c>
      <c r="T100" s="76" t="str">
        <f t="shared" si="12"/>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milscm_2023_009.sny_202310_backup_merge_dpc_ff1.a006031_shushoku_code1 IS '修飾語コード1';</v>
      </c>
      <c r="AT100" s="4"/>
      <c r="AU100" s="4"/>
      <c r="AV100" s="4"/>
      <c r="AW100" s="4"/>
      <c r="AX100" s="4"/>
      <c r="AY100" s="4"/>
      <c r="AZ100" s="4"/>
    </row>
    <row r="101" spans="1:52" s="25" customFormat="1" ht="30">
      <c r="A101" s="4"/>
      <c r="B101" s="21">
        <f t="shared" si="2"/>
        <v>89</v>
      </c>
      <c r="C101" s="6" t="s">
        <v>669</v>
      </c>
      <c r="D101" s="6" t="s">
        <v>698</v>
      </c>
      <c r="E101" s="8"/>
      <c r="F101" s="7" t="s">
        <v>317</v>
      </c>
      <c r="G101" s="7" t="str">
        <f t="shared" si="3"/>
        <v>text</v>
      </c>
      <c r="H101" s="58"/>
      <c r="I101" s="23"/>
      <c r="J101" s="24"/>
      <c r="L101" s="4"/>
      <c r="M101" s="4"/>
      <c r="N101" s="76"/>
      <c r="O101" s="76"/>
      <c r="P101" s="76" t="str">
        <f t="shared" si="8"/>
        <v>,a006031_shushoku_code2</v>
      </c>
      <c r="Q101" s="76" t="str">
        <f t="shared" si="9"/>
        <v>TEXT</v>
      </c>
      <c r="R101" s="76" t="str">
        <f t="shared" si="10"/>
        <v/>
      </c>
      <c r="S101" s="76" t="str">
        <f t="shared" si="11"/>
        <v/>
      </c>
      <c r="T101" s="76" t="str">
        <f t="shared" si="12"/>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milscm_2023_009.sny_202310_backup_merge_dpc_ff1.a006031_shushoku_code2 IS '修飾語コード2';</v>
      </c>
      <c r="AT101" s="4"/>
      <c r="AU101" s="4"/>
      <c r="AV101" s="4"/>
      <c r="AW101" s="4"/>
      <c r="AX101" s="4"/>
      <c r="AY101" s="4"/>
      <c r="AZ101" s="4"/>
    </row>
    <row r="102" spans="1:52" s="25" customFormat="1" ht="30">
      <c r="A102" s="4"/>
      <c r="B102" s="21">
        <f t="shared" si="2"/>
        <v>90</v>
      </c>
      <c r="C102" s="13" t="s">
        <v>671</v>
      </c>
      <c r="D102" s="13" t="s">
        <v>699</v>
      </c>
      <c r="E102" s="7"/>
      <c r="F102" s="7" t="s">
        <v>317</v>
      </c>
      <c r="G102" s="7" t="str">
        <f t="shared" si="3"/>
        <v>text</v>
      </c>
      <c r="H102" s="26"/>
      <c r="I102" s="10"/>
      <c r="J102" s="11"/>
      <c r="L102" s="4"/>
      <c r="M102" s="4"/>
      <c r="N102" s="76"/>
      <c r="O102" s="76"/>
      <c r="P102" s="76" t="str">
        <f t="shared" si="8"/>
        <v>,a006031_shushoku_code3</v>
      </c>
      <c r="Q102" s="76" t="str">
        <f t="shared" si="9"/>
        <v>TEXT</v>
      </c>
      <c r="R102" s="76" t="str">
        <f t="shared" si="10"/>
        <v/>
      </c>
      <c r="S102" s="76" t="str">
        <f t="shared" si="11"/>
        <v/>
      </c>
      <c r="T102" s="76" t="str">
        <f t="shared" si="12"/>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milscm_2023_009.sny_202310_backup_merge_dpc_ff1.a006031_shushoku_code3 IS '修飾語コード3';</v>
      </c>
      <c r="AT102" s="4"/>
      <c r="AU102" s="4"/>
      <c r="AV102" s="4"/>
      <c r="AW102" s="4"/>
      <c r="AX102" s="4"/>
      <c r="AY102" s="4"/>
      <c r="AZ102" s="4"/>
    </row>
    <row r="103" spans="1:52" s="25" customFormat="1" ht="30">
      <c r="A103" s="4"/>
      <c r="B103" s="21">
        <f t="shared" si="2"/>
        <v>91</v>
      </c>
      <c r="C103" s="6" t="s">
        <v>673</v>
      </c>
      <c r="D103" s="6" t="s">
        <v>700</v>
      </c>
      <c r="E103" s="8"/>
      <c r="F103" s="7" t="s">
        <v>317</v>
      </c>
      <c r="G103" s="7" t="str">
        <f t="shared" si="3"/>
        <v>text</v>
      </c>
      <c r="H103" s="58"/>
      <c r="I103" s="23"/>
      <c r="J103" s="24"/>
      <c r="L103" s="4"/>
      <c r="M103" s="4"/>
      <c r="N103" s="76"/>
      <c r="O103" s="76"/>
      <c r="P103" s="76" t="str">
        <f t="shared" si="8"/>
        <v>,a006031_shushoku_code4</v>
      </c>
      <c r="Q103" s="76" t="str">
        <f t="shared" si="9"/>
        <v>TEXT</v>
      </c>
      <c r="R103" s="76" t="str">
        <f t="shared" si="10"/>
        <v/>
      </c>
      <c r="S103" s="76" t="str">
        <f t="shared" si="11"/>
        <v/>
      </c>
      <c r="T103" s="76" t="str">
        <f t="shared" si="12"/>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milscm_2023_009.sny_202310_backup_merge_dpc_ff1.a006031_shushoku_code4 IS '修飾語コード4';</v>
      </c>
      <c r="AT103" s="4"/>
      <c r="AU103" s="4"/>
      <c r="AV103" s="4"/>
      <c r="AW103" s="4"/>
      <c r="AX103" s="4"/>
      <c r="AY103" s="4"/>
      <c r="AZ103" s="4"/>
    </row>
    <row r="104" spans="1:52" s="25" customFormat="1" ht="30">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8"/>
        <v>,a006031_iryo2_shobyo_name</v>
      </c>
      <c r="Q104" s="76" t="str">
        <f t="shared" si="9"/>
        <v>TEXT</v>
      </c>
      <c r="R104" s="76" t="str">
        <f t="shared" si="10"/>
        <v/>
      </c>
      <c r="S104" s="76" t="str">
        <f t="shared" si="11"/>
        <v/>
      </c>
      <c r="T104" s="76" t="str">
        <f t="shared" si="12"/>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703</v>
      </c>
      <c r="D105" s="6" t="s">
        <v>704</v>
      </c>
      <c r="E105" s="8"/>
      <c r="F105" s="7" t="s">
        <v>317</v>
      </c>
      <c r="G105" s="7" t="str">
        <f t="shared" si="3"/>
        <v>text</v>
      </c>
      <c r="H105" s="58"/>
      <c r="I105" s="23"/>
      <c r="J105" s="24"/>
      <c r="L105" s="4"/>
      <c r="M105" s="4"/>
      <c r="N105" s="76"/>
      <c r="O105" s="76"/>
      <c r="P105" s="76" t="str">
        <f t="shared" si="8"/>
        <v>,a006060_nanbyo_kokuji_no1</v>
      </c>
      <c r="Q105" s="76" t="str">
        <f t="shared" si="9"/>
        <v>TEXT</v>
      </c>
      <c r="R105" s="76" t="str">
        <f t="shared" si="10"/>
        <v/>
      </c>
      <c r="S105" s="76" t="str">
        <f t="shared" si="11"/>
        <v/>
      </c>
      <c r="T105" s="76" t="str">
        <f t="shared" si="12"/>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milscm_2023_009.sny_202310_backup_merge_dpc_ff1.a006060_nanbyo_kokuji_no1 IS '難病の告示番号1';</v>
      </c>
      <c r="AT105" s="4"/>
      <c r="AU105" s="4"/>
      <c r="AV105" s="4"/>
      <c r="AW105" s="4"/>
      <c r="AX105" s="4"/>
      <c r="AY105" s="4"/>
      <c r="AZ105" s="4"/>
    </row>
    <row r="106" spans="1:52" s="25" customFormat="1" ht="30">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8"/>
        <v>,a006060_iryohi_josei_flag1</v>
      </c>
      <c r="Q106" s="76" t="str">
        <f t="shared" si="9"/>
        <v>TEXT</v>
      </c>
      <c r="R106" s="76" t="str">
        <f t="shared" si="10"/>
        <v/>
      </c>
      <c r="S106" s="76" t="str">
        <f t="shared" si="11"/>
        <v/>
      </c>
      <c r="T106" s="76" t="str">
        <f t="shared" si="12"/>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milscm_2023_009.sny_202310_backup_merge_dpc_ff1.a006060_iryohi_josei_flag1 IS '医療費助成の有無1';</v>
      </c>
      <c r="AT106" s="4"/>
      <c r="AU106" s="4"/>
      <c r="AV106" s="4"/>
      <c r="AW106" s="4"/>
      <c r="AX106" s="4"/>
      <c r="AY106" s="4"/>
      <c r="AZ106" s="4"/>
    </row>
    <row r="107" spans="1:52" s="25" customFormat="1" ht="30">
      <c r="A107" s="4"/>
      <c r="B107" s="21">
        <f t="shared" si="2"/>
        <v>95</v>
      </c>
      <c r="C107" s="13" t="s">
        <v>707</v>
      </c>
      <c r="D107" s="13" t="s">
        <v>708</v>
      </c>
      <c r="E107" s="7"/>
      <c r="F107" s="7" t="s">
        <v>317</v>
      </c>
      <c r="G107" s="7" t="str">
        <f t="shared" si="3"/>
        <v>text</v>
      </c>
      <c r="H107" s="26"/>
      <c r="I107" s="10"/>
      <c r="J107" s="11"/>
      <c r="L107" s="4"/>
      <c r="M107" s="4"/>
      <c r="N107" s="76"/>
      <c r="O107" s="76"/>
      <c r="P107" s="76" t="str">
        <f t="shared" si="8"/>
        <v>,a006060_nanbyo_kokuji_no2</v>
      </c>
      <c r="Q107" s="76" t="str">
        <f t="shared" si="9"/>
        <v>TEXT</v>
      </c>
      <c r="R107" s="76" t="str">
        <f t="shared" si="10"/>
        <v/>
      </c>
      <c r="S107" s="76" t="str">
        <f t="shared" si="11"/>
        <v/>
      </c>
      <c r="T107" s="76" t="str">
        <f t="shared" si="12"/>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milscm_2023_009.sny_202310_backup_merge_dpc_ff1.a006060_nanbyo_kokuji_no2 IS '難病の告示番号2';</v>
      </c>
      <c r="AT107" s="4"/>
      <c r="AU107" s="4"/>
      <c r="AV107" s="4"/>
      <c r="AW107" s="4"/>
      <c r="AX107" s="4"/>
      <c r="AY107" s="4"/>
      <c r="AZ107" s="4"/>
    </row>
    <row r="108" spans="1:52" s="25" customFormat="1" ht="30">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8"/>
        <v>,a006060_iryohi_josei_flag2</v>
      </c>
      <c r="Q108" s="76" t="str">
        <f t="shared" si="9"/>
        <v>TEXT</v>
      </c>
      <c r="R108" s="76" t="str">
        <f t="shared" si="10"/>
        <v/>
      </c>
      <c r="S108" s="76" t="str">
        <f t="shared" si="11"/>
        <v/>
      </c>
      <c r="T108" s="76" t="str">
        <f t="shared" si="12"/>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milscm_2023_009.sny_202310_backup_merge_dpc_ff1.a006060_iryohi_josei_flag2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8"/>
        <v>,adl0010_nyuin_adl</v>
      </c>
      <c r="Q109" s="76" t="str">
        <f t="shared" si="9"/>
        <v>TEXT</v>
      </c>
      <c r="R109" s="76" t="str">
        <f t="shared" si="10"/>
        <v/>
      </c>
      <c r="S109" s="76" t="str">
        <f t="shared" si="11"/>
        <v/>
      </c>
      <c r="T109" s="76" t="str">
        <f t="shared" si="12"/>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milscm_2023_009.sny_202310_backup_merge_dpc_ff1.adl0010_nyuin_adl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8"/>
        <v>,adl0020_taiin_adl</v>
      </c>
      <c r="Q110" s="76" t="str">
        <f t="shared" si="9"/>
        <v>TEXT</v>
      </c>
      <c r="R110" s="76" t="str">
        <f t="shared" si="10"/>
        <v/>
      </c>
      <c r="S110" s="76" t="str">
        <f t="shared" si="11"/>
        <v/>
      </c>
      <c r="T110" s="76" t="str">
        <f t="shared" si="12"/>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milscm_2023_009.sny_202310_backup_merge_dpc_ff1.adl0020_taiin_adl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8"/>
        <v>,adl0030_nyutou_adl</v>
      </c>
      <c r="Q111" s="76" t="str">
        <f t="shared" si="9"/>
        <v>TEXT</v>
      </c>
      <c r="R111" s="76" t="str">
        <f t="shared" si="10"/>
        <v/>
      </c>
      <c r="S111" s="76" t="str">
        <f t="shared" si="11"/>
        <v/>
      </c>
      <c r="T111" s="76" t="str">
        <f t="shared" si="12"/>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milscm_2023_009.sny_202310_backup_merge_dpc_ff1.adl0030_nyutou_adl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ref="P112:P155" si="13">IF(B112&lt;&gt;1,","&amp;D112,D112)</f>
        <v>,adl0040_taitou_adl</v>
      </c>
      <c r="Q112" s="76" t="str">
        <f t="shared" ref="Q112:Q155" si="14">UPPER(G112)</f>
        <v>TEXT</v>
      </c>
      <c r="R112" s="76" t="str">
        <f t="shared" ref="R112:R155" si="15">IF(H112&lt;&gt;"","default "&amp;IF(G112="text","'"&amp;H112&amp;"'",H112),"")</f>
        <v/>
      </c>
      <c r="S112" s="76" t="str">
        <f t="shared" ref="S112:S155" si="16">IF(I112="○","NOT NULL","")</f>
        <v/>
      </c>
      <c r="T112" s="76" t="str">
        <f t="shared" ref="T112:T155" si="17">"-- "&amp;C112</f>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milscm_2023_009.sny_202310_backup_merge_dpc_ff1.adl0040_taitou_adl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3"/>
        <v>,can0010_gan_shohatsu</v>
      </c>
      <c r="Q113" s="76" t="str">
        <f t="shared" si="14"/>
        <v>TEXT</v>
      </c>
      <c r="R113" s="76" t="str">
        <f t="shared" si="15"/>
        <v/>
      </c>
      <c r="S113" s="76" t="str">
        <f t="shared" si="16"/>
        <v/>
      </c>
      <c r="T113" s="76" t="str">
        <f t="shared" si="17"/>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milscm_2023_009.sny_202310_backup_merge_dpc_ff1.can0010_gan_shohatsu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3"/>
        <v>,can0020_uicc_t</v>
      </c>
      <c r="Q114" s="76" t="str">
        <f t="shared" si="14"/>
        <v>TEXT</v>
      </c>
      <c r="R114" s="76" t="str">
        <f t="shared" si="15"/>
        <v/>
      </c>
      <c r="S114" s="76" t="str">
        <f t="shared" si="16"/>
        <v/>
      </c>
      <c r="T114" s="76" t="str">
        <f t="shared" si="17"/>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milscm_2023_009.sny_202310_backup_merge_dpc_ff1.can0020_uicc_t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3"/>
        <v>,can0020_uicc_n</v>
      </c>
      <c r="Q115" s="76" t="str">
        <f t="shared" si="14"/>
        <v>TEXT</v>
      </c>
      <c r="R115" s="76" t="str">
        <f t="shared" si="15"/>
        <v/>
      </c>
      <c r="S115" s="76" t="str">
        <f t="shared" si="16"/>
        <v/>
      </c>
      <c r="T115" s="76" t="str">
        <f t="shared" si="17"/>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milscm_2023_009.sny_202310_backup_merge_dpc_ff1.can0020_uicc_n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3"/>
        <v>,can0020_uicc_m</v>
      </c>
      <c r="Q116" s="76" t="str">
        <f t="shared" si="14"/>
        <v>TEXT</v>
      </c>
      <c r="R116" s="76" t="str">
        <f t="shared" si="15"/>
        <v/>
      </c>
      <c r="S116" s="76" t="str">
        <f t="shared" si="16"/>
        <v/>
      </c>
      <c r="T116" s="76" t="str">
        <f t="shared" si="17"/>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milscm_2023_009.sny_202310_backup_merge_dpc_ff1.can0020_uicc_m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3"/>
        <v>,can0020_uicc_han</v>
      </c>
      <c r="Q117" s="76" t="str">
        <f t="shared" si="14"/>
        <v>TEXT</v>
      </c>
      <c r="R117" s="76" t="str">
        <f t="shared" si="15"/>
        <v/>
      </c>
      <c r="S117" s="76" t="str">
        <f t="shared" si="16"/>
        <v/>
      </c>
      <c r="T117" s="76" t="str">
        <f t="shared" si="17"/>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milscm_2023_009.sny_202310_backup_merge_dpc_ff1.can0020_uicc_han IS 'UICC病期分類（版）';</v>
      </c>
      <c r="AT117" s="4"/>
      <c r="AU117" s="4"/>
      <c r="AV117" s="4"/>
      <c r="AW117" s="4"/>
      <c r="AX117" s="4"/>
      <c r="AY117" s="4"/>
      <c r="AZ117" s="4"/>
    </row>
    <row r="118" spans="1:52" s="25" customFormat="1" ht="30">
      <c r="A118" s="4"/>
      <c r="B118" s="21">
        <f t="shared" si="2"/>
        <v>106</v>
      </c>
      <c r="C118" s="6" t="s">
        <v>729</v>
      </c>
      <c r="D118" s="6" t="s">
        <v>730</v>
      </c>
      <c r="E118" s="8"/>
      <c r="F118" s="7" t="s">
        <v>317</v>
      </c>
      <c r="G118" s="7" t="str">
        <f t="shared" si="3"/>
        <v>text</v>
      </c>
      <c r="H118" s="58"/>
      <c r="I118" s="23"/>
      <c r="J118" s="24"/>
      <c r="L118" s="4"/>
      <c r="M118" s="4"/>
      <c r="N118" s="76"/>
      <c r="O118" s="76"/>
      <c r="P118" s="76" t="str">
        <f t="shared" si="13"/>
        <v>,can0030_gan_stage</v>
      </c>
      <c r="Q118" s="76" t="str">
        <f t="shared" si="14"/>
        <v>TEXT</v>
      </c>
      <c r="R118" s="76" t="str">
        <f t="shared" si="15"/>
        <v/>
      </c>
      <c r="S118" s="76" t="str">
        <f t="shared" si="16"/>
        <v/>
      </c>
      <c r="T118" s="76" t="str">
        <f t="shared" si="17"/>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3"/>
        <v>,can0040_kagaku_ryoho_flag</v>
      </c>
      <c r="Q119" s="76" t="str">
        <f t="shared" si="14"/>
        <v>TEXT</v>
      </c>
      <c r="R119" s="76" t="str">
        <f t="shared" si="15"/>
        <v/>
      </c>
      <c r="S119" s="76" t="str">
        <f t="shared" si="16"/>
        <v/>
      </c>
      <c r="T119" s="76" t="str">
        <f t="shared" si="17"/>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3"/>
        <v>,jcs0010_nyuin_jcs</v>
      </c>
      <c r="Q120" s="76" t="str">
        <f t="shared" si="14"/>
        <v>TEXT</v>
      </c>
      <c r="R120" s="76" t="str">
        <f t="shared" si="15"/>
        <v/>
      </c>
      <c r="S120" s="76" t="str">
        <f t="shared" si="16"/>
        <v/>
      </c>
      <c r="T120" s="76" t="str">
        <f t="shared" si="17"/>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3"/>
        <v>,jcs0010_emergency_jcs</v>
      </c>
      <c r="Q121" s="76" t="str">
        <f t="shared" si="14"/>
        <v>TEXT</v>
      </c>
      <c r="R121" s="76" t="str">
        <f t="shared" si="15"/>
        <v/>
      </c>
      <c r="S121" s="76" t="str">
        <f t="shared" si="16"/>
        <v/>
      </c>
      <c r="T121" s="76" t="str">
        <f t="shared" si="17"/>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3"/>
        <v>,jcs0010_nyusitsu_jcs</v>
      </c>
      <c r="Q122" s="76" t="str">
        <f t="shared" si="14"/>
        <v>TEXT</v>
      </c>
      <c r="R122" s="76" t="str">
        <f t="shared" si="15"/>
        <v/>
      </c>
      <c r="S122" s="76" t="str">
        <f t="shared" si="16"/>
        <v/>
      </c>
      <c r="T122" s="76" t="str">
        <f t="shared" si="17"/>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3"/>
        <v>,jcs0020_taiin_jcs</v>
      </c>
      <c r="Q123" s="76" t="str">
        <f t="shared" si="14"/>
        <v>TEXT</v>
      </c>
      <c r="R123" s="76" t="str">
        <f t="shared" si="15"/>
        <v/>
      </c>
      <c r="S123" s="76" t="str">
        <f t="shared" si="16"/>
        <v/>
      </c>
      <c r="T123" s="76" t="str">
        <f t="shared" si="17"/>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742</v>
      </c>
      <c r="D124" s="6" t="s">
        <v>743</v>
      </c>
      <c r="E124" s="8"/>
      <c r="F124" s="7" t="s">
        <v>317</v>
      </c>
      <c r="G124" s="7" t="str">
        <f t="shared" si="3"/>
        <v>text</v>
      </c>
      <c r="H124" s="26"/>
      <c r="I124" s="10"/>
      <c r="J124" s="11"/>
      <c r="L124" s="4"/>
      <c r="M124" s="4"/>
      <c r="N124" s="76"/>
      <c r="O124" s="76"/>
      <c r="P124" s="76" t="str">
        <f t="shared" si="13"/>
        <v>,m010010_before_rankin_scale</v>
      </c>
      <c r="Q124" s="76" t="str">
        <f t="shared" si="14"/>
        <v>TEXT</v>
      </c>
      <c r="R124" s="76" t="str">
        <f t="shared" si="15"/>
        <v/>
      </c>
      <c r="S124" s="76" t="str">
        <f t="shared" si="16"/>
        <v/>
      </c>
      <c r="T124" s="76" t="str">
        <f t="shared" si="17"/>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milscm_2023_009.sny_202310_backup_merge_dpc_ff1.m010010_before_rankin_scale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3"/>
        <v>,m010010_stroke</v>
      </c>
      <c r="Q125" s="76" t="str">
        <f t="shared" si="14"/>
        <v>TEXT</v>
      </c>
      <c r="R125" s="76" t="str">
        <f t="shared" si="15"/>
        <v/>
      </c>
      <c r="S125" s="76" t="str">
        <f t="shared" si="16"/>
        <v/>
      </c>
      <c r="T125" s="76" t="str">
        <f t="shared" si="17"/>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milscm_2023_009.sny_202310_backup_merge_dpc_ff1.m010010_stroke IS '脳卒中の発症時期';</v>
      </c>
      <c r="AT125" s="4"/>
      <c r="AU125" s="4"/>
      <c r="AV125" s="4"/>
      <c r="AW125" s="4"/>
      <c r="AX125" s="4"/>
      <c r="AY125" s="4"/>
      <c r="AZ125" s="4"/>
    </row>
    <row r="126" spans="1:52" s="25" customFormat="1" ht="30">
      <c r="A126" s="4"/>
      <c r="B126" s="21">
        <f t="shared" si="2"/>
        <v>114</v>
      </c>
      <c r="C126" s="13" t="s">
        <v>746</v>
      </c>
      <c r="D126" s="13" t="s">
        <v>747</v>
      </c>
      <c r="E126" s="7"/>
      <c r="F126" s="7" t="s">
        <v>317</v>
      </c>
      <c r="G126" s="7" t="str">
        <f t="shared" si="3"/>
        <v>text</v>
      </c>
      <c r="H126" s="26"/>
      <c r="I126" s="10"/>
      <c r="J126" s="11"/>
      <c r="L126" s="4"/>
      <c r="M126" s="4"/>
      <c r="N126" s="76"/>
      <c r="O126" s="76"/>
      <c r="P126" s="76" t="str">
        <f t="shared" si="13"/>
        <v>,m010020_taiin_modified_rankin</v>
      </c>
      <c r="Q126" s="76" t="str">
        <f t="shared" si="14"/>
        <v>TEXT</v>
      </c>
      <c r="R126" s="76" t="str">
        <f t="shared" si="15"/>
        <v/>
      </c>
      <c r="S126" s="76" t="str">
        <f t="shared" si="16"/>
        <v/>
      </c>
      <c r="T126" s="76" t="str">
        <f t="shared" si="17"/>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3"/>
        <v>,m010030_temozolomide_flag</v>
      </c>
      <c r="Q127" s="76" t="str">
        <f t="shared" si="14"/>
        <v>TEXT</v>
      </c>
      <c r="R127" s="76" t="str">
        <f t="shared" si="15"/>
        <v/>
      </c>
      <c r="S127" s="76" t="str">
        <f t="shared" si="16"/>
        <v/>
      </c>
      <c r="T127" s="76" t="str">
        <f t="shared" si="17"/>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3"/>
        <v>,m040010_hugh_jones</v>
      </c>
      <c r="Q128" s="76" t="str">
        <f t="shared" si="14"/>
        <v>TEXT</v>
      </c>
      <c r="R128" s="76" t="str">
        <f t="shared" si="15"/>
        <v/>
      </c>
      <c r="S128" s="76" t="str">
        <f t="shared" si="16"/>
        <v/>
      </c>
      <c r="T128" s="76" t="str">
        <f t="shared" si="17"/>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milscm_2023_009.sny_202310_backup_merge_dpc_ff1.m040010_hugh_jones IS 'Hugh-Jones分類';</v>
      </c>
      <c r="AT128" s="4"/>
      <c r="AU128" s="4"/>
      <c r="AV128" s="4"/>
      <c r="AW128" s="4"/>
      <c r="AX128" s="4"/>
      <c r="AY128" s="4"/>
      <c r="AZ128" s="4"/>
    </row>
    <row r="129" spans="1:52" s="25" customFormat="1" ht="30">
      <c r="A129" s="4"/>
      <c r="B129" s="21">
        <f t="shared" si="2"/>
        <v>117</v>
      </c>
      <c r="C129" s="13" t="s">
        <v>752</v>
      </c>
      <c r="D129" s="13" t="s">
        <v>753</v>
      </c>
      <c r="E129" s="7"/>
      <c r="F129" s="7" t="s">
        <v>317</v>
      </c>
      <c r="G129" s="7" t="str">
        <f t="shared" si="3"/>
        <v>text</v>
      </c>
      <c r="H129" s="58"/>
      <c r="I129" s="23"/>
      <c r="J129" s="24"/>
      <c r="L129" s="4"/>
      <c r="M129" s="4"/>
      <c r="N129" s="76"/>
      <c r="O129" s="76"/>
      <c r="P129" s="76" t="str">
        <f t="shared" si="13"/>
        <v>,m040020_haien_jushodo</v>
      </c>
      <c r="Q129" s="76" t="str">
        <f t="shared" si="14"/>
        <v>TEXT</v>
      </c>
      <c r="R129" s="76" t="str">
        <f t="shared" si="15"/>
        <v/>
      </c>
      <c r="S129" s="76" t="str">
        <f t="shared" si="16"/>
        <v/>
      </c>
      <c r="T129" s="76" t="str">
        <f t="shared" si="17"/>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milscm_2023_009.sny_202310_backup_merge_dpc_ff1.m040020_haien_jushodo IS '肺炎の重症度分類';</v>
      </c>
      <c r="AT129" s="4"/>
      <c r="AU129" s="4"/>
      <c r="AV129" s="4"/>
      <c r="AW129" s="4"/>
      <c r="AX129" s="4"/>
      <c r="AY129" s="4"/>
      <c r="AZ129" s="4"/>
    </row>
    <row r="130" spans="1:52" s="25" customFormat="1" ht="30">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3"/>
        <v>,m040020_kanren_haien_flag</v>
      </c>
      <c r="Q130" s="76" t="str">
        <f t="shared" si="14"/>
        <v>TEXT</v>
      </c>
      <c r="R130" s="76" t="str">
        <f t="shared" si="15"/>
        <v/>
      </c>
      <c r="S130" s="76" t="str">
        <f t="shared" si="16"/>
        <v/>
      </c>
      <c r="T130" s="76" t="str">
        <f t="shared" si="17"/>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3"/>
        <v>,m040030_emergency_pf</v>
      </c>
      <c r="Q131" s="76" t="str">
        <f t="shared" si="14"/>
        <v>TEXT</v>
      </c>
      <c r="R131" s="76" t="str">
        <f t="shared" si="15"/>
        <v/>
      </c>
      <c r="S131" s="76" t="str">
        <f t="shared" si="16"/>
        <v/>
      </c>
      <c r="T131" s="76" t="str">
        <f t="shared" si="17"/>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milscm_2023_009.sny_202310_backup_merge_dpc_ff1.m040030_emergency_pf IS '救急受診時のP/F比';</v>
      </c>
      <c r="AT131" s="4"/>
      <c r="AU131" s="4"/>
      <c r="AV131" s="4"/>
      <c r="AW131" s="4"/>
      <c r="AX131" s="4"/>
      <c r="AY131" s="4"/>
      <c r="AZ131" s="4"/>
    </row>
    <row r="132" spans="1:52" s="25" customFormat="1" ht="30">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3"/>
        <v>,m040030_emergency_kokyu</v>
      </c>
      <c r="Q132" s="76" t="str">
        <f t="shared" si="14"/>
        <v>TEXT</v>
      </c>
      <c r="R132" s="76" t="str">
        <f t="shared" si="15"/>
        <v/>
      </c>
      <c r="S132" s="76" t="str">
        <f t="shared" si="16"/>
        <v/>
      </c>
      <c r="T132" s="76" t="str">
        <f t="shared" si="17"/>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milscm_2023_009.sny_202310_backup_merge_dpc_ff1.m040030_emergency_kokyu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3"/>
        <v>,m040030_nyusitsu_pf</v>
      </c>
      <c r="Q133" s="76" t="str">
        <f t="shared" si="14"/>
        <v>TEXT</v>
      </c>
      <c r="R133" s="76" t="str">
        <f t="shared" si="15"/>
        <v/>
      </c>
      <c r="S133" s="76" t="str">
        <f t="shared" si="16"/>
        <v/>
      </c>
      <c r="T133" s="76" t="str">
        <f t="shared" si="17"/>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3"/>
        <v>,m040030_nyusitsu_kokyu</v>
      </c>
      <c r="Q134" s="76" t="str">
        <f t="shared" si="14"/>
        <v>TEXT</v>
      </c>
      <c r="R134" s="76" t="str">
        <f t="shared" si="15"/>
        <v/>
      </c>
      <c r="S134" s="76" t="str">
        <f t="shared" si="16"/>
        <v/>
      </c>
      <c r="T134" s="76" t="str">
        <f t="shared" si="17"/>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3"/>
        <v>,m050010_nyha</v>
      </c>
      <c r="Q135" s="76" t="str">
        <f t="shared" si="14"/>
        <v>TEXT</v>
      </c>
      <c r="R135" s="76" t="str">
        <f t="shared" si="15"/>
        <v/>
      </c>
      <c r="S135" s="76" t="str">
        <f t="shared" si="16"/>
        <v/>
      </c>
      <c r="T135" s="76" t="str">
        <f t="shared" si="17"/>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milscm_2023_009.sny_202310_backup_merge_dpc_ff1.m050010_nyha IS 'NYHA心機能分類';</v>
      </c>
      <c r="AT135" s="4"/>
      <c r="AU135" s="4"/>
      <c r="AV135" s="4"/>
      <c r="AW135" s="4"/>
      <c r="AX135" s="4"/>
      <c r="AY135" s="4"/>
      <c r="AZ135" s="4"/>
    </row>
    <row r="136" spans="1:52" s="25" customFormat="1" ht="87">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3"/>
        <v>,m050010_emergency_nyha</v>
      </c>
      <c r="Q136" s="76" t="str">
        <f t="shared" si="14"/>
        <v>TEXT</v>
      </c>
      <c r="R136" s="76" t="str">
        <f t="shared" si="15"/>
        <v/>
      </c>
      <c r="S136" s="76" t="str">
        <f t="shared" si="16"/>
        <v/>
      </c>
      <c r="T136" s="76" t="str">
        <f t="shared" si="17"/>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3"/>
        <v>,m050010_nyusitsu_nyha</v>
      </c>
      <c r="Q137" s="76" t="str">
        <f t="shared" si="14"/>
        <v>TEXT</v>
      </c>
      <c r="R137" s="76" t="str">
        <f t="shared" si="15"/>
        <v/>
      </c>
      <c r="S137" s="76" t="str">
        <f t="shared" si="16"/>
        <v/>
      </c>
      <c r="T137" s="76" t="str">
        <f t="shared" si="17"/>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3"/>
        <v>,m050020_ccs</v>
      </c>
      <c r="Q138" s="76" t="str">
        <f t="shared" si="14"/>
        <v>TEXT</v>
      </c>
      <c r="R138" s="76" t="str">
        <f t="shared" si="15"/>
        <v/>
      </c>
      <c r="S138" s="76" t="str">
        <f t="shared" si="16"/>
        <v/>
      </c>
      <c r="T138" s="76" t="str">
        <f t="shared" si="17"/>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milscm_2023_009.sny_202310_backup_merge_dpc_ff1.m050020_ccs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3"/>
        <v>,m050030_killip</v>
      </c>
      <c r="Q139" s="76" t="str">
        <f t="shared" si="14"/>
        <v>TEXT</v>
      </c>
      <c r="R139" s="76" t="str">
        <f t="shared" si="15"/>
        <v/>
      </c>
      <c r="S139" s="76" t="str">
        <f t="shared" si="16"/>
        <v/>
      </c>
      <c r="T139" s="76" t="str">
        <f t="shared" si="17"/>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milscm_2023_009.sny_202310_backup_merge_dpc_ff1.m050030_killip IS 'Killip分類';</v>
      </c>
      <c r="AT139" s="4"/>
      <c r="AU139" s="4"/>
      <c r="AV139" s="4"/>
      <c r="AW139" s="4"/>
      <c r="AX139" s="4"/>
      <c r="AY139" s="4"/>
      <c r="AZ139" s="4"/>
    </row>
    <row r="140" spans="1:52" s="25" customFormat="1" ht="34.799999999999997">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3"/>
        <v>,m050040_ketsuatsu</v>
      </c>
      <c r="Q140" s="76" t="str">
        <f t="shared" si="14"/>
        <v>TEXT</v>
      </c>
      <c r="R140" s="76" t="str">
        <f t="shared" si="15"/>
        <v/>
      </c>
      <c r="S140" s="76" t="str">
        <f t="shared" si="16"/>
        <v/>
      </c>
      <c r="T140" s="76" t="str">
        <f t="shared" si="17"/>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milscm_2023_009.sny_202310_backup_merge_dpc_ff1.m050040_ketsuatsu IS '収縮期血圧';</v>
      </c>
      <c r="AT140" s="4"/>
      <c r="AU140" s="4"/>
      <c r="AV140" s="4"/>
      <c r="AW140" s="4"/>
      <c r="AX140" s="4"/>
      <c r="AY140" s="4"/>
      <c r="AZ140" s="4"/>
    </row>
    <row r="141" spans="1:52" s="25" customFormat="1" ht="69.599999999999994">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3"/>
        <v>,m050050_acuteMI</v>
      </c>
      <c r="Q141" s="76" t="str">
        <f t="shared" si="14"/>
        <v>TEXT</v>
      </c>
      <c r="R141" s="76" t="str">
        <f t="shared" si="15"/>
        <v/>
      </c>
      <c r="S141" s="76" t="str">
        <f t="shared" si="16"/>
        <v/>
      </c>
      <c r="T141" s="76" t="str">
        <f t="shared" si="17"/>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3"/>
        <v>,m050060_nyuin_kusyutsuritsu</v>
      </c>
      <c r="Q142" s="76" t="str">
        <f t="shared" si="14"/>
        <v>TEXT</v>
      </c>
      <c r="R142" s="76" t="str">
        <f t="shared" si="15"/>
        <v/>
      </c>
      <c r="S142" s="76" t="str">
        <f t="shared" si="16"/>
        <v/>
      </c>
      <c r="T142" s="76" t="str">
        <f t="shared" si="17"/>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3"/>
        <v>,m050070_stanford_ab</v>
      </c>
      <c r="Q143" s="76" t="str">
        <f t="shared" si="14"/>
        <v>TEXT</v>
      </c>
      <c r="R143" s="76" t="str">
        <f t="shared" si="15"/>
        <v/>
      </c>
      <c r="S143" s="76" t="str">
        <f t="shared" si="16"/>
        <v/>
      </c>
      <c r="T143" s="76" t="str">
        <f t="shared" si="17"/>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milscm_2023_009.sny_202310_backup_merge_dpc_ff1.m050070_stanford_ab IS 'Stanford A/B型';</v>
      </c>
      <c r="AT143" s="4"/>
      <c r="AU143" s="4"/>
      <c r="AV143" s="4"/>
      <c r="AW143" s="4"/>
      <c r="AX143" s="4"/>
      <c r="AY143" s="4"/>
      <c r="AZ143" s="4"/>
    </row>
    <row r="144" spans="1:52" s="25" customFormat="1" ht="34.799999999999997">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3"/>
        <v>,m060010_kankohen_child_pugh</v>
      </c>
      <c r="Q144" s="76" t="str">
        <f t="shared" si="14"/>
        <v>TEXT</v>
      </c>
      <c r="R144" s="76" t="str">
        <f t="shared" si="15"/>
        <v/>
      </c>
      <c r="S144" s="76" t="str">
        <f t="shared" si="16"/>
        <v/>
      </c>
      <c r="T144" s="76" t="str">
        <f t="shared" si="17"/>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784</v>
      </c>
      <c r="D145" s="13" t="s">
        <v>785</v>
      </c>
      <c r="E145" s="7"/>
      <c r="F145" s="7" t="s">
        <v>317</v>
      </c>
      <c r="G145" s="7" t="str">
        <f t="shared" si="3"/>
        <v>text</v>
      </c>
      <c r="H145" s="26"/>
      <c r="I145" s="10"/>
      <c r="J145" s="11"/>
      <c r="L145" s="4"/>
      <c r="M145" s="4"/>
      <c r="N145" s="76"/>
      <c r="O145" s="76"/>
      <c r="P145" s="76" t="str">
        <f t="shared" si="13"/>
        <v>,m060020_kyuseisuien_jushodo</v>
      </c>
      <c r="Q145" s="76" t="str">
        <f t="shared" si="14"/>
        <v>TEXT</v>
      </c>
      <c r="R145" s="76" t="str">
        <f t="shared" si="15"/>
        <v/>
      </c>
      <c r="S145" s="76" t="str">
        <f t="shared" si="16"/>
        <v/>
      </c>
      <c r="T145" s="76" t="str">
        <f t="shared" si="17"/>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3"/>
        <v>,m070010_riumachi_flag</v>
      </c>
      <c r="Q146" s="76" t="str">
        <f t="shared" si="14"/>
        <v>TEXT</v>
      </c>
      <c r="R146" s="76" t="str">
        <f t="shared" si="15"/>
        <v/>
      </c>
      <c r="S146" s="76" t="str">
        <f t="shared" si="16"/>
        <v/>
      </c>
      <c r="T146" s="76" t="str">
        <f t="shared" si="17"/>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3"/>
        <v>,m120010_nyuin_bunben_flag</v>
      </c>
      <c r="Q147" s="76" t="str">
        <f t="shared" si="14"/>
        <v>TEXT</v>
      </c>
      <c r="R147" s="76" t="str">
        <f t="shared" si="15"/>
        <v/>
      </c>
      <c r="S147" s="76" t="str">
        <f t="shared" si="16"/>
        <v/>
      </c>
      <c r="T147" s="76" t="str">
        <f t="shared" si="17"/>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3"/>
        <v>,m120010_bunben_shukketsuryo</v>
      </c>
      <c r="Q148" s="76" t="str">
        <f t="shared" si="14"/>
        <v>TEXT</v>
      </c>
      <c r="R148" s="76" t="str">
        <f t="shared" si="15"/>
        <v/>
      </c>
      <c r="S148" s="76" t="str">
        <f t="shared" si="16"/>
        <v/>
      </c>
      <c r="T148" s="76" t="str">
        <f t="shared" si="17"/>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milscm_2023_009.sny_202310_backup_merge_dpc_ff1.m120010_bunben_shukketsuryo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3"/>
        <v>,m160010_burnindex</v>
      </c>
      <c r="Q149" s="76" t="str">
        <f t="shared" si="14"/>
        <v>TEXT</v>
      </c>
      <c r="R149" s="76" t="str">
        <f t="shared" si="15"/>
        <v/>
      </c>
      <c r="S149" s="76" t="str">
        <f t="shared" si="16"/>
        <v/>
      </c>
      <c r="T149" s="76" t="str">
        <f t="shared" si="17"/>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milscm_2023_009.sny_202310_backup_merge_dpc_ff1.m160010_burnindex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3"/>
        <v>,m170010_nyuin_gaf</v>
      </c>
      <c r="Q150" s="76" t="str">
        <f t="shared" si="14"/>
        <v>TEXT</v>
      </c>
      <c r="R150" s="76" t="str">
        <f t="shared" si="15"/>
        <v/>
      </c>
      <c r="S150" s="76" t="str">
        <f t="shared" si="16"/>
        <v/>
      </c>
      <c r="T150" s="76" t="str">
        <f t="shared" si="17"/>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milscm_2023_009.sny_202310_backup_merge_dpc_ff1.m170010_nyuin_gaf IS '入院時GAF尺度';</v>
      </c>
      <c r="AT150" s="4"/>
      <c r="AU150" s="4"/>
      <c r="AV150" s="4"/>
      <c r="AW150" s="4"/>
      <c r="AX150" s="4"/>
      <c r="AY150" s="4"/>
      <c r="AZ150" s="4"/>
    </row>
    <row r="151" spans="1:52" s="25" customFormat="1" ht="34.799999999999997">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3"/>
        <v>,m170020_mental_nyuin_keitai</v>
      </c>
      <c r="Q151" s="76" t="str">
        <f t="shared" si="14"/>
        <v>TEXT</v>
      </c>
      <c r="R151" s="76" t="str">
        <f t="shared" si="15"/>
        <v/>
      </c>
      <c r="S151" s="76" t="str">
        <f t="shared" si="16"/>
        <v/>
      </c>
      <c r="T151" s="76" t="str">
        <f t="shared" si="17"/>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3"/>
        <v>,m170020_mental_kakuri_days</v>
      </c>
      <c r="Q152" s="76" t="str">
        <f t="shared" si="14"/>
        <v>TEXT</v>
      </c>
      <c r="R152" s="76" t="str">
        <f t="shared" si="15"/>
        <v/>
      </c>
      <c r="S152" s="76" t="str">
        <f t="shared" si="16"/>
        <v/>
      </c>
      <c r="T152" s="76" t="str">
        <f t="shared" si="17"/>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3"/>
        <v>,m170020_mental_kosoku_days</v>
      </c>
      <c r="Q153" s="76" t="str">
        <f t="shared" si="14"/>
        <v>TEXT</v>
      </c>
      <c r="R153" s="76" t="str">
        <f t="shared" si="15"/>
        <v/>
      </c>
      <c r="S153" s="76" t="str">
        <f t="shared" si="16"/>
        <v/>
      </c>
      <c r="T153" s="76" t="str">
        <f t="shared" si="17"/>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3"/>
        <v>,mzz0010_other_jusho_no</v>
      </c>
      <c r="Q154" s="76" t="str">
        <f t="shared" si="14"/>
        <v>TEXT</v>
      </c>
      <c r="R154" s="76" t="str">
        <f t="shared" si="15"/>
        <v/>
      </c>
      <c r="S154" s="76" t="str">
        <f t="shared" si="16"/>
        <v/>
      </c>
      <c r="T154" s="76" t="str">
        <f t="shared" si="17"/>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3"/>
        <v>,mzz0010_other_jusho_name</v>
      </c>
      <c r="Q155" s="76" t="str">
        <f t="shared" si="14"/>
        <v>TEXT</v>
      </c>
      <c r="R155" s="76" t="str">
        <f t="shared" si="15"/>
        <v/>
      </c>
      <c r="S155" s="76" t="str">
        <f t="shared" si="16"/>
        <v/>
      </c>
      <c r="T155" s="76" t="str">
        <f t="shared" si="17"/>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milscm_2023_009.sny_202310_backup_merge_dpc_ff1.mzz0010_other_jusho_name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ENT_01_C1-07</v>
      </c>
      <c r="E6" s="234"/>
      <c r="F6" s="234"/>
      <c r="G6" s="234"/>
      <c r="H6" s="234"/>
      <c r="I6" s="234"/>
      <c r="J6" s="235"/>
    </row>
    <row r="7" spans="1:45">
      <c r="B7" s="223" t="s">
        <v>115</v>
      </c>
      <c r="C7" s="224"/>
      <c r="D7" s="225" t="s">
        <v>314</v>
      </c>
      <c r="E7" s="226"/>
      <c r="F7" s="226"/>
      <c r="G7" s="226"/>
      <c r="H7" s="226"/>
      <c r="I7" s="226"/>
      <c r="J7" s="227"/>
    </row>
    <row r="8" spans="1:45">
      <c r="B8" s="223" t="s">
        <v>116</v>
      </c>
      <c r="C8" s="224"/>
      <c r="D8" s="225" t="str">
        <f>エンティティ一覧!AE2&amp;"_"&amp;D5&amp;"_merge_dpc_ff1_a006040"</f>
        <v>sny_202310_backup_merge_dpc_ff1_a006040</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milscm_2023_009.sny_202310_backup_merge_dpc_ff1_a006040;</v>
      </c>
      <c r="O10" s="76"/>
      <c r="P10" s="76"/>
      <c r="Q10" s="76"/>
      <c r="R10" s="76"/>
      <c r="S10" s="76"/>
      <c r="T10" s="76"/>
      <c r="AJ10" s="76" t="str">
        <f>"ALTER TABLE ONLY "&amp;エンティティ一覧!$O$2&amp;"."&amp;D$8</f>
        <v>ALTER TABLE ONLY milscm_2023_009.sny_202310_backup_merge_dpc_ff1_a006040</v>
      </c>
      <c r="AS10" s="76" t="str">
        <f>"ALTER TABLE "&amp;エンティティ一覧!$O$2&amp;"."&amp;D$8&amp;" OWNER TO pgmisgrp1;"</f>
        <v>ALTER TABLE milscm_2023_009.sny_202310_backup_merge_dpc_ff1_a006040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milscm_2023_009.sny_202310_backup_merge_dpc_ff1_a006040</v>
      </c>
      <c r="O11" s="76"/>
      <c r="P11" s="76"/>
      <c r="Q11" s="76"/>
      <c r="R11" s="76"/>
      <c r="S11" s="76"/>
      <c r="T11" s="76"/>
      <c r="AJ11" s="76" t="str">
        <f>"ADD CONSTRAINT "&amp;D$8&amp;"_pkey PRIMARY KEY"</f>
        <v>ADD CONSTRAINT sny_202310_backup_merge_dpc_ff1_a006040_pkey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milscm_2023_009.sny_202310_backup_merge_dpc_ff1_a006040 IS 'バックアップ_DPC調査データ_様式1_診断情報_併存症';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milscm_2023_009.sny_202310_backup_merge_dpc_ff1_a006040.mil_karute_id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milscm_2023_009.sny_202310_backup_merge_dpc_ff1_a006040.facility_id IS '施設ID';</v>
      </c>
    </row>
    <row r="16" spans="1:45" s="25" customFormat="1" ht="87">
      <c r="B16" s="21">
        <f t="shared" si="2"/>
        <v>4</v>
      </c>
      <c r="C16" s="6" t="s">
        <v>866</v>
      </c>
      <c r="D16" s="6" t="s">
        <v>206</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milscm_2023_009.sny_202310_backup_merge_dpc_ff1_a006040.shushoku_code4 IS '修飾語コード4';</v>
      </c>
    </row>
    <row r="31" spans="1:52" s="25" customFormat="1" ht="18" thickBot="1">
      <c r="A31" s="4"/>
      <c r="B31" s="27">
        <f>ROW()-12</f>
        <v>19</v>
      </c>
      <c r="C31" s="57" t="s">
        <v>877</v>
      </c>
      <c r="D31" s="57" t="s">
        <v>878</v>
      </c>
      <c r="E31" s="56"/>
      <c r="F31" s="56" t="s">
        <v>865</v>
      </c>
      <c r="G31" s="56" t="str">
        <f t="shared" si="3"/>
        <v>text</v>
      </c>
      <c r="H31" s="59"/>
      <c r="I31" s="60"/>
      <c r="J31" s="64" t="s">
        <v>882</v>
      </c>
      <c r="N31" s="76"/>
      <c r="O31" s="76"/>
      <c r="P31" s="76" t="str">
        <f t="shared" si="4"/>
        <v>,nyuin_heizonsho_name</v>
      </c>
      <c r="Q31" s="76" t="str">
        <f t="shared" si="0"/>
        <v>TEXT</v>
      </c>
      <c r="R31" s="76" t="str">
        <f t="shared" si="1"/>
        <v/>
      </c>
      <c r="S31" s="76" t="str">
        <f t="shared" si="5"/>
        <v/>
      </c>
      <c r="T31" s="76" t="str">
        <f t="shared" si="6"/>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ENT_01_C1-08</v>
      </c>
      <c r="E6" s="234"/>
      <c r="F6" s="234"/>
      <c r="G6" s="234"/>
      <c r="H6" s="234"/>
      <c r="I6" s="234"/>
      <c r="J6" s="235"/>
    </row>
    <row r="7" spans="1:45">
      <c r="B7" s="223" t="s">
        <v>115</v>
      </c>
      <c r="C7" s="224"/>
      <c r="D7" s="225" t="s">
        <v>315</v>
      </c>
      <c r="E7" s="226"/>
      <c r="F7" s="226"/>
      <c r="G7" s="226"/>
      <c r="H7" s="226"/>
      <c r="I7" s="226"/>
      <c r="J7" s="227"/>
    </row>
    <row r="8" spans="1:45">
      <c r="B8" s="223" t="s">
        <v>116</v>
      </c>
      <c r="C8" s="224"/>
      <c r="D8" s="225" t="str">
        <f>エンティティ一覧!AE2&amp;"_"&amp;D5&amp;"_merge_dpc_ff1_a006050"</f>
        <v>sny_202310_backup_merge_dpc_ff1_a006050</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milscm_2023_009.sny_202310_backup_merge_dpc_ff1_a006050;</v>
      </c>
      <c r="O10" s="76"/>
      <c r="P10" s="76"/>
      <c r="Q10" s="76"/>
      <c r="R10" s="76"/>
      <c r="S10" s="76"/>
      <c r="T10" s="76"/>
      <c r="AJ10" s="76" t="str">
        <f>"ALTER TABLE ONLY "&amp;エンティティ一覧!$O$2&amp;"."&amp;D$8</f>
        <v>ALTER TABLE ONLY milscm_2023_009.sny_202310_backup_merge_dpc_ff1_a006050</v>
      </c>
      <c r="AS10" s="76" t="str">
        <f>"ALTER TABLE "&amp;エンティティ一覧!$O$2&amp;"."&amp;D$8&amp;" OWNER TO pgmisgrp1;"</f>
        <v>ALTER TABLE milscm_2023_009.sny_202310_backup_merge_dpc_ff1_a006050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milscm_2023_009.sny_202310_backup_merge_dpc_ff1_a006050</v>
      </c>
      <c r="O11" s="76"/>
      <c r="P11" s="76"/>
      <c r="Q11" s="76"/>
      <c r="R11" s="76"/>
      <c r="S11" s="76"/>
      <c r="T11" s="76"/>
      <c r="AJ11" s="76" t="str">
        <f>"ADD CONSTRAINT "&amp;D$8&amp;"_pkey PRIMARY KEY"</f>
        <v>ADD CONSTRAINT sny_202310_backup_merge_dpc_ff1_a006050_pkey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milscm_2023_009.sny_202310_backup_merge_dpc_ff1_a006050 IS 'バックアップ_DPC調査データ_様式1_診断情報_続発症';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milscm_2023_009.sny_202310_backup_merge_dpc_ff1_a006050.mil_karute_id IS '千年カルテID';</v>
      </c>
    </row>
    <row r="15" spans="1:45" s="25" customFormat="1" ht="34.799999999999997">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milscm_2023_009.sny_202310_backup_merge_dpc_ff1_a006050.facility_id IS '施設ID';</v>
      </c>
    </row>
    <row r="16" spans="1:45" s="25" customFormat="1" ht="87">
      <c r="B16" s="21">
        <f t="shared" si="2"/>
        <v>4</v>
      </c>
      <c r="C16" s="6" t="s">
        <v>866</v>
      </c>
      <c r="D16" s="6" t="s">
        <v>884</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1" si="5">IF(I16="○","NOT NULL","")</f>
        <v>NOT NULL</v>
      </c>
      <c r="T16" s="76" t="str">
        <f t="shared" ref="T16:T31"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milscm_2023_009.sny_202310_backup_merge_dpc_ff1_a006050.shinryo_ym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milscm_2023_009.sny_202310_backup_merge_dpc_ff1_a006050.shikibetsu_no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milscm_2023_009.sny_202310_backup_merge_dpc_ff1_a006050.nyuin_ymd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milscm_2023_009.sny_202310_backup_merge_dpc_ff1_a006050.times_no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milscm_2023_009.sny_202310_backup_merge_dpc_ff1_a006050.sokatsu_shinryo_no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milscm_2023_009.sny_202310_backup_merge_dpc_ff1_a006050.code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milscm_2023_009.sny_202310_backup_merge_dpc_ff1_a006050.version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milscm_2023_009.sny_202310_backup_merge_dpc_ff1_a006050.number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milscm_2023_009.sny_202310_backup_merge_dpc_ff1_a006050.shushoku_code4 IS '修飾語コード4';</v>
      </c>
    </row>
    <row r="31" spans="1:52" s="25" customFormat="1" ht="18" thickBot="1">
      <c r="A31" s="4"/>
      <c r="B31" s="27">
        <f>ROW()-12</f>
        <v>19</v>
      </c>
      <c r="C31" s="57" t="s">
        <v>888</v>
      </c>
      <c r="D31" s="57" t="s">
        <v>889</v>
      </c>
      <c r="E31" s="56"/>
      <c r="F31" s="56" t="s">
        <v>865</v>
      </c>
      <c r="G31" s="56" t="str">
        <f t="shared" si="3"/>
        <v>text</v>
      </c>
      <c r="H31" s="59"/>
      <c r="I31" s="60"/>
      <c r="J31" s="61" t="s">
        <v>893</v>
      </c>
      <c r="N31" s="76"/>
      <c r="O31" s="76"/>
      <c r="P31" s="76" t="str">
        <f t="shared" si="4"/>
        <v>,nyuin_shikkan_name</v>
      </c>
      <c r="Q31" s="76" t="str">
        <f t="shared" si="0"/>
        <v>TEXT</v>
      </c>
      <c r="R31" s="76" t="str">
        <f t="shared" si="1"/>
        <v/>
      </c>
      <c r="S31" s="76" t="str">
        <f t="shared" si="5"/>
        <v/>
      </c>
      <c r="T31" s="76" t="str">
        <f t="shared" si="6"/>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ENT_01_C2-01</v>
      </c>
      <c r="E6" s="234"/>
      <c r="F6" s="234"/>
      <c r="G6" s="234"/>
      <c r="H6" s="234"/>
      <c r="I6" s="234"/>
      <c r="J6" s="235"/>
    </row>
    <row r="7" spans="1:45">
      <c r="B7" s="223" t="s">
        <v>115</v>
      </c>
      <c r="C7" s="224"/>
      <c r="D7" s="225" t="s">
        <v>907</v>
      </c>
      <c r="E7" s="226"/>
      <c r="F7" s="226"/>
      <c r="G7" s="226"/>
      <c r="H7" s="226"/>
      <c r="I7" s="226"/>
      <c r="J7" s="227"/>
    </row>
    <row r="8" spans="1:45">
      <c r="B8" s="223" t="s">
        <v>116</v>
      </c>
      <c r="C8" s="224"/>
      <c r="D8" s="225" t="str">
        <f>エンティティ一覧!AE2&amp;"_"&amp;D5&amp;"_merge_receiptc_ir"</f>
        <v>sny_202310_backup_merge_receiptc_ir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milscm_2023_009.sny_202310_backup_merge_receiptc_ir;</v>
      </c>
      <c r="O10" s="76"/>
      <c r="P10" s="76"/>
      <c r="Q10" s="76"/>
      <c r="R10" s="76"/>
      <c r="S10" s="76"/>
      <c r="T10" s="76"/>
      <c r="AJ10" s="76" t="str">
        <f>"ALTER TABLE ONLY "&amp;エンティティ一覧!$O$2&amp;"."&amp;D$8</f>
        <v>ALTER TABLE ONLY milscm_2023_009.sny_202310_backup_merge_receiptc_ir</v>
      </c>
      <c r="AS10" s="76" t="str">
        <f>"ALTER TABLE "&amp;エンティティ一覧!$O$2&amp;"."&amp;D$8&amp;" OWNER TO pgmisgrp1;"</f>
        <v>ALTER TABLE milscm_2023_009.sny_202310_backup_merge_receiptc_ir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milscm_2023_009.sny_202310_backup_merge_receiptc_ir</v>
      </c>
      <c r="O11" s="76"/>
      <c r="P11" s="76"/>
      <c r="Q11" s="76"/>
      <c r="R11" s="76"/>
      <c r="S11" s="76"/>
      <c r="T11" s="76"/>
      <c r="AJ11" s="76" t="str">
        <f>"ADD CONSTRAINT "&amp;D$8&amp;"_pkey PRIMARY KEY"</f>
        <v>ADD CONSTRAINT sny_202310_backup_merge_receiptc_ir_pkey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milscm_2023_009.sny_202310_backup_merge_receiptc_ir IS 'バックアップ_医科レセプト_医療機関情報レコード';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milscm_2023_009.sny_202310_backup_merge_receiptc_ir.torikomi_ym IS '取込年月';</v>
      </c>
    </row>
    <row r="14" spans="1:45" s="25" customFormat="1">
      <c r="A14" s="4"/>
      <c r="B14" s="21">
        <f t="shared" ref="B14:B29" si="2">ROW()-12</f>
        <v>2</v>
      </c>
      <c r="C14" s="6" t="s">
        <v>202</v>
      </c>
      <c r="D14" s="6" t="s">
        <v>203</v>
      </c>
      <c r="E14" s="8"/>
      <c r="F14" s="7" t="s">
        <v>204</v>
      </c>
      <c r="G14" s="7" t="str">
        <f t="shared" ref="G14:G30"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milscm_2023_009.sny_202310_backup_merge_receiptc_ir.facility_id IS '施設ID';</v>
      </c>
    </row>
    <row r="16" spans="1:45" s="25" customFormat="1" ht="52.2">
      <c r="B16" s="21">
        <f t="shared" si="2"/>
        <v>4</v>
      </c>
      <c r="C16" s="6" t="s">
        <v>908</v>
      </c>
      <c r="D16" s="6" t="s">
        <v>909</v>
      </c>
      <c r="E16" s="8" t="s">
        <v>127</v>
      </c>
      <c r="F16" s="7" t="s">
        <v>865</v>
      </c>
      <c r="G16" s="7" t="str">
        <f t="shared" si="3"/>
        <v>text</v>
      </c>
      <c r="H16" s="26"/>
      <c r="I16" s="10" t="s">
        <v>127</v>
      </c>
      <c r="J16" s="53" t="s">
        <v>935</v>
      </c>
      <c r="M16" s="4"/>
      <c r="N16" s="76"/>
      <c r="O16" s="76"/>
      <c r="P16" s="76" t="str">
        <f t="shared" si="4"/>
        <v>,seikyu_ym</v>
      </c>
      <c r="Q16" s="76" t="str">
        <f t="shared" si="0"/>
        <v>TEXT</v>
      </c>
      <c r="R16" s="76" t="str">
        <f t="shared" si="1"/>
        <v/>
      </c>
      <c r="S16" s="76" t="str">
        <f t="shared" ref="S16:S30" si="5">IF(I16="○","NOT NULL","")</f>
        <v>NOT NULL</v>
      </c>
      <c r="T16" s="76" t="str">
        <f t="shared" ref="T16:T30"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milscm_2023_009.sny_202310_backup_merge_receiptc_ir.seikyu_ym IS '請求年月';</v>
      </c>
    </row>
    <row r="17" spans="1:52" s="25" customFormat="1" ht="69.599999999999994">
      <c r="B17" s="21">
        <f t="shared" si="2"/>
        <v>5</v>
      </c>
      <c r="C17" s="13" t="s">
        <v>866</v>
      </c>
      <c r="D17" s="13" t="s">
        <v>206</v>
      </c>
      <c r="E17" s="7" t="s">
        <v>127</v>
      </c>
      <c r="F17" s="7" t="s">
        <v>865</v>
      </c>
      <c r="G17" s="7" t="str">
        <f t="shared" si="3"/>
        <v>text</v>
      </c>
      <c r="H17" s="58"/>
      <c r="I17" s="23" t="s">
        <v>127</v>
      </c>
      <c r="J17" s="24" t="s">
        <v>941</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milscm_2023_009.sny_202310_backup_merge_receiptc_ir.shinryo_ym IS '診療年月';</v>
      </c>
    </row>
    <row r="18" spans="1:52" s="25" customFormat="1">
      <c r="B18" s="21">
        <f t="shared" si="2"/>
        <v>6</v>
      </c>
      <c r="C18" s="6" t="s">
        <v>319</v>
      </c>
      <c r="D18" s="6" t="s">
        <v>208</v>
      </c>
      <c r="E18" s="8"/>
      <c r="F18" s="7" t="s">
        <v>865</v>
      </c>
      <c r="G18" s="7" t="str">
        <f t="shared" si="3"/>
        <v>text</v>
      </c>
      <c r="H18" s="26" t="s">
        <v>936</v>
      </c>
      <c r="I18" s="10" t="s">
        <v>127</v>
      </c>
      <c r="J18" s="11"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milscm_2023_009.sny_202310_backup_merge_receiptc_ir.data_type IS 'データ種別';</v>
      </c>
    </row>
    <row r="19" spans="1:52" s="25" customFormat="1">
      <c r="B19" s="21">
        <f t="shared" si="2"/>
        <v>7</v>
      </c>
      <c r="C19" s="13" t="s">
        <v>910</v>
      </c>
      <c r="D19" s="13" t="s">
        <v>911</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milscm_2023_009.sny_202310_backup_merge_receiptc_ir.shinsa_kikan IS '審査支払機関';</v>
      </c>
    </row>
    <row r="20" spans="1:52" s="25" customFormat="1">
      <c r="B20" s="21">
        <f t="shared" si="2"/>
        <v>8</v>
      </c>
      <c r="C20" s="6" t="s">
        <v>912</v>
      </c>
      <c r="D20" s="6" t="s">
        <v>913</v>
      </c>
      <c r="E20" s="8"/>
      <c r="F20" s="7" t="s">
        <v>865</v>
      </c>
      <c r="G20" s="7" t="str">
        <f t="shared" si="3"/>
        <v>text</v>
      </c>
      <c r="H20" s="26" t="s">
        <v>938</v>
      </c>
      <c r="I20" s="10" t="s">
        <v>127</v>
      </c>
      <c r="J20" s="11" t="s">
        <v>939</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milscm_2023_009.sny_202310_backup_merge_receiptc_ir.record_shikibetsu IS 'レコード識別情報';</v>
      </c>
    </row>
    <row r="21" spans="1:52" s="25" customFormat="1">
      <c r="A21" s="4"/>
      <c r="B21" s="21">
        <f t="shared" si="2"/>
        <v>9</v>
      </c>
      <c r="C21" s="13" t="s">
        <v>914</v>
      </c>
      <c r="D21" s="13" t="s">
        <v>915</v>
      </c>
      <c r="E21" s="7" t="s">
        <v>127</v>
      </c>
      <c r="F21" s="7" t="s">
        <v>204</v>
      </c>
      <c r="G21" s="7" t="str">
        <f t="shared" si="3"/>
        <v>integer</v>
      </c>
      <c r="H21" s="58">
        <v>0</v>
      </c>
      <c r="I21" s="23" t="s">
        <v>127</v>
      </c>
      <c r="J21" s="24" t="s">
        <v>940</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milscm_2023_009.sny_202310_backup_merge_receiptc_ir.receipt_no IS 'レセプト番号';</v>
      </c>
    </row>
    <row r="22" spans="1:52" s="25" customFormat="1">
      <c r="A22" s="4"/>
      <c r="B22" s="21">
        <f t="shared" si="2"/>
        <v>10</v>
      </c>
      <c r="C22" s="6" t="s">
        <v>916</v>
      </c>
      <c r="D22" s="6" t="s">
        <v>917</v>
      </c>
      <c r="E22" s="8" t="s">
        <v>127</v>
      </c>
      <c r="F22" s="7" t="s">
        <v>204</v>
      </c>
      <c r="G22" s="7" t="str">
        <f t="shared" si="3"/>
        <v>integer</v>
      </c>
      <c r="H22" s="26">
        <v>0</v>
      </c>
      <c r="I22" s="10" t="s">
        <v>127</v>
      </c>
      <c r="J22" s="11" t="s">
        <v>940</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milscm_2023_009.sny_202310_backup_merge_receiptc_ir.gyo_no IS '行番号';</v>
      </c>
    </row>
    <row r="23" spans="1:52" s="25" customFormat="1">
      <c r="A23" s="4"/>
      <c r="B23" s="21">
        <f t="shared" si="2"/>
        <v>11</v>
      </c>
      <c r="C23" s="13" t="s">
        <v>918</v>
      </c>
      <c r="D23" s="13" t="s">
        <v>919</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milscm_2023_009.sny_202310_backup_merge_receiptc_ir.karute_no IS 'カルテ番号等';</v>
      </c>
    </row>
    <row r="24" spans="1:52" s="25" customFormat="1">
      <c r="A24" s="4"/>
      <c r="B24" s="21">
        <f t="shared" si="2"/>
        <v>12</v>
      </c>
      <c r="C24" s="6" t="s">
        <v>920</v>
      </c>
      <c r="D24" s="6" t="s">
        <v>921</v>
      </c>
      <c r="E24" s="8"/>
      <c r="F24" s="7" t="s">
        <v>865</v>
      </c>
      <c r="G24" s="7" t="str">
        <f t="shared" si="3"/>
        <v>text</v>
      </c>
      <c r="H24" s="26"/>
      <c r="I24" s="10"/>
      <c r="J24" s="11"/>
      <c r="N24" s="76"/>
      <c r="O24" s="76"/>
      <c r="P24" s="76" t="str">
        <f t="shared" si="4"/>
        <v>,prefecture</v>
      </c>
      <c r="Q24" s="76" t="str">
        <f t="shared" si="0"/>
        <v>TEXT</v>
      </c>
      <c r="R24" s="76" t="str">
        <f t="shared" si="1"/>
        <v/>
      </c>
      <c r="S24" s="76" t="str">
        <f t="shared" si="5"/>
        <v/>
      </c>
      <c r="T24" s="76" t="str">
        <f t="shared" si="6"/>
        <v>-- 都道府県</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milscm_2023_009.sny_202310_backup_merge_receiptc_ir.prefecture IS '都道府県';</v>
      </c>
    </row>
    <row r="25" spans="1:52" s="25" customFormat="1">
      <c r="A25" s="4"/>
      <c r="B25" s="21">
        <f t="shared" si="2"/>
        <v>13</v>
      </c>
      <c r="C25" s="13" t="s">
        <v>922</v>
      </c>
      <c r="D25" s="13" t="s">
        <v>923</v>
      </c>
      <c r="E25" s="7"/>
      <c r="F25" s="7" t="s">
        <v>865</v>
      </c>
      <c r="G25" s="7" t="str">
        <f t="shared" si="3"/>
        <v>text</v>
      </c>
      <c r="H25" s="58"/>
      <c r="I25" s="23"/>
      <c r="J25" s="24"/>
      <c r="N25" s="76"/>
      <c r="O25" s="76"/>
      <c r="P25" s="76" t="str">
        <f t="shared" si="4"/>
        <v>,tensuhyo</v>
      </c>
      <c r="Q25" s="76" t="str">
        <f t="shared" si="0"/>
        <v>TEXT</v>
      </c>
      <c r="R25" s="76" t="str">
        <f t="shared" si="1"/>
        <v/>
      </c>
      <c r="S25" s="76" t="str">
        <f t="shared" si="5"/>
        <v/>
      </c>
      <c r="T25" s="76" t="str">
        <f t="shared" si="6"/>
        <v>-- 点数表</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milscm_2023_009.sny_202310_backup_merge_receiptc_ir.tensuhyo IS '点数表';</v>
      </c>
    </row>
    <row r="26" spans="1:52" s="25" customFormat="1">
      <c r="A26" s="4"/>
      <c r="B26" s="21">
        <f t="shared" si="2"/>
        <v>14</v>
      </c>
      <c r="C26" s="6" t="s">
        <v>924</v>
      </c>
      <c r="D26" s="6" t="s">
        <v>925</v>
      </c>
      <c r="E26" s="8"/>
      <c r="F26" s="7" t="s">
        <v>865</v>
      </c>
      <c r="G26" s="7" t="str">
        <f t="shared" si="3"/>
        <v>text</v>
      </c>
      <c r="H26" s="26"/>
      <c r="I26" s="10"/>
      <c r="J26" s="11"/>
      <c r="N26" s="76"/>
      <c r="O26" s="76"/>
      <c r="P26" s="76" t="str">
        <f t="shared" si="4"/>
        <v>,hospital_code</v>
      </c>
      <c r="Q26" s="76" t="str">
        <f t="shared" si="0"/>
        <v>TEXT</v>
      </c>
      <c r="R26" s="76" t="str">
        <f t="shared" si="1"/>
        <v/>
      </c>
      <c r="S26" s="76" t="str">
        <f t="shared" si="5"/>
        <v/>
      </c>
      <c r="T26" s="76" t="str">
        <f t="shared" si="6"/>
        <v>-- 医療機関コード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milscm_2023_009.sny_202310_backup_merge_receiptc_ir.hospital_code IS '医療機関コード';</v>
      </c>
    </row>
    <row r="27" spans="1:52" s="25" customFormat="1">
      <c r="A27" s="4"/>
      <c r="B27" s="21">
        <f t="shared" si="2"/>
        <v>15</v>
      </c>
      <c r="C27" s="6" t="s">
        <v>926</v>
      </c>
      <c r="D27" s="6" t="s">
        <v>927</v>
      </c>
      <c r="E27" s="8"/>
      <c r="F27" s="7" t="s">
        <v>865</v>
      </c>
      <c r="G27" s="7" t="str">
        <f t="shared" si="3"/>
        <v>text</v>
      </c>
      <c r="H27" s="26"/>
      <c r="I27" s="10"/>
      <c r="J27" s="11"/>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milscm_2023_009.sny_202310_backup_merge_receiptc_ir.reserve1 IS '予備1';</v>
      </c>
    </row>
    <row r="28" spans="1:52" s="25" customFormat="1">
      <c r="A28" s="4"/>
      <c r="B28" s="21">
        <f t="shared" si="2"/>
        <v>16</v>
      </c>
      <c r="C28" s="13" t="s">
        <v>928</v>
      </c>
      <c r="D28" s="13" t="s">
        <v>929</v>
      </c>
      <c r="E28" s="7"/>
      <c r="F28" s="7" t="s">
        <v>865</v>
      </c>
      <c r="G28" s="7" t="str">
        <f t="shared" si="3"/>
        <v>text</v>
      </c>
      <c r="H28" s="58"/>
      <c r="I28" s="23"/>
      <c r="J28" s="24"/>
      <c r="N28" s="76"/>
      <c r="O28" s="76"/>
      <c r="P28" s="76" t="str">
        <f t="shared" si="4"/>
        <v>,hospital_name</v>
      </c>
      <c r="Q28" s="76" t="str">
        <f t="shared" si="0"/>
        <v>TEXT</v>
      </c>
      <c r="R28" s="76" t="str">
        <f t="shared" si="1"/>
        <v/>
      </c>
      <c r="S28" s="76" t="str">
        <f t="shared" si="5"/>
        <v/>
      </c>
      <c r="T28" s="76" t="str">
        <f t="shared" si="6"/>
        <v>-- 医療機関名称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milscm_2023_009.sny_202310_backup_merge_receiptc_ir.hospital_name IS '医療機関名称';</v>
      </c>
    </row>
    <row r="29" spans="1:52" s="25" customFormat="1">
      <c r="A29" s="4"/>
      <c r="B29" s="21">
        <f t="shared" si="2"/>
        <v>17</v>
      </c>
      <c r="C29" s="13" t="s">
        <v>930</v>
      </c>
      <c r="D29" s="13" t="s">
        <v>931</v>
      </c>
      <c r="E29" s="7"/>
      <c r="F29" s="7" t="s">
        <v>865</v>
      </c>
      <c r="G29" s="7" t="str">
        <f t="shared" si="3"/>
        <v>text</v>
      </c>
      <c r="H29" s="58"/>
      <c r="I29" s="23"/>
      <c r="J29" s="24"/>
      <c r="N29" s="76"/>
      <c r="O29" s="76"/>
      <c r="P29" s="76" t="str">
        <f t="shared" si="4"/>
        <v>,multi_volume_shikibetsu</v>
      </c>
      <c r="Q29" s="76" t="str">
        <f t="shared" si="0"/>
        <v>TEXT</v>
      </c>
      <c r="R29" s="76" t="str">
        <f t="shared" si="1"/>
        <v/>
      </c>
      <c r="S29" s="76" t="str">
        <f t="shared" si="5"/>
        <v/>
      </c>
      <c r="T29" s="76" t="str">
        <f t="shared" si="6"/>
        <v>-- マルチボリューム識別情報</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milscm_2023_009.sny_202310_backup_merge_receiptc_ir.multi_volume_shikibetsu IS 'マルチボリューム識別情報';</v>
      </c>
    </row>
    <row r="30" spans="1:52" s="25" customFormat="1" ht="18" thickBot="1">
      <c r="A30" s="4"/>
      <c r="B30" s="27">
        <f>ROW()-12</f>
        <v>18</v>
      </c>
      <c r="C30" s="57" t="s">
        <v>932</v>
      </c>
      <c r="D30" s="57" t="s">
        <v>933</v>
      </c>
      <c r="E30" s="56"/>
      <c r="F30" s="56" t="s">
        <v>865</v>
      </c>
      <c r="G30" s="56" t="str">
        <f t="shared" si="3"/>
        <v>text</v>
      </c>
      <c r="H30" s="59"/>
      <c r="I30" s="60"/>
      <c r="J30" s="64"/>
      <c r="N30" s="76"/>
      <c r="O30" s="76"/>
      <c r="P30" s="76" t="str">
        <f t="shared" si="4"/>
        <v>,phone_no</v>
      </c>
      <c r="Q30" s="76" t="str">
        <f t="shared" si="0"/>
        <v>TEXT</v>
      </c>
      <c r="R30" s="76" t="str">
        <f t="shared" si="1"/>
        <v/>
      </c>
      <c r="S30" s="76" t="str">
        <f t="shared" si="5"/>
        <v/>
      </c>
      <c r="T30" s="76" t="str">
        <f t="shared" si="6"/>
        <v>-- 電話番号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milscm_2023_009.sny_202310_backup_merge_receiptc_ir.phone_no IS '電話番号';</v>
      </c>
    </row>
    <row r="31" spans="1:52">
      <c r="L31" s="25"/>
      <c r="M31" s="25"/>
      <c r="N31" s="76" t="s">
        <v>142</v>
      </c>
      <c r="O31" s="76"/>
      <c r="P31" s="76"/>
      <c r="Q31" s="76"/>
      <c r="R31" s="76"/>
      <c r="S31" s="76"/>
      <c r="T31" s="76"/>
      <c r="V31" s="25"/>
      <c r="W31" s="25"/>
      <c r="X31" s="25"/>
      <c r="Y31" s="25"/>
      <c r="Z31" s="25"/>
      <c r="AJ31" s="76"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ENT_01_C2-02</v>
      </c>
      <c r="E6" s="234"/>
      <c r="F6" s="234"/>
      <c r="G6" s="234"/>
      <c r="H6" s="234"/>
      <c r="I6" s="234"/>
      <c r="J6" s="235"/>
    </row>
    <row r="7" spans="1:45">
      <c r="B7" s="223" t="s">
        <v>115</v>
      </c>
      <c r="C7" s="224"/>
      <c r="D7" s="225" t="s">
        <v>943</v>
      </c>
      <c r="E7" s="226"/>
      <c r="F7" s="226"/>
      <c r="G7" s="226"/>
      <c r="H7" s="226"/>
      <c r="I7" s="226"/>
      <c r="J7" s="227"/>
    </row>
    <row r="8" spans="1:45">
      <c r="B8" s="223" t="s">
        <v>116</v>
      </c>
      <c r="C8" s="224"/>
      <c r="D8" s="225" t="str">
        <f>エンティティ一覧!AE2&amp;"_"&amp;D5&amp;"_merge_receiptc_re"</f>
        <v>sny_202310_backup_merge_receiptc_re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milscm_2023_009.sny_202310_backup_merge_receiptc_re;</v>
      </c>
      <c r="O10" s="76"/>
      <c r="P10" s="76"/>
      <c r="Q10" s="76"/>
      <c r="R10" s="76"/>
      <c r="S10" s="76"/>
      <c r="T10" s="76"/>
      <c r="AJ10" s="76" t="str">
        <f>"ALTER TABLE ONLY "&amp;エンティティ一覧!$O$2&amp;"."&amp;D$8</f>
        <v>ALTER TABLE ONLY milscm_2023_009.sny_202310_backup_merge_receiptc_re</v>
      </c>
      <c r="AS10" s="76" t="str">
        <f>"ALTER TABLE "&amp;エンティティ一覧!$O$2&amp;"."&amp;D$8&amp;" OWNER TO pgmisgrp1;"</f>
        <v>ALTER TABLE milscm_2023_009.sny_202310_backup_merge_receiptc_re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milscm_2023_009.sny_202310_backup_merge_receiptc_re</v>
      </c>
      <c r="O11" s="76"/>
      <c r="P11" s="76"/>
      <c r="Q11" s="76"/>
      <c r="R11" s="76"/>
      <c r="S11" s="76"/>
      <c r="T11" s="76"/>
      <c r="AJ11" s="76" t="str">
        <f>"ADD CONSTRAINT "&amp;D$8&amp;"_pkey PRIMARY KEY"</f>
        <v>ADD CONSTRAINT sny_202310_backup_merge_receiptc_re_pkey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milscm_2023_009.sny_202310_backup_merge_receiptc_re IS 'バックアップ_医科レセプト_レセプト共通レコード';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83" si="0">UPPER(G13)</f>
        <v>TEXT</v>
      </c>
      <c r="R13" s="76" t="str">
        <f t="shared" ref="R13:R8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milscm_2023_009.sny_202310_backup_merge_receiptc_re.torikomi_ym IS '取込年月';</v>
      </c>
    </row>
    <row r="14" spans="1:45" s="25" customFormat="1">
      <c r="A14" s="4"/>
      <c r="B14" s="21">
        <f t="shared" ref="B14:B82" si="2">ROW()-12</f>
        <v>2</v>
      </c>
      <c r="C14" s="6" t="s">
        <v>202</v>
      </c>
      <c r="D14" s="6" t="s">
        <v>203</v>
      </c>
      <c r="E14" s="8"/>
      <c r="F14" s="7" t="s">
        <v>204</v>
      </c>
      <c r="G14" s="7" t="str">
        <f t="shared" ref="G14:G83" si="3">IF(F14="フラグ","boolean",IF(F14="文字列","text",IF(F14="整数","integer",IF(F14="実数","numeric",""))))</f>
        <v>integer</v>
      </c>
      <c r="H14" s="26"/>
      <c r="I14" s="10"/>
      <c r="J14" s="11" t="s">
        <v>257</v>
      </c>
      <c r="M14" s="4"/>
      <c r="N14" s="76"/>
      <c r="O14" s="76"/>
      <c r="P14" s="76" t="str">
        <f t="shared" ref="P14:P8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milscm_2023_009.sny_202310_backup_merge_receiptc_re.mil_karute_id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milscm_2023_009.sny_202310_backup_merge_receiptc_re.facility_id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83" si="5">IF(I16="○","NOT NULL","")</f>
        <v>NOT NULL</v>
      </c>
      <c r="T16" s="76" t="str">
        <f t="shared" ref="T16:T83"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milscm_2023_009.sny_202310_backup_merge_receiptc_re.seikyu_ym IS '請求年月';</v>
      </c>
    </row>
    <row r="17" spans="2:45" s="25" customFormat="1" ht="69.599999999999994">
      <c r="B17" s="21">
        <f t="shared" si="2"/>
        <v>5</v>
      </c>
      <c r="C17" s="13" t="s">
        <v>866</v>
      </c>
      <c r="D17" s="13" t="s">
        <v>206</v>
      </c>
      <c r="E17" s="7" t="s">
        <v>127</v>
      </c>
      <c r="F17" s="7" t="s">
        <v>865</v>
      </c>
      <c r="G17" s="7" t="str">
        <f t="shared" ref="G17:G80" si="7">IF(F17="フラグ","boolean",IF(F17="文字列","text",IF(F17="整数","integer",IF(F17="実数","numeric",""))))</f>
        <v>text</v>
      </c>
      <c r="H17" s="58"/>
      <c r="I17" s="23" t="s">
        <v>127</v>
      </c>
      <c r="J17" s="24" t="s">
        <v>1060</v>
      </c>
      <c r="N17" s="76"/>
      <c r="O17" s="76"/>
      <c r="P17" s="76" t="str">
        <f t="shared" ref="P17:P80" si="8">IF(B17&lt;&gt;1,","&amp;D17,D17)</f>
        <v>,shinryo_ym</v>
      </c>
      <c r="Q17" s="76" t="str">
        <f t="shared" ref="Q17:Q80" si="9">UPPER(G17)</f>
        <v>TEXT</v>
      </c>
      <c r="R17" s="76" t="str">
        <f t="shared" ref="R17:R80" si="10">IF(H17&lt;&gt;"","default "&amp;IF(G17="text","'"&amp;H17&amp;"'",H17),"")</f>
        <v/>
      </c>
      <c r="S17" s="76" t="str">
        <f t="shared" ref="S17:S80" si="11">IF(I17="○","NOT NULL","")</f>
        <v>NOT NULL</v>
      </c>
      <c r="T17" s="76" t="str">
        <f t="shared" ref="T17:T80" si="12">"-- "&amp;C17</f>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milscm_2023_009.sny_202310_backup_merge_receiptc_re.shinryo_ym IS '診療年月';</v>
      </c>
    </row>
    <row r="18" spans="2:45" s="25" customFormat="1">
      <c r="B18" s="21">
        <f t="shared" si="2"/>
        <v>6</v>
      </c>
      <c r="C18" s="13" t="s">
        <v>319</v>
      </c>
      <c r="D18" s="13" t="s">
        <v>208</v>
      </c>
      <c r="E18" s="7"/>
      <c r="F18" s="7" t="s">
        <v>865</v>
      </c>
      <c r="G18" s="7" t="str">
        <f t="shared" si="7"/>
        <v>text</v>
      </c>
      <c r="H18" s="58" t="s">
        <v>936</v>
      </c>
      <c r="I18" s="23" t="s">
        <v>127</v>
      </c>
      <c r="J18" s="24" t="s">
        <v>937</v>
      </c>
      <c r="N18" s="76"/>
      <c r="O18" s="76"/>
      <c r="P18" s="76" t="str">
        <f t="shared" si="8"/>
        <v>,data_type</v>
      </c>
      <c r="Q18" s="76" t="str">
        <f t="shared" si="9"/>
        <v>TEXT</v>
      </c>
      <c r="R18" s="76" t="str">
        <f t="shared" si="10"/>
        <v>default 'RCP'</v>
      </c>
      <c r="S18" s="76" t="str">
        <f t="shared" si="11"/>
        <v>NOT NULL</v>
      </c>
      <c r="T18" s="76" t="str">
        <f t="shared" si="12"/>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milscm_2023_009.sny_202310_backup_merge_receiptc_re.data_type IS 'データ種別';</v>
      </c>
    </row>
    <row r="19" spans="2:45" s="25" customFormat="1">
      <c r="B19" s="21">
        <f t="shared" si="2"/>
        <v>7</v>
      </c>
      <c r="C19" s="13" t="s">
        <v>910</v>
      </c>
      <c r="D19" s="13" t="s">
        <v>911</v>
      </c>
      <c r="E19" s="7" t="s">
        <v>127</v>
      </c>
      <c r="F19" s="7" t="s">
        <v>865</v>
      </c>
      <c r="G19" s="7" t="str">
        <f t="shared" si="7"/>
        <v>text</v>
      </c>
      <c r="H19" s="58"/>
      <c r="I19" s="23" t="s">
        <v>127</v>
      </c>
      <c r="J19" s="24" t="s">
        <v>1061</v>
      </c>
      <c r="N19" s="76"/>
      <c r="O19" s="76"/>
      <c r="P19" s="76" t="str">
        <f t="shared" si="8"/>
        <v>,shinsa_kikan</v>
      </c>
      <c r="Q19" s="76" t="str">
        <f t="shared" si="9"/>
        <v>TEXT</v>
      </c>
      <c r="R19" s="76" t="str">
        <f t="shared" si="10"/>
        <v/>
      </c>
      <c r="S19" s="76" t="str">
        <f t="shared" si="11"/>
        <v>NOT NULL</v>
      </c>
      <c r="T19" s="76" t="str">
        <f t="shared" si="12"/>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milscm_2023_009.sny_202310_backup_merge_receiptc_re.shinsa_kikan IS '審査支払機関';</v>
      </c>
    </row>
    <row r="20" spans="2:45" s="25" customFormat="1">
      <c r="B20" s="21">
        <f t="shared" si="2"/>
        <v>8</v>
      </c>
      <c r="C20" s="13" t="s">
        <v>912</v>
      </c>
      <c r="D20" s="13" t="s">
        <v>913</v>
      </c>
      <c r="E20" s="7"/>
      <c r="F20" s="7" t="s">
        <v>865</v>
      </c>
      <c r="G20" s="7" t="str">
        <f t="shared" si="7"/>
        <v>text</v>
      </c>
      <c r="H20" s="58" t="s">
        <v>1062</v>
      </c>
      <c r="I20" s="23" t="s">
        <v>127</v>
      </c>
      <c r="J20" s="24" t="s">
        <v>1063</v>
      </c>
      <c r="N20" s="76"/>
      <c r="O20" s="76"/>
      <c r="P20" s="76" t="str">
        <f t="shared" si="8"/>
        <v>,record_shikibetsu</v>
      </c>
      <c r="Q20" s="76" t="str">
        <f t="shared" si="9"/>
        <v>TEXT</v>
      </c>
      <c r="R20" s="76" t="str">
        <f t="shared" si="10"/>
        <v>default 'RE'</v>
      </c>
      <c r="S20" s="76" t="str">
        <f t="shared" si="11"/>
        <v>NOT NULL</v>
      </c>
      <c r="T20" s="76" t="str">
        <f t="shared" si="12"/>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milscm_2023_009.sny_202310_backup_merge_receiptc_re.record_shikibetsu IS 'レコード識別情報';</v>
      </c>
    </row>
    <row r="21" spans="2:45" s="25" customFormat="1">
      <c r="B21" s="21">
        <f t="shared" si="2"/>
        <v>9</v>
      </c>
      <c r="C21" s="13" t="s">
        <v>914</v>
      </c>
      <c r="D21" s="13" t="s">
        <v>915</v>
      </c>
      <c r="E21" s="7" t="s">
        <v>127</v>
      </c>
      <c r="F21" s="7" t="s">
        <v>204</v>
      </c>
      <c r="G21" s="7" t="str">
        <f t="shared" si="7"/>
        <v>integer</v>
      </c>
      <c r="H21" s="58"/>
      <c r="I21" s="23" t="s">
        <v>127</v>
      </c>
      <c r="J21" s="24" t="s">
        <v>1064</v>
      </c>
      <c r="N21" s="76"/>
      <c r="O21" s="76"/>
      <c r="P21" s="76" t="str">
        <f t="shared" si="8"/>
        <v>,receipt_no</v>
      </c>
      <c r="Q21" s="76" t="str">
        <f t="shared" si="9"/>
        <v>INTEGER</v>
      </c>
      <c r="R21" s="76" t="str">
        <f t="shared" si="10"/>
        <v/>
      </c>
      <c r="S21" s="76" t="str">
        <f t="shared" si="11"/>
        <v>NOT NULL</v>
      </c>
      <c r="T21" s="76" t="str">
        <f t="shared" si="12"/>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milscm_2023_009.sny_202310_backup_merge_receiptc_re.receipt_no IS 'レセプト番号';</v>
      </c>
    </row>
    <row r="22" spans="2:45" s="25" customFormat="1" ht="34.799999999999997">
      <c r="B22" s="21">
        <f t="shared" si="2"/>
        <v>10</v>
      </c>
      <c r="C22" s="13" t="s">
        <v>916</v>
      </c>
      <c r="D22" s="13" t="s">
        <v>917</v>
      </c>
      <c r="E22" s="7" t="s">
        <v>127</v>
      </c>
      <c r="F22" s="7" t="s">
        <v>204</v>
      </c>
      <c r="G22" s="7" t="str">
        <f t="shared" si="7"/>
        <v>integer</v>
      </c>
      <c r="H22" s="58"/>
      <c r="I22" s="23" t="s">
        <v>127</v>
      </c>
      <c r="J22" s="24" t="s">
        <v>1065</v>
      </c>
      <c r="N22" s="76"/>
      <c r="O22" s="76"/>
      <c r="P22" s="76" t="str">
        <f t="shared" si="8"/>
        <v>,gyo_no</v>
      </c>
      <c r="Q22" s="76" t="str">
        <f t="shared" si="9"/>
        <v>INTEGER</v>
      </c>
      <c r="R22" s="76" t="str">
        <f t="shared" si="10"/>
        <v/>
      </c>
      <c r="S22" s="76" t="str">
        <f t="shared" si="11"/>
        <v>NOT NULL</v>
      </c>
      <c r="T22" s="76" t="str">
        <f t="shared" si="12"/>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milscm_2023_009.sny_202310_backup_merge_receiptc_re.gyo_no IS '行番号';</v>
      </c>
    </row>
    <row r="23" spans="2:45" s="25" customFormat="1">
      <c r="B23" s="21">
        <f t="shared" si="2"/>
        <v>11</v>
      </c>
      <c r="C23" s="13" t="s">
        <v>918</v>
      </c>
      <c r="D23" s="13" t="s">
        <v>919</v>
      </c>
      <c r="E23" s="7"/>
      <c r="F23" s="7" t="s">
        <v>865</v>
      </c>
      <c r="G23" s="7" t="str">
        <f t="shared" si="7"/>
        <v>text</v>
      </c>
      <c r="H23" s="58"/>
      <c r="I23" s="23"/>
      <c r="J23" s="24" t="s">
        <v>1066</v>
      </c>
      <c r="N23" s="76"/>
      <c r="O23" s="76"/>
      <c r="P23" s="76" t="str">
        <f t="shared" si="8"/>
        <v>,karute_no</v>
      </c>
      <c r="Q23" s="76" t="str">
        <f t="shared" si="9"/>
        <v>TEXT</v>
      </c>
      <c r="R23" s="76" t="str">
        <f t="shared" si="10"/>
        <v/>
      </c>
      <c r="S23" s="76" t="str">
        <f t="shared" si="11"/>
        <v/>
      </c>
      <c r="T23" s="76" t="str">
        <f t="shared" si="12"/>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milscm_2023_009.sny_202310_backup_merge_receiptc_re.karute_no IS 'カルテ番号等';</v>
      </c>
    </row>
    <row r="24" spans="2:45" s="25" customFormat="1">
      <c r="B24" s="21">
        <f t="shared" si="2"/>
        <v>12</v>
      </c>
      <c r="C24" s="13" t="s">
        <v>944</v>
      </c>
      <c r="D24" s="13" t="s">
        <v>945</v>
      </c>
      <c r="E24" s="7"/>
      <c r="F24" s="7" t="s">
        <v>865</v>
      </c>
      <c r="G24" s="7" t="str">
        <f t="shared" si="7"/>
        <v>text</v>
      </c>
      <c r="H24" s="58"/>
      <c r="I24" s="23"/>
      <c r="J24" s="24"/>
      <c r="N24" s="76"/>
      <c r="O24" s="76"/>
      <c r="P24" s="76" t="str">
        <f t="shared" si="8"/>
        <v>,receipt_type</v>
      </c>
      <c r="Q24" s="76" t="str">
        <f t="shared" si="9"/>
        <v>TEXT</v>
      </c>
      <c r="R24" s="76" t="str">
        <f t="shared" si="10"/>
        <v/>
      </c>
      <c r="S24" s="76" t="str">
        <f t="shared" si="11"/>
        <v/>
      </c>
      <c r="T24" s="76" t="str">
        <f t="shared" si="12"/>
        <v>-- レセプト種別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milscm_2023_009.sny_202310_backup_merge_receiptc_re.receipt_type IS 'レセプト種別';</v>
      </c>
    </row>
    <row r="25" spans="2:45" s="25" customFormat="1">
      <c r="B25" s="21">
        <f t="shared" si="2"/>
        <v>13</v>
      </c>
      <c r="C25" s="13" t="s">
        <v>946</v>
      </c>
      <c r="D25" s="13" t="s">
        <v>947</v>
      </c>
      <c r="E25" s="7"/>
      <c r="F25" s="7" t="s">
        <v>865</v>
      </c>
      <c r="G25" s="7" t="str">
        <f t="shared" si="7"/>
        <v>text</v>
      </c>
      <c r="H25" s="58"/>
      <c r="I25" s="23"/>
      <c r="J25" s="24" t="s">
        <v>1067</v>
      </c>
      <c r="N25" s="76"/>
      <c r="O25" s="76"/>
      <c r="P25" s="76" t="str">
        <f t="shared" si="8"/>
        <v>,name</v>
      </c>
      <c r="Q25" s="76" t="str">
        <f t="shared" si="9"/>
        <v>TEXT</v>
      </c>
      <c r="R25" s="76" t="str">
        <f t="shared" si="10"/>
        <v/>
      </c>
      <c r="S25" s="76" t="str">
        <f t="shared" si="11"/>
        <v/>
      </c>
      <c r="T25" s="76" t="str">
        <f t="shared" si="12"/>
        <v>-- 氏名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milscm_2023_009.sny_202310_backup_merge_receiptc_re.name IS '氏名';</v>
      </c>
    </row>
    <row r="26" spans="2:45" s="25" customFormat="1">
      <c r="B26" s="21">
        <f t="shared" si="2"/>
        <v>14</v>
      </c>
      <c r="C26" s="13" t="s">
        <v>948</v>
      </c>
      <c r="D26" s="13" t="s">
        <v>949</v>
      </c>
      <c r="E26" s="7"/>
      <c r="F26" s="7" t="s">
        <v>865</v>
      </c>
      <c r="G26" s="7" t="str">
        <f t="shared" si="7"/>
        <v>text</v>
      </c>
      <c r="H26" s="58"/>
      <c r="I26" s="23"/>
      <c r="J26" s="24" t="s">
        <v>1068</v>
      </c>
      <c r="N26" s="76"/>
      <c r="O26" s="76"/>
      <c r="P26" s="76" t="str">
        <f t="shared" si="8"/>
        <v>,sex_kubun</v>
      </c>
      <c r="Q26" s="76" t="str">
        <f t="shared" si="9"/>
        <v>TEXT</v>
      </c>
      <c r="R26" s="76" t="str">
        <f t="shared" si="10"/>
        <v/>
      </c>
      <c r="S26" s="76" t="str">
        <f t="shared" si="11"/>
        <v/>
      </c>
      <c r="T26" s="76" t="str">
        <f t="shared" si="12"/>
        <v>-- 男女区分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milscm_2023_009.sny_202310_backup_merge_receiptc_re.sex_kubun IS '男女区分';</v>
      </c>
    </row>
    <row r="27" spans="2:45" s="25" customFormat="1" ht="87">
      <c r="B27" s="21">
        <f t="shared" si="2"/>
        <v>15</v>
      </c>
      <c r="C27" s="13" t="s">
        <v>950</v>
      </c>
      <c r="D27" s="13" t="s">
        <v>322</v>
      </c>
      <c r="E27" s="7"/>
      <c r="F27" s="7" t="s">
        <v>865</v>
      </c>
      <c r="G27" s="7" t="str">
        <f t="shared" si="7"/>
        <v>text</v>
      </c>
      <c r="H27" s="58"/>
      <c r="I27" s="23"/>
      <c r="J27" s="24" t="s">
        <v>1069</v>
      </c>
      <c r="N27" s="76"/>
      <c r="O27" s="76"/>
      <c r="P27" s="76" t="str">
        <f t="shared" si="8"/>
        <v>,birthday</v>
      </c>
      <c r="Q27" s="76" t="str">
        <f t="shared" si="9"/>
        <v>TEXT</v>
      </c>
      <c r="R27" s="76" t="str">
        <f t="shared" si="10"/>
        <v/>
      </c>
      <c r="S27" s="76" t="str">
        <f t="shared" si="11"/>
        <v/>
      </c>
      <c r="T27" s="76" t="str">
        <f t="shared" si="12"/>
        <v>-- 生年月日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milscm_2023_009.sny_202310_backup_merge_receiptc_re.birthday IS '生年月日';</v>
      </c>
    </row>
    <row r="28" spans="2:45" s="25" customFormat="1">
      <c r="B28" s="21">
        <f t="shared" si="2"/>
        <v>16</v>
      </c>
      <c r="C28" s="13" t="s">
        <v>951</v>
      </c>
      <c r="D28" s="13" t="s">
        <v>952</v>
      </c>
      <c r="E28" s="7"/>
      <c r="F28" s="7" t="s">
        <v>204</v>
      </c>
      <c r="G28" s="7" t="str">
        <f t="shared" si="7"/>
        <v>integer</v>
      </c>
      <c r="H28" s="58"/>
      <c r="I28" s="23"/>
      <c r="J28" s="24"/>
      <c r="N28" s="76"/>
      <c r="O28" s="76"/>
      <c r="P28" s="76" t="str">
        <f t="shared" si="8"/>
        <v>,kyufu_wariai</v>
      </c>
      <c r="Q28" s="76" t="str">
        <f t="shared" si="9"/>
        <v>INTEGER</v>
      </c>
      <c r="R28" s="76" t="str">
        <f t="shared" si="10"/>
        <v/>
      </c>
      <c r="S28" s="76" t="str">
        <f t="shared" si="11"/>
        <v/>
      </c>
      <c r="T28" s="76" t="str">
        <f t="shared" si="12"/>
        <v>-- 給付割合</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milscm_2023_009.sny_202310_backup_merge_receiptc_re.kyufu_wariai IS '給付割合';</v>
      </c>
    </row>
    <row r="29" spans="2:45" s="25" customFormat="1" ht="69.599999999999994">
      <c r="B29" s="21">
        <f t="shared" si="2"/>
        <v>17</v>
      </c>
      <c r="C29" s="13" t="s">
        <v>868</v>
      </c>
      <c r="D29" s="13" t="s">
        <v>156</v>
      </c>
      <c r="E29" s="7"/>
      <c r="F29" s="7" t="s">
        <v>865</v>
      </c>
      <c r="G29" s="7" t="str">
        <f t="shared" si="7"/>
        <v>text</v>
      </c>
      <c r="H29" s="58"/>
      <c r="I29" s="23"/>
      <c r="J29" s="24" t="s">
        <v>1070</v>
      </c>
      <c r="N29" s="76"/>
      <c r="O29" s="76"/>
      <c r="P29" s="76" t="str">
        <f t="shared" si="8"/>
        <v>,nyuin_ymd</v>
      </c>
      <c r="Q29" s="76" t="str">
        <f t="shared" si="9"/>
        <v>TEXT</v>
      </c>
      <c r="R29" s="76" t="str">
        <f t="shared" si="10"/>
        <v/>
      </c>
      <c r="S29" s="76" t="str">
        <f t="shared" si="11"/>
        <v/>
      </c>
      <c r="T29" s="76" t="str">
        <f t="shared" si="12"/>
        <v>-- 入院年月日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milscm_2023_009.sny_202310_backup_merge_receiptc_re.nyuin_ymd IS '入院年月日';</v>
      </c>
    </row>
    <row r="30" spans="2:45" s="25" customFormat="1">
      <c r="B30" s="21">
        <f t="shared" si="2"/>
        <v>18</v>
      </c>
      <c r="C30" s="13" t="s">
        <v>953</v>
      </c>
      <c r="D30" s="13" t="s">
        <v>954</v>
      </c>
      <c r="E30" s="7"/>
      <c r="F30" s="7" t="s">
        <v>865</v>
      </c>
      <c r="G30" s="7" t="str">
        <f t="shared" si="7"/>
        <v>text</v>
      </c>
      <c r="H30" s="58"/>
      <c r="I30" s="23"/>
      <c r="J30" s="24" t="s">
        <v>1071</v>
      </c>
      <c r="N30" s="76"/>
      <c r="O30" s="76"/>
      <c r="P30" s="76" t="str">
        <f t="shared" si="8"/>
        <v>,ward_kubun1</v>
      </c>
      <c r="Q30" s="76" t="str">
        <f t="shared" si="9"/>
        <v>TEXT</v>
      </c>
      <c r="R30" s="76" t="str">
        <f t="shared" si="10"/>
        <v/>
      </c>
      <c r="S30" s="76" t="str">
        <f t="shared" si="11"/>
        <v/>
      </c>
      <c r="T30" s="76" t="str">
        <f t="shared" si="12"/>
        <v>-- 病棟区分1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milscm_2023_009.sny_202310_backup_merge_receiptc_re.ward_kubun1 IS '病棟区分1';</v>
      </c>
    </row>
    <row r="31" spans="2:45" s="25" customFormat="1">
      <c r="B31" s="21">
        <f t="shared" si="2"/>
        <v>19</v>
      </c>
      <c r="C31" s="13" t="s">
        <v>955</v>
      </c>
      <c r="D31" s="13" t="s">
        <v>956</v>
      </c>
      <c r="E31" s="7"/>
      <c r="F31" s="7" t="s">
        <v>865</v>
      </c>
      <c r="G31" s="7" t="str">
        <f t="shared" si="7"/>
        <v>text</v>
      </c>
      <c r="H31" s="58"/>
      <c r="I31" s="23"/>
      <c r="J31" s="24"/>
      <c r="N31" s="76"/>
      <c r="O31" s="76"/>
      <c r="P31" s="76" t="str">
        <f t="shared" si="8"/>
        <v>,ward_kubun2</v>
      </c>
      <c r="Q31" s="76" t="str">
        <f t="shared" si="9"/>
        <v>TEXT</v>
      </c>
      <c r="R31" s="76" t="str">
        <f t="shared" si="10"/>
        <v/>
      </c>
      <c r="S31" s="76" t="str">
        <f t="shared" si="11"/>
        <v/>
      </c>
      <c r="T31" s="76" t="str">
        <f t="shared" si="12"/>
        <v>-- 病棟区分2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milscm_2023_009.sny_202310_backup_merge_receiptc_re.ward_kubun2 IS '病棟区分2';</v>
      </c>
    </row>
    <row r="32" spans="2:45" s="25" customFormat="1">
      <c r="B32" s="21">
        <f t="shared" si="2"/>
        <v>20</v>
      </c>
      <c r="C32" s="13" t="s">
        <v>957</v>
      </c>
      <c r="D32" s="13" t="s">
        <v>958</v>
      </c>
      <c r="E32" s="7"/>
      <c r="F32" s="7" t="s">
        <v>865</v>
      </c>
      <c r="G32" s="7" t="str">
        <f t="shared" si="7"/>
        <v>text</v>
      </c>
      <c r="H32" s="58"/>
      <c r="I32" s="23"/>
      <c r="J32" s="24"/>
      <c r="N32" s="76"/>
      <c r="O32" s="76"/>
      <c r="P32" s="76" t="str">
        <f t="shared" si="8"/>
        <v>,ward_kubun3</v>
      </c>
      <c r="Q32" s="76" t="str">
        <f t="shared" si="9"/>
        <v>TEXT</v>
      </c>
      <c r="R32" s="76" t="str">
        <f t="shared" si="10"/>
        <v/>
      </c>
      <c r="S32" s="76" t="str">
        <f t="shared" si="11"/>
        <v/>
      </c>
      <c r="T32" s="76" t="str">
        <f t="shared" si="12"/>
        <v>-- 病棟区分3</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milscm_2023_009.sny_202310_backup_merge_receiptc_re.ward_kubun3 IS '病棟区分3';</v>
      </c>
    </row>
    <row r="33" spans="2:45" s="25" customFormat="1">
      <c r="B33" s="21">
        <f t="shared" si="2"/>
        <v>21</v>
      </c>
      <c r="C33" s="13" t="s">
        <v>959</v>
      </c>
      <c r="D33" s="13" t="s">
        <v>960</v>
      </c>
      <c r="E33" s="7"/>
      <c r="F33" s="7" t="s">
        <v>865</v>
      </c>
      <c r="G33" s="7" t="str">
        <f t="shared" si="7"/>
        <v>text</v>
      </c>
      <c r="H33" s="58"/>
      <c r="I33" s="23"/>
      <c r="J33" s="24"/>
      <c r="N33" s="76"/>
      <c r="O33" s="76"/>
      <c r="P33" s="76" t="str">
        <f t="shared" si="8"/>
        <v>,ward_kubun4</v>
      </c>
      <c r="Q33" s="76" t="str">
        <f t="shared" si="9"/>
        <v>TEXT</v>
      </c>
      <c r="R33" s="76" t="str">
        <f t="shared" si="10"/>
        <v/>
      </c>
      <c r="S33" s="76" t="str">
        <f t="shared" si="11"/>
        <v/>
      </c>
      <c r="T33" s="76" t="str">
        <f t="shared" si="12"/>
        <v>-- 病棟区分4</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milscm_2023_009.sny_202310_backup_merge_receiptc_re.ward_kubun4 IS '病棟区分4';</v>
      </c>
    </row>
    <row r="34" spans="2:45" s="25" customFormat="1" ht="30">
      <c r="B34" s="21">
        <f t="shared" si="2"/>
        <v>22</v>
      </c>
      <c r="C34" s="13" t="s">
        <v>961</v>
      </c>
      <c r="D34" s="13" t="s">
        <v>962</v>
      </c>
      <c r="E34" s="7"/>
      <c r="F34" s="7" t="s">
        <v>865</v>
      </c>
      <c r="G34" s="7" t="str">
        <f t="shared" si="7"/>
        <v>text</v>
      </c>
      <c r="H34" s="58"/>
      <c r="I34" s="23"/>
      <c r="J34" s="24"/>
      <c r="N34" s="76"/>
      <c r="O34" s="76"/>
      <c r="P34" s="76" t="str">
        <f t="shared" si="8"/>
        <v>,ichibu_futankin_kubun</v>
      </c>
      <c r="Q34" s="76" t="str">
        <f t="shared" si="9"/>
        <v>TEXT</v>
      </c>
      <c r="R34" s="76" t="str">
        <f t="shared" si="10"/>
        <v/>
      </c>
      <c r="S34" s="76" t="str">
        <f t="shared" si="11"/>
        <v/>
      </c>
      <c r="T34" s="76" t="str">
        <f t="shared" si="12"/>
        <v>-- 一部負担金・食事療養費・生活療養費標準負担額区分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milscm_2023_009.sny_202310_backup_merge_receiptc_re.ichibu_futankin_kubun IS '一部負担金・食事療養費・生活療養費標準負担額区分';</v>
      </c>
    </row>
    <row r="35" spans="2:45" s="25" customFormat="1">
      <c r="B35" s="21">
        <f t="shared" si="2"/>
        <v>23</v>
      </c>
      <c r="C35" s="13" t="s">
        <v>963</v>
      </c>
      <c r="D35" s="13" t="s">
        <v>964</v>
      </c>
      <c r="E35" s="7"/>
      <c r="F35" s="7" t="s">
        <v>865</v>
      </c>
      <c r="G35" s="7" t="str">
        <f t="shared" si="7"/>
        <v>text</v>
      </c>
      <c r="H35" s="58"/>
      <c r="I35" s="23"/>
      <c r="J35" s="24" t="s">
        <v>1072</v>
      </c>
      <c r="N35" s="76"/>
      <c r="O35" s="76"/>
      <c r="P35" s="76" t="str">
        <f t="shared" si="8"/>
        <v>,receipt_tokki_code1</v>
      </c>
      <c r="Q35" s="76" t="str">
        <f t="shared" si="9"/>
        <v>TEXT</v>
      </c>
      <c r="R35" s="76" t="str">
        <f t="shared" si="10"/>
        <v/>
      </c>
      <c r="S35" s="76" t="str">
        <f t="shared" si="11"/>
        <v/>
      </c>
      <c r="T35" s="76" t="str">
        <f t="shared" si="12"/>
        <v>-- レセプト特記事項1</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milscm_2023_009.sny_202310_backup_merge_receiptc_re.receipt_tokki_code1 IS 'レセプト特記事項1';</v>
      </c>
    </row>
    <row r="36" spans="2:45" s="25" customFormat="1">
      <c r="B36" s="21">
        <f t="shared" si="2"/>
        <v>24</v>
      </c>
      <c r="C36" s="13" t="s">
        <v>965</v>
      </c>
      <c r="D36" s="13" t="s">
        <v>966</v>
      </c>
      <c r="E36" s="7"/>
      <c r="F36" s="7" t="s">
        <v>865</v>
      </c>
      <c r="G36" s="7" t="str">
        <f t="shared" si="7"/>
        <v>text</v>
      </c>
      <c r="H36" s="58"/>
      <c r="I36" s="23"/>
      <c r="J36" s="24"/>
      <c r="N36" s="76"/>
      <c r="O36" s="76"/>
      <c r="P36" s="76" t="str">
        <f t="shared" si="8"/>
        <v>,receipt_tokki_code2</v>
      </c>
      <c r="Q36" s="76" t="str">
        <f t="shared" si="9"/>
        <v>TEXT</v>
      </c>
      <c r="R36" s="76" t="str">
        <f t="shared" si="10"/>
        <v/>
      </c>
      <c r="S36" s="76" t="str">
        <f t="shared" si="11"/>
        <v/>
      </c>
      <c r="T36" s="76" t="str">
        <f t="shared" si="12"/>
        <v>-- レセプト特記事項2</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milscm_2023_009.sny_202310_backup_merge_receiptc_re.receipt_tokki_code2 IS 'レセプト特記事項2';</v>
      </c>
    </row>
    <row r="37" spans="2:45" s="25" customFormat="1">
      <c r="B37" s="21">
        <f t="shared" si="2"/>
        <v>25</v>
      </c>
      <c r="C37" s="13" t="s">
        <v>967</v>
      </c>
      <c r="D37" s="13" t="s">
        <v>968</v>
      </c>
      <c r="E37" s="7"/>
      <c r="F37" s="7" t="s">
        <v>865</v>
      </c>
      <c r="G37" s="7" t="str">
        <f t="shared" si="7"/>
        <v>text</v>
      </c>
      <c r="H37" s="58"/>
      <c r="I37" s="23"/>
      <c r="J37" s="24"/>
      <c r="N37" s="76"/>
      <c r="O37" s="76"/>
      <c r="P37" s="76" t="str">
        <f t="shared" si="8"/>
        <v>,receipt_tokki_code3</v>
      </c>
      <c r="Q37" s="76" t="str">
        <f t="shared" si="9"/>
        <v>TEXT</v>
      </c>
      <c r="R37" s="76" t="str">
        <f t="shared" si="10"/>
        <v/>
      </c>
      <c r="S37" s="76" t="str">
        <f t="shared" si="11"/>
        <v/>
      </c>
      <c r="T37" s="76" t="str">
        <f t="shared" si="12"/>
        <v>-- レセプト特記事項3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milscm_2023_009.sny_202310_backup_merge_receiptc_re.receipt_tokki_code3 IS 'レセプト特記事項3';</v>
      </c>
    </row>
    <row r="38" spans="2:45" s="25" customFormat="1">
      <c r="B38" s="21">
        <f t="shared" si="2"/>
        <v>26</v>
      </c>
      <c r="C38" s="13" t="s">
        <v>969</v>
      </c>
      <c r="D38" s="13" t="s">
        <v>970</v>
      </c>
      <c r="E38" s="7"/>
      <c r="F38" s="7" t="s">
        <v>865</v>
      </c>
      <c r="G38" s="7" t="str">
        <f t="shared" si="7"/>
        <v>text</v>
      </c>
      <c r="H38" s="58"/>
      <c r="I38" s="23"/>
      <c r="J38" s="24"/>
      <c r="N38" s="76"/>
      <c r="O38" s="76"/>
      <c r="P38" s="76" t="str">
        <f t="shared" si="8"/>
        <v>,receipt_tokki_code4</v>
      </c>
      <c r="Q38" s="76" t="str">
        <f t="shared" si="9"/>
        <v>TEXT</v>
      </c>
      <c r="R38" s="76" t="str">
        <f t="shared" si="10"/>
        <v/>
      </c>
      <c r="S38" s="76" t="str">
        <f t="shared" si="11"/>
        <v/>
      </c>
      <c r="T38" s="76" t="str">
        <f t="shared" si="12"/>
        <v>-- レセプト特記事項4</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milscm_2023_009.sny_202310_backup_merge_receiptc_re.receipt_tokki_code4 IS 'レセプト特記事項4';</v>
      </c>
    </row>
    <row r="39" spans="2:45" s="25" customFormat="1">
      <c r="B39" s="21">
        <f t="shared" si="2"/>
        <v>27</v>
      </c>
      <c r="C39" s="13" t="s">
        <v>971</v>
      </c>
      <c r="D39" s="13" t="s">
        <v>972</v>
      </c>
      <c r="E39" s="7"/>
      <c r="F39" s="7" t="s">
        <v>865</v>
      </c>
      <c r="G39" s="7" t="str">
        <f t="shared" si="7"/>
        <v>text</v>
      </c>
      <c r="H39" s="58"/>
      <c r="I39" s="23"/>
      <c r="J39" s="24"/>
      <c r="N39" s="76"/>
      <c r="O39" s="76"/>
      <c r="P39" s="76" t="str">
        <f t="shared" si="8"/>
        <v>,receipt_tokki_code5</v>
      </c>
      <c r="Q39" s="76" t="str">
        <f t="shared" si="9"/>
        <v>TEXT</v>
      </c>
      <c r="R39" s="76" t="str">
        <f t="shared" si="10"/>
        <v/>
      </c>
      <c r="S39" s="76" t="str">
        <f t="shared" si="11"/>
        <v/>
      </c>
      <c r="T39" s="76" t="str">
        <f t="shared" si="12"/>
        <v>-- レセプト特記事項5</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milscm_2023_009.sny_202310_backup_merge_receiptc_re.receipt_tokki_code5 IS 'レセプト特記事項5';</v>
      </c>
    </row>
    <row r="40" spans="2:45" s="25" customFormat="1">
      <c r="B40" s="21">
        <f t="shared" si="2"/>
        <v>28</v>
      </c>
      <c r="C40" s="13" t="s">
        <v>973</v>
      </c>
      <c r="D40" s="13" t="s">
        <v>974</v>
      </c>
      <c r="E40" s="7"/>
      <c r="F40" s="7" t="s">
        <v>204</v>
      </c>
      <c r="G40" s="7" t="str">
        <f t="shared" si="7"/>
        <v>integer</v>
      </c>
      <c r="H40" s="58"/>
      <c r="I40" s="23"/>
      <c r="J40" s="24"/>
      <c r="N40" s="76"/>
      <c r="O40" s="76"/>
      <c r="P40" s="76" t="str">
        <f t="shared" si="8"/>
        <v>,bed_su</v>
      </c>
      <c r="Q40" s="76" t="str">
        <f t="shared" si="9"/>
        <v>INTEGER</v>
      </c>
      <c r="R40" s="76" t="str">
        <f t="shared" si="10"/>
        <v/>
      </c>
      <c r="S40" s="76" t="str">
        <f t="shared" si="11"/>
        <v/>
      </c>
      <c r="T40" s="76" t="str">
        <f t="shared" si="12"/>
        <v>-- 病床数</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milscm_2023_009.sny_202310_backup_merge_receiptc_re.bed_su IS '病床数';</v>
      </c>
    </row>
    <row r="41" spans="2:45" s="25" customFormat="1">
      <c r="B41" s="21">
        <f t="shared" si="2"/>
        <v>29</v>
      </c>
      <c r="C41" s="13" t="s">
        <v>975</v>
      </c>
      <c r="D41" s="13" t="s">
        <v>976</v>
      </c>
      <c r="E41" s="7"/>
      <c r="F41" s="7" t="s">
        <v>204</v>
      </c>
      <c r="G41" s="7" t="str">
        <f t="shared" si="7"/>
        <v>integer</v>
      </c>
      <c r="H41" s="58"/>
      <c r="I41" s="23"/>
      <c r="J41" s="24"/>
      <c r="N41" s="76"/>
      <c r="O41" s="76"/>
      <c r="P41" s="76" t="str">
        <f t="shared" si="8"/>
        <v>,waribiki_tensu</v>
      </c>
      <c r="Q41" s="76" t="str">
        <f t="shared" si="9"/>
        <v>INTEGER</v>
      </c>
      <c r="R41" s="76" t="str">
        <f t="shared" si="10"/>
        <v/>
      </c>
      <c r="S41" s="76" t="str">
        <f t="shared" si="11"/>
        <v/>
      </c>
      <c r="T41" s="76" t="str">
        <f t="shared" si="12"/>
        <v>-- 割引点数単価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milscm_2023_009.sny_202310_backup_merge_receiptc_re.waribiki_tensu IS '割引点数単価';</v>
      </c>
    </row>
    <row r="42" spans="2:45" s="25" customFormat="1">
      <c r="B42" s="21">
        <f t="shared" si="2"/>
        <v>30</v>
      </c>
      <c r="C42" s="13" t="s">
        <v>926</v>
      </c>
      <c r="D42" s="13" t="s">
        <v>927</v>
      </c>
      <c r="E42" s="7"/>
      <c r="F42" s="7" t="s">
        <v>865</v>
      </c>
      <c r="G42" s="7" t="str">
        <f t="shared" si="7"/>
        <v>text</v>
      </c>
      <c r="H42" s="58"/>
      <c r="I42" s="23"/>
      <c r="J42" s="24"/>
      <c r="N42" s="76"/>
      <c r="O42" s="76"/>
      <c r="P42" s="76" t="str">
        <f t="shared" si="8"/>
        <v>,reserve1</v>
      </c>
      <c r="Q42" s="76" t="str">
        <f t="shared" si="9"/>
        <v>TEXT</v>
      </c>
      <c r="R42" s="76" t="str">
        <f t="shared" si="10"/>
        <v/>
      </c>
      <c r="S42" s="76" t="str">
        <f t="shared" si="11"/>
        <v/>
      </c>
      <c r="T42" s="76" t="str">
        <f t="shared" si="12"/>
        <v>-- 予備1</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milscm_2023_009.sny_202310_backup_merge_receiptc_re.reserve1 IS '予備1';</v>
      </c>
    </row>
    <row r="43" spans="2:45" s="25" customFormat="1">
      <c r="B43" s="21">
        <f t="shared" si="2"/>
        <v>31</v>
      </c>
      <c r="C43" s="13" t="s">
        <v>977</v>
      </c>
      <c r="D43" s="13" t="s">
        <v>978</v>
      </c>
      <c r="E43" s="7"/>
      <c r="F43" s="7" t="s">
        <v>865</v>
      </c>
      <c r="G43" s="7" t="str">
        <f t="shared" si="7"/>
        <v>text</v>
      </c>
      <c r="H43" s="58"/>
      <c r="I43" s="23"/>
      <c r="J43" s="24"/>
      <c r="N43" s="76"/>
      <c r="O43" s="76"/>
      <c r="P43" s="76" t="str">
        <f t="shared" si="8"/>
        <v>,reserve2</v>
      </c>
      <c r="Q43" s="76" t="str">
        <f t="shared" si="9"/>
        <v>TEXT</v>
      </c>
      <c r="R43" s="76" t="str">
        <f t="shared" si="10"/>
        <v/>
      </c>
      <c r="S43" s="76" t="str">
        <f t="shared" si="11"/>
        <v/>
      </c>
      <c r="T43" s="76" t="str">
        <f t="shared" si="12"/>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milscm_2023_009.sny_202310_backup_merge_receiptc_re.reserve2 IS '予備2';</v>
      </c>
    </row>
    <row r="44" spans="2:45" s="25" customFormat="1">
      <c r="B44" s="21">
        <f t="shared" si="2"/>
        <v>32</v>
      </c>
      <c r="C44" s="13" t="s">
        <v>979</v>
      </c>
      <c r="D44" s="13" t="s">
        <v>980</v>
      </c>
      <c r="E44" s="7"/>
      <c r="F44" s="7" t="s">
        <v>865</v>
      </c>
      <c r="G44" s="7" t="str">
        <f t="shared" si="7"/>
        <v>text</v>
      </c>
      <c r="H44" s="58"/>
      <c r="I44" s="23"/>
      <c r="J44" s="24"/>
      <c r="N44" s="76"/>
      <c r="O44" s="76"/>
      <c r="P44" s="76" t="str">
        <f t="shared" si="8"/>
        <v>,reserve3</v>
      </c>
      <c r="Q44" s="76" t="str">
        <f t="shared" si="9"/>
        <v>TEXT</v>
      </c>
      <c r="R44" s="76" t="str">
        <f t="shared" si="10"/>
        <v/>
      </c>
      <c r="S44" s="76" t="str">
        <f t="shared" si="11"/>
        <v/>
      </c>
      <c r="T44" s="76" t="str">
        <f t="shared" si="12"/>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milscm_2023_009.sny_202310_backup_merge_receiptc_re.reserve3 IS '予備3';</v>
      </c>
    </row>
    <row r="45" spans="2:45" s="25" customFormat="1">
      <c r="B45" s="21">
        <f t="shared" si="2"/>
        <v>33</v>
      </c>
      <c r="C45" s="13" t="s">
        <v>981</v>
      </c>
      <c r="D45" s="13" t="s">
        <v>982</v>
      </c>
      <c r="E45" s="7"/>
      <c r="F45" s="7" t="s">
        <v>865</v>
      </c>
      <c r="G45" s="7" t="str">
        <f t="shared" si="7"/>
        <v>text</v>
      </c>
      <c r="H45" s="58"/>
      <c r="I45" s="23"/>
      <c r="J45" s="24"/>
      <c r="N45" s="76"/>
      <c r="O45" s="76"/>
      <c r="P45" s="76" t="str">
        <f t="shared" si="8"/>
        <v>,kensaku_no</v>
      </c>
      <c r="Q45" s="76" t="str">
        <f t="shared" si="9"/>
        <v>TEXT</v>
      </c>
      <c r="R45" s="76" t="str">
        <f t="shared" si="10"/>
        <v/>
      </c>
      <c r="S45" s="76" t="str">
        <f t="shared" si="11"/>
        <v/>
      </c>
      <c r="T45" s="76" t="str">
        <f t="shared" si="12"/>
        <v>-- 検索番号</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milscm_2023_009.sny_202310_backup_merge_receiptc_re.kensaku_no IS '検索番号';</v>
      </c>
    </row>
    <row r="46" spans="2:45" s="25" customFormat="1" ht="52.2">
      <c r="B46" s="21">
        <f t="shared" si="2"/>
        <v>34</v>
      </c>
      <c r="C46" s="13" t="s">
        <v>983</v>
      </c>
      <c r="D46" s="13" t="s">
        <v>984</v>
      </c>
      <c r="E46" s="7"/>
      <c r="F46" s="7" t="s">
        <v>865</v>
      </c>
      <c r="G46" s="7" t="str">
        <f t="shared" si="7"/>
        <v>text</v>
      </c>
      <c r="H46" s="58"/>
      <c r="I46" s="23"/>
      <c r="J46" s="24" t="s">
        <v>935</v>
      </c>
      <c r="N46" s="76"/>
      <c r="O46" s="76"/>
      <c r="P46" s="76" t="str">
        <f t="shared" si="8"/>
        <v>,kiroku_ym</v>
      </c>
      <c r="Q46" s="76" t="str">
        <f t="shared" si="9"/>
        <v>TEXT</v>
      </c>
      <c r="R46" s="76" t="str">
        <f t="shared" si="10"/>
        <v/>
      </c>
      <c r="S46" s="76" t="str">
        <f t="shared" si="11"/>
        <v/>
      </c>
      <c r="T46" s="76" t="str">
        <f t="shared" si="12"/>
        <v>-- 記録条件仕様年月情報</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milscm_2023_009.sny_202310_backup_merge_receiptc_re.kiroku_ym IS '記録条件仕様年月情報';</v>
      </c>
    </row>
    <row r="47" spans="2:45" s="25" customFormat="1">
      <c r="B47" s="21">
        <f t="shared" si="2"/>
        <v>35</v>
      </c>
      <c r="C47" s="13" t="s">
        <v>985</v>
      </c>
      <c r="D47" s="13" t="s">
        <v>986</v>
      </c>
      <c r="E47" s="7"/>
      <c r="F47" s="7" t="s">
        <v>865</v>
      </c>
      <c r="G47" s="7" t="str">
        <f t="shared" si="7"/>
        <v>text</v>
      </c>
      <c r="H47" s="58"/>
      <c r="I47" s="23"/>
      <c r="J47" s="24"/>
      <c r="N47" s="76"/>
      <c r="O47" s="76"/>
      <c r="P47" s="76" t="str">
        <f t="shared" si="8"/>
        <v>,seikyu_info</v>
      </c>
      <c r="Q47" s="76" t="str">
        <f t="shared" si="9"/>
        <v>TEXT</v>
      </c>
      <c r="R47" s="76" t="str">
        <f t="shared" si="10"/>
        <v/>
      </c>
      <c r="S47" s="76" t="str">
        <f t="shared" si="11"/>
        <v/>
      </c>
      <c r="T47" s="76" t="str">
        <f t="shared" si="12"/>
        <v>-- 請求情報</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milscm_2023_009.sny_202310_backup_merge_receiptc_re.seikyu_info IS '請求情報';</v>
      </c>
    </row>
    <row r="48" spans="2:45" s="25" customFormat="1">
      <c r="B48" s="21">
        <f t="shared" si="2"/>
        <v>36</v>
      </c>
      <c r="C48" s="13" t="s">
        <v>987</v>
      </c>
      <c r="D48" s="13" t="s">
        <v>988</v>
      </c>
      <c r="E48" s="7"/>
      <c r="F48" s="7" t="s">
        <v>865</v>
      </c>
      <c r="G48" s="7" t="str">
        <f t="shared" si="7"/>
        <v>text</v>
      </c>
      <c r="H48" s="58"/>
      <c r="I48" s="23"/>
      <c r="J48" s="24"/>
      <c r="N48" s="76"/>
      <c r="O48" s="76"/>
      <c r="P48" s="76" t="str">
        <f t="shared" si="8"/>
        <v>,department1_name</v>
      </c>
      <c r="Q48" s="76" t="str">
        <f t="shared" si="9"/>
        <v>TEXT</v>
      </c>
      <c r="R48" s="76" t="str">
        <f t="shared" si="10"/>
        <v/>
      </c>
      <c r="S48" s="76" t="str">
        <f t="shared" si="11"/>
        <v/>
      </c>
      <c r="T48" s="76" t="str">
        <f t="shared" si="12"/>
        <v>-- 診療科1診療科名</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milscm_2023_009.sny_202310_backup_merge_receiptc_re.department1_name IS '診療科1診療科名';</v>
      </c>
    </row>
    <row r="49" spans="2:45" s="25" customFormat="1">
      <c r="B49" s="21">
        <f t="shared" si="2"/>
        <v>37</v>
      </c>
      <c r="C49" s="13" t="s">
        <v>989</v>
      </c>
      <c r="D49" s="13" t="s">
        <v>990</v>
      </c>
      <c r="E49" s="7"/>
      <c r="F49" s="7" t="s">
        <v>865</v>
      </c>
      <c r="G49" s="7" t="str">
        <f t="shared" si="7"/>
        <v>text</v>
      </c>
      <c r="H49" s="58"/>
      <c r="I49" s="23"/>
      <c r="J49" s="24"/>
      <c r="N49" s="76"/>
      <c r="O49" s="76"/>
      <c r="P49" s="76" t="str">
        <f t="shared" si="8"/>
        <v>,department1_jintai</v>
      </c>
      <c r="Q49" s="76" t="str">
        <f t="shared" si="9"/>
        <v>TEXT</v>
      </c>
      <c r="R49" s="76" t="str">
        <f t="shared" si="10"/>
        <v/>
      </c>
      <c r="S49" s="76" t="str">
        <f t="shared" si="11"/>
        <v/>
      </c>
      <c r="T49" s="76" t="str">
        <f t="shared" si="12"/>
        <v>-- 診療科1人体の部位等</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milscm_2023_009.sny_202310_backup_merge_receiptc_re.department1_jintai IS '診療科1人体の部位等';</v>
      </c>
    </row>
    <row r="50" spans="2:45" s="25" customFormat="1">
      <c r="B50" s="21">
        <f t="shared" si="2"/>
        <v>38</v>
      </c>
      <c r="C50" s="13" t="s">
        <v>991</v>
      </c>
      <c r="D50" s="13" t="s">
        <v>992</v>
      </c>
      <c r="E50" s="7"/>
      <c r="F50" s="7" t="s">
        <v>865</v>
      </c>
      <c r="G50" s="7" t="str">
        <f t="shared" si="7"/>
        <v>text</v>
      </c>
      <c r="H50" s="58"/>
      <c r="I50" s="23"/>
      <c r="J50" s="24"/>
      <c r="N50" s="76"/>
      <c r="O50" s="76"/>
      <c r="P50" s="76" t="str">
        <f t="shared" si="8"/>
        <v>,department1_sex</v>
      </c>
      <c r="Q50" s="76" t="str">
        <f t="shared" si="9"/>
        <v>TEXT</v>
      </c>
      <c r="R50" s="76" t="str">
        <f t="shared" si="10"/>
        <v/>
      </c>
      <c r="S50" s="76" t="str">
        <f t="shared" si="11"/>
        <v/>
      </c>
      <c r="T50" s="76" t="str">
        <f t="shared" si="12"/>
        <v>-- 診療科1性別等</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milscm_2023_009.sny_202310_backup_merge_receiptc_re.department1_sex IS '診療科1性別等';</v>
      </c>
    </row>
    <row r="51" spans="2:45" s="25" customFormat="1">
      <c r="B51" s="21">
        <f t="shared" si="2"/>
        <v>39</v>
      </c>
      <c r="C51" s="13" t="s">
        <v>993</v>
      </c>
      <c r="D51" s="13" t="s">
        <v>994</v>
      </c>
      <c r="E51" s="7"/>
      <c r="F51" s="7" t="s">
        <v>865</v>
      </c>
      <c r="G51" s="7" t="str">
        <f t="shared" si="7"/>
        <v>text</v>
      </c>
      <c r="H51" s="58"/>
      <c r="I51" s="23"/>
      <c r="J51" s="24"/>
      <c r="N51" s="76"/>
      <c r="O51" s="76"/>
      <c r="P51" s="76" t="str">
        <f t="shared" si="8"/>
        <v>,department1_igaku</v>
      </c>
      <c r="Q51" s="76" t="str">
        <f t="shared" si="9"/>
        <v>TEXT</v>
      </c>
      <c r="R51" s="76" t="str">
        <f t="shared" si="10"/>
        <v/>
      </c>
      <c r="S51" s="76" t="str">
        <f t="shared" si="11"/>
        <v/>
      </c>
      <c r="T51" s="76" t="str">
        <f t="shared" si="12"/>
        <v>-- 診療科1医学的処置</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milscm_2023_009.sny_202310_backup_merge_receiptc_re.department1_igaku IS '診療科1医学的処置';</v>
      </c>
    </row>
    <row r="52" spans="2:45" s="25" customFormat="1">
      <c r="B52" s="21">
        <f t="shared" si="2"/>
        <v>40</v>
      </c>
      <c r="C52" s="13" t="s">
        <v>995</v>
      </c>
      <c r="D52" s="13" t="s">
        <v>996</v>
      </c>
      <c r="E52" s="7"/>
      <c r="F52" s="7" t="s">
        <v>865</v>
      </c>
      <c r="G52" s="7" t="str">
        <f t="shared" si="7"/>
        <v>text</v>
      </c>
      <c r="H52" s="58"/>
      <c r="I52" s="23"/>
      <c r="J52" s="24"/>
      <c r="N52" s="76"/>
      <c r="O52" s="76"/>
      <c r="P52" s="76" t="str">
        <f t="shared" si="8"/>
        <v>,department1_shippei</v>
      </c>
      <c r="Q52" s="76" t="str">
        <f t="shared" si="9"/>
        <v>TEXT</v>
      </c>
      <c r="R52" s="76" t="str">
        <f t="shared" si="10"/>
        <v/>
      </c>
      <c r="S52" s="76" t="str">
        <f t="shared" si="11"/>
        <v/>
      </c>
      <c r="T52" s="76" t="str">
        <f t="shared" si="12"/>
        <v>-- 診療科1特定疾病</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milscm_2023_009.sny_202310_backup_merge_receiptc_re.department1_shippei IS '診療科1特定疾病';</v>
      </c>
    </row>
    <row r="53" spans="2:45" s="25" customFormat="1">
      <c r="B53" s="21">
        <f t="shared" si="2"/>
        <v>41</v>
      </c>
      <c r="C53" s="13" t="s">
        <v>997</v>
      </c>
      <c r="D53" s="13" t="s">
        <v>998</v>
      </c>
      <c r="E53" s="7"/>
      <c r="F53" s="7" t="s">
        <v>865</v>
      </c>
      <c r="G53" s="7" t="str">
        <f t="shared" si="7"/>
        <v>text</v>
      </c>
      <c r="H53" s="58"/>
      <c r="I53" s="23"/>
      <c r="J53" s="24"/>
      <c r="N53" s="76"/>
      <c r="O53" s="76"/>
      <c r="P53" s="76" t="str">
        <f t="shared" si="8"/>
        <v>,department2_name</v>
      </c>
      <c r="Q53" s="76" t="str">
        <f t="shared" si="9"/>
        <v>TEXT</v>
      </c>
      <c r="R53" s="76" t="str">
        <f t="shared" si="10"/>
        <v/>
      </c>
      <c r="S53" s="76" t="str">
        <f t="shared" si="11"/>
        <v/>
      </c>
      <c r="T53" s="76" t="str">
        <f t="shared" si="12"/>
        <v>-- 診療科2診療科名</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milscm_2023_009.sny_202310_backup_merge_receiptc_re.department2_name IS '診療科2診療科名';</v>
      </c>
    </row>
    <row r="54" spans="2:45" s="25" customFormat="1">
      <c r="B54" s="21">
        <f t="shared" si="2"/>
        <v>42</v>
      </c>
      <c r="C54" s="13" t="s">
        <v>999</v>
      </c>
      <c r="D54" s="13" t="s">
        <v>1000</v>
      </c>
      <c r="E54" s="7"/>
      <c r="F54" s="7" t="s">
        <v>865</v>
      </c>
      <c r="G54" s="7" t="str">
        <f t="shared" si="7"/>
        <v>text</v>
      </c>
      <c r="H54" s="58"/>
      <c r="I54" s="23"/>
      <c r="J54" s="24"/>
      <c r="N54" s="76"/>
      <c r="O54" s="76"/>
      <c r="P54" s="76" t="str">
        <f t="shared" si="8"/>
        <v>,department2_jintai</v>
      </c>
      <c r="Q54" s="76" t="str">
        <f t="shared" si="9"/>
        <v>TEXT</v>
      </c>
      <c r="R54" s="76" t="str">
        <f t="shared" si="10"/>
        <v/>
      </c>
      <c r="S54" s="76" t="str">
        <f t="shared" si="11"/>
        <v/>
      </c>
      <c r="T54" s="76" t="str">
        <f t="shared" si="12"/>
        <v>-- 診療科2人体の部位等</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milscm_2023_009.sny_202310_backup_merge_receiptc_re.department2_jintai IS '診療科2人体の部位等';</v>
      </c>
    </row>
    <row r="55" spans="2:45" s="25" customFormat="1">
      <c r="B55" s="21">
        <f t="shared" si="2"/>
        <v>43</v>
      </c>
      <c r="C55" s="13" t="s">
        <v>1001</v>
      </c>
      <c r="D55" s="13" t="s">
        <v>1002</v>
      </c>
      <c r="E55" s="7"/>
      <c r="F55" s="7" t="s">
        <v>865</v>
      </c>
      <c r="G55" s="7" t="str">
        <f t="shared" si="7"/>
        <v>text</v>
      </c>
      <c r="H55" s="58"/>
      <c r="I55" s="23"/>
      <c r="J55" s="24"/>
      <c r="N55" s="76"/>
      <c r="O55" s="76"/>
      <c r="P55" s="76" t="str">
        <f t="shared" si="8"/>
        <v>,department2_sex</v>
      </c>
      <c r="Q55" s="76" t="str">
        <f t="shared" si="9"/>
        <v>TEXT</v>
      </c>
      <c r="R55" s="76" t="str">
        <f t="shared" si="10"/>
        <v/>
      </c>
      <c r="S55" s="76" t="str">
        <f t="shared" si="11"/>
        <v/>
      </c>
      <c r="T55" s="76" t="str">
        <f t="shared" si="12"/>
        <v>-- 診療科2性別等</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milscm_2023_009.sny_202310_backup_merge_receiptc_re.department2_sex IS '診療科2性別等';</v>
      </c>
    </row>
    <row r="56" spans="2:45" s="25" customFormat="1">
      <c r="B56" s="21">
        <f t="shared" si="2"/>
        <v>44</v>
      </c>
      <c r="C56" s="13" t="s">
        <v>1003</v>
      </c>
      <c r="D56" s="13" t="s">
        <v>1004</v>
      </c>
      <c r="E56" s="7"/>
      <c r="F56" s="7" t="s">
        <v>865</v>
      </c>
      <c r="G56" s="7" t="str">
        <f t="shared" si="7"/>
        <v>text</v>
      </c>
      <c r="H56" s="58"/>
      <c r="I56" s="23"/>
      <c r="J56" s="24"/>
      <c r="N56" s="76"/>
      <c r="O56" s="76"/>
      <c r="P56" s="76" t="str">
        <f t="shared" si="8"/>
        <v>,department2_igaku</v>
      </c>
      <c r="Q56" s="76" t="str">
        <f t="shared" si="9"/>
        <v>TEXT</v>
      </c>
      <c r="R56" s="76" t="str">
        <f t="shared" si="10"/>
        <v/>
      </c>
      <c r="S56" s="76" t="str">
        <f t="shared" si="11"/>
        <v/>
      </c>
      <c r="T56" s="76" t="str">
        <f t="shared" si="12"/>
        <v>-- 診療科2医学的処置</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milscm_2023_009.sny_202310_backup_merge_receiptc_re.department2_igaku IS '診療科2医学的処置';</v>
      </c>
    </row>
    <row r="57" spans="2:45" s="25" customFormat="1">
      <c r="B57" s="21">
        <f t="shared" si="2"/>
        <v>45</v>
      </c>
      <c r="C57" s="13" t="s">
        <v>1005</v>
      </c>
      <c r="D57" s="13" t="s">
        <v>1006</v>
      </c>
      <c r="E57" s="7"/>
      <c r="F57" s="7" t="s">
        <v>865</v>
      </c>
      <c r="G57" s="7" t="str">
        <f t="shared" si="7"/>
        <v>text</v>
      </c>
      <c r="H57" s="58"/>
      <c r="I57" s="23"/>
      <c r="J57" s="24"/>
      <c r="N57" s="76"/>
      <c r="O57" s="76"/>
      <c r="P57" s="76" t="str">
        <f t="shared" si="8"/>
        <v>,department2_shippei</v>
      </c>
      <c r="Q57" s="76" t="str">
        <f t="shared" si="9"/>
        <v>TEXT</v>
      </c>
      <c r="R57" s="76" t="str">
        <f t="shared" si="10"/>
        <v/>
      </c>
      <c r="S57" s="76" t="str">
        <f t="shared" si="11"/>
        <v/>
      </c>
      <c r="T57" s="76" t="str">
        <f t="shared" si="12"/>
        <v>-- 診療科2特定疾病</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milscm_2023_009.sny_202310_backup_merge_receiptc_re.department2_shippei IS '診療科2特定疾病';</v>
      </c>
    </row>
    <row r="58" spans="2:45" s="25" customFormat="1">
      <c r="B58" s="21">
        <f t="shared" si="2"/>
        <v>46</v>
      </c>
      <c r="C58" s="13" t="s">
        <v>1007</v>
      </c>
      <c r="D58" s="13" t="s">
        <v>1008</v>
      </c>
      <c r="E58" s="7"/>
      <c r="F58" s="7" t="s">
        <v>865</v>
      </c>
      <c r="G58" s="7" t="str">
        <f t="shared" si="7"/>
        <v>text</v>
      </c>
      <c r="H58" s="58"/>
      <c r="I58" s="23"/>
      <c r="J58" s="24"/>
      <c r="N58" s="76"/>
      <c r="O58" s="76"/>
      <c r="P58" s="76" t="str">
        <f t="shared" si="8"/>
        <v>,department3_name</v>
      </c>
      <c r="Q58" s="76" t="str">
        <f t="shared" si="9"/>
        <v>TEXT</v>
      </c>
      <c r="R58" s="76" t="str">
        <f t="shared" si="10"/>
        <v/>
      </c>
      <c r="S58" s="76" t="str">
        <f t="shared" si="11"/>
        <v/>
      </c>
      <c r="T58" s="76" t="str">
        <f t="shared" si="12"/>
        <v>-- 診療科3診療科名</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milscm_2023_009.sny_202310_backup_merge_receiptc_re.department3_name IS '診療科3診療科名';</v>
      </c>
    </row>
    <row r="59" spans="2:45" s="25" customFormat="1">
      <c r="B59" s="21">
        <f t="shared" si="2"/>
        <v>47</v>
      </c>
      <c r="C59" s="13" t="s">
        <v>1009</v>
      </c>
      <c r="D59" s="13" t="s">
        <v>1010</v>
      </c>
      <c r="E59" s="7"/>
      <c r="F59" s="7" t="s">
        <v>865</v>
      </c>
      <c r="G59" s="7" t="str">
        <f t="shared" si="7"/>
        <v>text</v>
      </c>
      <c r="H59" s="58"/>
      <c r="I59" s="23"/>
      <c r="J59" s="24"/>
      <c r="N59" s="76"/>
      <c r="O59" s="76"/>
      <c r="P59" s="76" t="str">
        <f t="shared" si="8"/>
        <v>,department3_jintai</v>
      </c>
      <c r="Q59" s="76" t="str">
        <f t="shared" si="9"/>
        <v>TEXT</v>
      </c>
      <c r="R59" s="76" t="str">
        <f t="shared" si="10"/>
        <v/>
      </c>
      <c r="S59" s="76" t="str">
        <f t="shared" si="11"/>
        <v/>
      </c>
      <c r="T59" s="76" t="str">
        <f t="shared" si="12"/>
        <v>-- 診療科3人体の部位等</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milscm_2023_009.sny_202310_backup_merge_receiptc_re.department3_jintai IS '診療科3人体の部位等';</v>
      </c>
    </row>
    <row r="60" spans="2:45" s="25" customFormat="1">
      <c r="B60" s="21">
        <f t="shared" si="2"/>
        <v>48</v>
      </c>
      <c r="C60" s="13" t="s">
        <v>1011</v>
      </c>
      <c r="D60" s="13" t="s">
        <v>1012</v>
      </c>
      <c r="E60" s="7"/>
      <c r="F60" s="7" t="s">
        <v>865</v>
      </c>
      <c r="G60" s="7" t="str">
        <f t="shared" si="7"/>
        <v>text</v>
      </c>
      <c r="H60" s="58"/>
      <c r="I60" s="23"/>
      <c r="J60" s="24"/>
      <c r="N60" s="76"/>
      <c r="O60" s="76"/>
      <c r="P60" s="76" t="str">
        <f t="shared" si="8"/>
        <v>,department3_sex</v>
      </c>
      <c r="Q60" s="76" t="str">
        <f t="shared" si="9"/>
        <v>TEXT</v>
      </c>
      <c r="R60" s="76" t="str">
        <f t="shared" si="10"/>
        <v/>
      </c>
      <c r="S60" s="76" t="str">
        <f t="shared" si="11"/>
        <v/>
      </c>
      <c r="T60" s="76" t="str">
        <f t="shared" si="12"/>
        <v>-- 診療科3性別等</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milscm_2023_009.sny_202310_backup_merge_receiptc_re.department3_sex IS '診療科3性別等';</v>
      </c>
    </row>
    <row r="61" spans="2:45" s="25" customFormat="1">
      <c r="B61" s="21">
        <f t="shared" si="2"/>
        <v>49</v>
      </c>
      <c r="C61" s="13" t="s">
        <v>1013</v>
      </c>
      <c r="D61" s="13" t="s">
        <v>1014</v>
      </c>
      <c r="E61" s="7"/>
      <c r="F61" s="7" t="s">
        <v>865</v>
      </c>
      <c r="G61" s="7" t="str">
        <f t="shared" si="7"/>
        <v>text</v>
      </c>
      <c r="H61" s="58"/>
      <c r="I61" s="23"/>
      <c r="J61" s="24"/>
      <c r="N61" s="76"/>
      <c r="O61" s="76"/>
      <c r="P61" s="76" t="str">
        <f t="shared" si="8"/>
        <v>,department3_igaku</v>
      </c>
      <c r="Q61" s="76" t="str">
        <f t="shared" si="9"/>
        <v>TEXT</v>
      </c>
      <c r="R61" s="76" t="str">
        <f t="shared" si="10"/>
        <v/>
      </c>
      <c r="S61" s="76" t="str">
        <f t="shared" si="11"/>
        <v/>
      </c>
      <c r="T61" s="76" t="str">
        <f t="shared" si="12"/>
        <v>-- 診療科3医学的処置</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milscm_2023_009.sny_202310_backup_merge_receiptc_re.department3_igaku IS '診療科3医学的処置';</v>
      </c>
    </row>
    <row r="62" spans="2:45" s="25" customFormat="1">
      <c r="B62" s="21">
        <f t="shared" si="2"/>
        <v>50</v>
      </c>
      <c r="C62" s="13" t="s">
        <v>1015</v>
      </c>
      <c r="D62" s="13" t="s">
        <v>1016</v>
      </c>
      <c r="E62" s="7"/>
      <c r="F62" s="7" t="s">
        <v>865</v>
      </c>
      <c r="G62" s="7" t="str">
        <f t="shared" si="7"/>
        <v>text</v>
      </c>
      <c r="H62" s="58"/>
      <c r="I62" s="23"/>
      <c r="J62" s="24"/>
      <c r="N62" s="76"/>
      <c r="O62" s="76"/>
      <c r="P62" s="76" t="str">
        <f t="shared" si="8"/>
        <v>,department3_shippei</v>
      </c>
      <c r="Q62" s="76" t="str">
        <f t="shared" si="9"/>
        <v>TEXT</v>
      </c>
      <c r="R62" s="76" t="str">
        <f t="shared" si="10"/>
        <v/>
      </c>
      <c r="S62" s="76" t="str">
        <f t="shared" si="11"/>
        <v/>
      </c>
      <c r="T62" s="76" t="str">
        <f t="shared" si="12"/>
        <v>-- 診療科3特定疾病</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milscm_2023_009.sny_202310_backup_merge_receiptc_re.department3_shippei IS '診療科3特定疾病';</v>
      </c>
    </row>
    <row r="63" spans="2:45" s="25" customFormat="1">
      <c r="B63" s="21">
        <f t="shared" si="2"/>
        <v>51</v>
      </c>
      <c r="C63" s="13" t="s">
        <v>1017</v>
      </c>
      <c r="D63" s="13" t="s">
        <v>1018</v>
      </c>
      <c r="E63" s="7"/>
      <c r="F63" s="7" t="s">
        <v>865</v>
      </c>
      <c r="G63" s="7" t="str">
        <f t="shared" si="7"/>
        <v>text</v>
      </c>
      <c r="H63" s="58"/>
      <c r="I63" s="23"/>
      <c r="J63" s="24" t="s">
        <v>1067</v>
      </c>
      <c r="N63" s="76"/>
      <c r="O63" s="76"/>
      <c r="P63" s="76" t="str">
        <f t="shared" si="8"/>
        <v>,kana_name</v>
      </c>
      <c r="Q63" s="76" t="str">
        <f t="shared" si="9"/>
        <v>TEXT</v>
      </c>
      <c r="R63" s="76" t="str">
        <f t="shared" si="10"/>
        <v/>
      </c>
      <c r="S63" s="76" t="str">
        <f t="shared" si="11"/>
        <v/>
      </c>
      <c r="T63" s="76" t="str">
        <f t="shared" si="12"/>
        <v>-- カタカナ（氏名）</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milscm_2023_009.sny_202310_backup_merge_receiptc_re.kana_name IS 'カタカナ（氏名）';</v>
      </c>
    </row>
    <row r="64" spans="2:45" s="25" customFormat="1">
      <c r="B64" s="21">
        <f t="shared" si="2"/>
        <v>52</v>
      </c>
      <c r="C64" s="13" t="s">
        <v>1019</v>
      </c>
      <c r="D64" s="13" t="s">
        <v>1020</v>
      </c>
      <c r="E64" s="7"/>
      <c r="F64" s="7" t="s">
        <v>865</v>
      </c>
      <c r="G64" s="7" t="str">
        <f t="shared" si="7"/>
        <v>text</v>
      </c>
      <c r="H64" s="58"/>
      <c r="I64" s="23"/>
      <c r="J64" s="24" t="s">
        <v>1073</v>
      </c>
      <c r="N64" s="76"/>
      <c r="O64" s="76"/>
      <c r="P64" s="76" t="str">
        <f t="shared" si="8"/>
        <v>,patient_state1</v>
      </c>
      <c r="Q64" s="76" t="str">
        <f t="shared" si="9"/>
        <v>TEXT</v>
      </c>
      <c r="R64" s="76" t="str">
        <f t="shared" si="10"/>
        <v/>
      </c>
      <c r="S64" s="76" t="str">
        <f t="shared" si="11"/>
        <v/>
      </c>
      <c r="T64" s="76" t="str">
        <f t="shared" si="12"/>
        <v>-- 患者の状態1</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milscm_2023_009.sny_202310_backup_merge_receiptc_re.patient_state1 IS '患者の状態1';</v>
      </c>
    </row>
    <row r="65" spans="2:45" s="25" customFormat="1">
      <c r="B65" s="21">
        <f t="shared" si="2"/>
        <v>53</v>
      </c>
      <c r="C65" s="13" t="s">
        <v>1021</v>
      </c>
      <c r="D65" s="13" t="s">
        <v>1022</v>
      </c>
      <c r="E65" s="7"/>
      <c r="F65" s="7" t="s">
        <v>865</v>
      </c>
      <c r="G65" s="7" t="str">
        <f t="shared" si="7"/>
        <v>text</v>
      </c>
      <c r="H65" s="58"/>
      <c r="I65" s="23"/>
      <c r="J65" s="24"/>
      <c r="N65" s="76"/>
      <c r="O65" s="76"/>
      <c r="P65" s="76" t="str">
        <f t="shared" si="8"/>
        <v>,patient_state2</v>
      </c>
      <c r="Q65" s="76" t="str">
        <f t="shared" si="9"/>
        <v>TEXT</v>
      </c>
      <c r="R65" s="76" t="str">
        <f t="shared" si="10"/>
        <v/>
      </c>
      <c r="S65" s="76" t="str">
        <f t="shared" si="11"/>
        <v/>
      </c>
      <c r="T65" s="76" t="str">
        <f t="shared" si="12"/>
        <v>-- 患者の状態2</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milscm_2023_009.sny_202310_backup_merge_receiptc_re.patient_state2 IS '患者の状態2';</v>
      </c>
    </row>
    <row r="66" spans="2:45" s="25" customFormat="1">
      <c r="B66" s="21">
        <f t="shared" si="2"/>
        <v>54</v>
      </c>
      <c r="C66" s="13" t="s">
        <v>1023</v>
      </c>
      <c r="D66" s="13" t="s">
        <v>1024</v>
      </c>
      <c r="E66" s="7"/>
      <c r="F66" s="7" t="s">
        <v>865</v>
      </c>
      <c r="G66" s="7" t="str">
        <f t="shared" si="7"/>
        <v>text</v>
      </c>
      <c r="H66" s="58"/>
      <c r="I66" s="23"/>
      <c r="J66" s="24"/>
      <c r="N66" s="76"/>
      <c r="O66" s="76"/>
      <c r="P66" s="76" t="str">
        <f t="shared" si="8"/>
        <v>,patient_state3</v>
      </c>
      <c r="Q66" s="76" t="str">
        <f t="shared" si="9"/>
        <v>TEXT</v>
      </c>
      <c r="R66" s="76" t="str">
        <f t="shared" si="10"/>
        <v/>
      </c>
      <c r="S66" s="76" t="str">
        <f t="shared" si="11"/>
        <v/>
      </c>
      <c r="T66" s="76" t="str">
        <f t="shared" si="12"/>
        <v>-- 患者の状態3</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milscm_2023_009.sny_202310_backup_merge_receiptc_re.patient_state3 IS '患者の状態3';</v>
      </c>
    </row>
    <row r="67" spans="2:45" s="25" customFormat="1">
      <c r="B67" s="21">
        <f t="shared" si="2"/>
        <v>55</v>
      </c>
      <c r="C67" s="13" t="s">
        <v>1025</v>
      </c>
      <c r="D67" s="13" t="s">
        <v>1026</v>
      </c>
      <c r="E67" s="7"/>
      <c r="F67" s="7" t="s">
        <v>865</v>
      </c>
      <c r="G67" s="7" t="str">
        <f t="shared" si="7"/>
        <v>text</v>
      </c>
      <c r="H67" s="58"/>
      <c r="I67" s="23"/>
      <c r="J67" s="24"/>
      <c r="N67" s="76"/>
      <c r="O67" s="76"/>
      <c r="P67" s="76" t="str">
        <f t="shared" si="8"/>
        <v>,patient_state4</v>
      </c>
      <c r="Q67" s="76" t="str">
        <f t="shared" si="9"/>
        <v>TEXT</v>
      </c>
      <c r="R67" s="76" t="str">
        <f t="shared" si="10"/>
        <v/>
      </c>
      <c r="S67" s="76" t="str">
        <f t="shared" si="11"/>
        <v/>
      </c>
      <c r="T67" s="76" t="str">
        <f t="shared" si="12"/>
        <v>-- 患者の状態4</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milscm_2023_009.sny_202310_backup_merge_receiptc_re.patient_state4 IS '患者の状態4';</v>
      </c>
    </row>
    <row r="68" spans="2:45" s="25" customFormat="1">
      <c r="B68" s="21">
        <f t="shared" si="2"/>
        <v>56</v>
      </c>
      <c r="C68" s="13" t="s">
        <v>1027</v>
      </c>
      <c r="D68" s="13" t="s">
        <v>1028</v>
      </c>
      <c r="E68" s="7"/>
      <c r="F68" s="7" t="s">
        <v>865</v>
      </c>
      <c r="G68" s="7" t="str">
        <f t="shared" si="7"/>
        <v>text</v>
      </c>
      <c r="H68" s="58"/>
      <c r="I68" s="23"/>
      <c r="J68" s="24"/>
      <c r="N68" s="76"/>
      <c r="O68" s="76"/>
      <c r="P68" s="76" t="str">
        <f t="shared" si="8"/>
        <v>,patient_state5</v>
      </c>
      <c r="Q68" s="76" t="str">
        <f t="shared" si="9"/>
        <v>TEXT</v>
      </c>
      <c r="R68" s="76" t="str">
        <f t="shared" si="10"/>
        <v/>
      </c>
      <c r="S68" s="76" t="str">
        <f t="shared" si="11"/>
        <v/>
      </c>
      <c r="T68" s="76" t="str">
        <f t="shared" si="12"/>
        <v>-- 患者の状態5</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milscm_2023_009.sny_202310_backup_merge_receiptc_re.patient_state5 IS '患者の状態5';</v>
      </c>
    </row>
    <row r="69" spans="2:45" s="25" customFormat="1">
      <c r="B69" s="21">
        <f t="shared" si="2"/>
        <v>57</v>
      </c>
      <c r="C69" s="13" t="s">
        <v>1029</v>
      </c>
      <c r="D69" s="13" t="s">
        <v>1030</v>
      </c>
      <c r="E69" s="7"/>
      <c r="F69" s="7" t="s">
        <v>865</v>
      </c>
      <c r="G69" s="7" t="str">
        <f t="shared" si="7"/>
        <v>text</v>
      </c>
      <c r="H69" s="58"/>
      <c r="I69" s="23"/>
      <c r="J69" s="24"/>
      <c r="N69" s="76"/>
      <c r="O69" s="76"/>
      <c r="P69" s="76" t="str">
        <f t="shared" si="8"/>
        <v>,patient_state6</v>
      </c>
      <c r="Q69" s="76" t="str">
        <f t="shared" si="9"/>
        <v>TEXT</v>
      </c>
      <c r="R69" s="76" t="str">
        <f t="shared" si="10"/>
        <v/>
      </c>
      <c r="S69" s="76" t="str">
        <f t="shared" si="11"/>
        <v/>
      </c>
      <c r="T69" s="76" t="str">
        <f t="shared" si="12"/>
        <v>-- 患者の状態6</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milscm_2023_009.sny_202310_backup_merge_receiptc_re.patient_state6 IS '患者の状態6';</v>
      </c>
    </row>
    <row r="70" spans="2:45" s="25" customFormat="1">
      <c r="B70" s="21">
        <f t="shared" si="2"/>
        <v>58</v>
      </c>
      <c r="C70" s="13" t="s">
        <v>1031</v>
      </c>
      <c r="D70" s="13" t="s">
        <v>1032</v>
      </c>
      <c r="E70" s="7"/>
      <c r="F70" s="7" t="s">
        <v>865</v>
      </c>
      <c r="G70" s="7" t="str">
        <f t="shared" si="7"/>
        <v>text</v>
      </c>
      <c r="H70" s="58"/>
      <c r="I70" s="23"/>
      <c r="J70" s="24"/>
      <c r="N70" s="76"/>
      <c r="O70" s="76"/>
      <c r="P70" s="76" t="str">
        <f t="shared" si="8"/>
        <v>,patient_state7</v>
      </c>
      <c r="Q70" s="76" t="str">
        <f t="shared" si="9"/>
        <v>TEXT</v>
      </c>
      <c r="R70" s="76" t="str">
        <f t="shared" si="10"/>
        <v/>
      </c>
      <c r="S70" s="76" t="str">
        <f t="shared" si="11"/>
        <v/>
      </c>
      <c r="T70" s="76" t="str">
        <f t="shared" si="12"/>
        <v>-- 患者の状態7</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milscm_2023_009.sny_202310_backup_merge_receiptc_re.patient_state7 IS '患者の状態7';</v>
      </c>
    </row>
    <row r="71" spans="2:45" s="25" customFormat="1">
      <c r="B71" s="21">
        <f t="shared" si="2"/>
        <v>59</v>
      </c>
      <c r="C71" s="13" t="s">
        <v>1033</v>
      </c>
      <c r="D71" s="13" t="s">
        <v>1034</v>
      </c>
      <c r="E71" s="7"/>
      <c r="F71" s="7" t="s">
        <v>865</v>
      </c>
      <c r="G71" s="7" t="str">
        <f t="shared" si="7"/>
        <v>text</v>
      </c>
      <c r="H71" s="58"/>
      <c r="I71" s="23"/>
      <c r="J71" s="24"/>
      <c r="N71" s="76"/>
      <c r="O71" s="76"/>
      <c r="P71" s="76" t="str">
        <f t="shared" si="8"/>
        <v>,patient_state8</v>
      </c>
      <c r="Q71" s="76" t="str">
        <f t="shared" si="9"/>
        <v>TEXT</v>
      </c>
      <c r="R71" s="76" t="str">
        <f t="shared" si="10"/>
        <v/>
      </c>
      <c r="S71" s="76" t="str">
        <f t="shared" si="11"/>
        <v/>
      </c>
      <c r="T71" s="76" t="str">
        <f t="shared" si="12"/>
        <v>-- 患者の状態8</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milscm_2023_009.sny_202310_backup_merge_receiptc_re.patient_state8 IS '患者の状態8';</v>
      </c>
    </row>
    <row r="72" spans="2:45" s="25" customFormat="1">
      <c r="B72" s="21">
        <f t="shared" si="2"/>
        <v>60</v>
      </c>
      <c r="C72" s="13" t="s">
        <v>1035</v>
      </c>
      <c r="D72" s="13" t="s">
        <v>1036</v>
      </c>
      <c r="E72" s="7"/>
      <c r="F72" s="7" t="s">
        <v>865</v>
      </c>
      <c r="G72" s="7" t="str">
        <f t="shared" si="7"/>
        <v>text</v>
      </c>
      <c r="H72" s="58"/>
      <c r="I72" s="23"/>
      <c r="J72" s="24"/>
      <c r="N72" s="76"/>
      <c r="O72" s="76"/>
      <c r="P72" s="76" t="str">
        <f t="shared" si="8"/>
        <v>,patient_state9</v>
      </c>
      <c r="Q72" s="76" t="str">
        <f t="shared" si="9"/>
        <v>TEXT</v>
      </c>
      <c r="R72" s="76" t="str">
        <f t="shared" si="10"/>
        <v/>
      </c>
      <c r="S72" s="76" t="str">
        <f t="shared" si="11"/>
        <v/>
      </c>
      <c r="T72" s="76" t="str">
        <f t="shared" si="12"/>
        <v>-- 患者の状態9</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milscm_2023_009.sny_202310_backup_merge_receiptc_re.patient_state9 IS '患者の状態9';</v>
      </c>
    </row>
    <row r="73" spans="2:45" s="25" customFormat="1">
      <c r="B73" s="21">
        <f t="shared" si="2"/>
        <v>61</v>
      </c>
      <c r="C73" s="13" t="s">
        <v>1037</v>
      </c>
      <c r="D73" s="13" t="s">
        <v>1038</v>
      </c>
      <c r="E73" s="7"/>
      <c r="F73" s="7" t="s">
        <v>865</v>
      </c>
      <c r="G73" s="7" t="str">
        <f t="shared" si="7"/>
        <v>text</v>
      </c>
      <c r="H73" s="58"/>
      <c r="I73" s="23"/>
      <c r="J73" s="24"/>
      <c r="N73" s="76"/>
      <c r="O73" s="76"/>
      <c r="P73" s="76" t="str">
        <f t="shared" si="8"/>
        <v>,patient_state10</v>
      </c>
      <c r="Q73" s="76" t="str">
        <f t="shared" si="9"/>
        <v>TEXT</v>
      </c>
      <c r="R73" s="76" t="str">
        <f t="shared" si="10"/>
        <v/>
      </c>
      <c r="S73" s="76" t="str">
        <f t="shared" si="11"/>
        <v/>
      </c>
      <c r="T73" s="76" t="str">
        <f t="shared" si="12"/>
        <v>-- 患者の状態10</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milscm_2023_009.sny_202310_backup_merge_receiptc_re.patient_state10 IS '患者の状態10';</v>
      </c>
    </row>
    <row r="74" spans="2:45" s="25" customFormat="1">
      <c r="B74" s="21">
        <f t="shared" si="2"/>
        <v>62</v>
      </c>
      <c r="C74" s="13" t="s">
        <v>1039</v>
      </c>
      <c r="D74" s="13" t="s">
        <v>1040</v>
      </c>
      <c r="E74" s="7"/>
      <c r="F74" s="7" t="s">
        <v>865</v>
      </c>
      <c r="G74" s="7" t="str">
        <f t="shared" si="7"/>
        <v>text</v>
      </c>
      <c r="H74" s="58"/>
      <c r="I74" s="23"/>
      <c r="J74" s="24"/>
      <c r="N74" s="76"/>
      <c r="O74" s="76"/>
      <c r="P74" s="76" t="str">
        <f t="shared" si="8"/>
        <v>,patient_state11</v>
      </c>
      <c r="Q74" s="76" t="str">
        <f t="shared" si="9"/>
        <v>TEXT</v>
      </c>
      <c r="R74" s="76" t="str">
        <f t="shared" si="10"/>
        <v/>
      </c>
      <c r="S74" s="76" t="str">
        <f t="shared" si="11"/>
        <v/>
      </c>
      <c r="T74" s="76" t="str">
        <f t="shared" si="12"/>
        <v>-- 患者の状態11</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milscm_2023_009.sny_202310_backup_merge_receiptc_re.patient_state11 IS '患者の状態11';</v>
      </c>
    </row>
    <row r="75" spans="2:45" s="25" customFormat="1">
      <c r="B75" s="21">
        <f t="shared" si="2"/>
        <v>63</v>
      </c>
      <c r="C75" s="13" t="s">
        <v>1041</v>
      </c>
      <c r="D75" s="13" t="s">
        <v>1042</v>
      </c>
      <c r="E75" s="7"/>
      <c r="F75" s="7" t="s">
        <v>865</v>
      </c>
      <c r="G75" s="7" t="str">
        <f t="shared" si="7"/>
        <v>text</v>
      </c>
      <c r="H75" s="58"/>
      <c r="I75" s="23"/>
      <c r="J75" s="24"/>
      <c r="N75" s="76"/>
      <c r="O75" s="76"/>
      <c r="P75" s="76" t="str">
        <f t="shared" si="8"/>
        <v>,patient_state12</v>
      </c>
      <c r="Q75" s="76" t="str">
        <f t="shared" si="9"/>
        <v>TEXT</v>
      </c>
      <c r="R75" s="76" t="str">
        <f t="shared" si="10"/>
        <v/>
      </c>
      <c r="S75" s="76" t="str">
        <f t="shared" si="11"/>
        <v/>
      </c>
      <c r="T75" s="76" t="str">
        <f t="shared" si="12"/>
        <v>-- 患者の状態12</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milscm_2023_009.sny_202310_backup_merge_receiptc_re.patient_state12 IS '患者の状態12';</v>
      </c>
    </row>
    <row r="76" spans="2:45" s="25" customFormat="1">
      <c r="B76" s="21">
        <f t="shared" si="2"/>
        <v>64</v>
      </c>
      <c r="C76" s="13" t="s">
        <v>1043</v>
      </c>
      <c r="D76" s="13" t="s">
        <v>1044</v>
      </c>
      <c r="E76" s="7"/>
      <c r="F76" s="7" t="s">
        <v>865</v>
      </c>
      <c r="G76" s="7" t="str">
        <f t="shared" si="7"/>
        <v>text</v>
      </c>
      <c r="H76" s="58"/>
      <c r="I76" s="23"/>
      <c r="J76" s="24"/>
      <c r="N76" s="76"/>
      <c r="O76" s="76"/>
      <c r="P76" s="76" t="str">
        <f t="shared" si="8"/>
        <v>,patient_state13</v>
      </c>
      <c r="Q76" s="76" t="str">
        <f t="shared" si="9"/>
        <v>TEXT</v>
      </c>
      <c r="R76" s="76" t="str">
        <f t="shared" si="10"/>
        <v/>
      </c>
      <c r="S76" s="76" t="str">
        <f t="shared" si="11"/>
        <v/>
      </c>
      <c r="T76" s="76" t="str">
        <f t="shared" si="12"/>
        <v>-- 患者の状態13</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milscm_2023_009.sny_202310_backup_merge_receiptc_re.patient_state13 IS '患者の状態13';</v>
      </c>
    </row>
    <row r="77" spans="2:45" s="25" customFormat="1">
      <c r="B77" s="21">
        <f t="shared" si="2"/>
        <v>65</v>
      </c>
      <c r="C77" s="13" t="s">
        <v>1045</v>
      </c>
      <c r="D77" s="13" t="s">
        <v>1046</v>
      </c>
      <c r="E77" s="7"/>
      <c r="F77" s="7" t="s">
        <v>865</v>
      </c>
      <c r="G77" s="7" t="str">
        <f t="shared" si="7"/>
        <v>text</v>
      </c>
      <c r="H77" s="58"/>
      <c r="I77" s="23"/>
      <c r="J77" s="24"/>
      <c r="N77" s="76"/>
      <c r="O77" s="76"/>
      <c r="P77" s="76" t="str">
        <f t="shared" si="8"/>
        <v>,patient_state14</v>
      </c>
      <c r="Q77" s="76" t="str">
        <f t="shared" si="9"/>
        <v>TEXT</v>
      </c>
      <c r="R77" s="76" t="str">
        <f t="shared" si="10"/>
        <v/>
      </c>
      <c r="S77" s="76" t="str">
        <f t="shared" si="11"/>
        <v/>
      </c>
      <c r="T77" s="76" t="str">
        <f t="shared" si="12"/>
        <v>-- 患者の状態14</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milscm_2023_009.sny_202310_backup_merge_receiptc_re.patient_state14 IS '患者の状態14';</v>
      </c>
    </row>
    <row r="78" spans="2:45" s="25" customFormat="1">
      <c r="B78" s="21">
        <f t="shared" si="2"/>
        <v>66</v>
      </c>
      <c r="C78" s="13" t="s">
        <v>1047</v>
      </c>
      <c r="D78" s="13" t="s">
        <v>1048</v>
      </c>
      <c r="E78" s="7"/>
      <c r="F78" s="7" t="s">
        <v>865</v>
      </c>
      <c r="G78" s="7" t="str">
        <f t="shared" si="7"/>
        <v>text</v>
      </c>
      <c r="H78" s="58"/>
      <c r="I78" s="23"/>
      <c r="J78" s="24"/>
      <c r="N78" s="76"/>
      <c r="O78" s="76"/>
      <c r="P78" s="76" t="str">
        <f t="shared" si="8"/>
        <v>,patient_state15</v>
      </c>
      <c r="Q78" s="76" t="str">
        <f t="shared" si="9"/>
        <v>TEXT</v>
      </c>
      <c r="R78" s="76" t="str">
        <f t="shared" si="10"/>
        <v/>
      </c>
      <c r="S78" s="76" t="str">
        <f t="shared" si="11"/>
        <v/>
      </c>
      <c r="T78" s="76" t="str">
        <f t="shared" si="12"/>
        <v>-- 患者の状態15</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milscm_2023_009.sny_202310_backup_merge_receiptc_re.patient_state15 IS '患者の状態15';</v>
      </c>
    </row>
    <row r="79" spans="2:45" s="25" customFormat="1">
      <c r="B79" s="21">
        <f t="shared" si="2"/>
        <v>67</v>
      </c>
      <c r="C79" s="13" t="s">
        <v>1049</v>
      </c>
      <c r="D79" s="13" t="s">
        <v>1050</v>
      </c>
      <c r="E79" s="7"/>
      <c r="F79" s="7" t="s">
        <v>865</v>
      </c>
      <c r="G79" s="7" t="str">
        <f t="shared" si="7"/>
        <v>text</v>
      </c>
      <c r="H79" s="58"/>
      <c r="I79" s="23"/>
      <c r="J79" s="24"/>
      <c r="N79" s="76"/>
      <c r="O79" s="76"/>
      <c r="P79" s="76" t="str">
        <f t="shared" si="8"/>
        <v>,patient_state16</v>
      </c>
      <c r="Q79" s="76" t="str">
        <f t="shared" si="9"/>
        <v>TEXT</v>
      </c>
      <c r="R79" s="76" t="str">
        <f t="shared" si="10"/>
        <v/>
      </c>
      <c r="S79" s="76" t="str">
        <f t="shared" si="11"/>
        <v/>
      </c>
      <c r="T79" s="76" t="str">
        <f t="shared" si="12"/>
        <v>-- 患者の状態16</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milscm_2023_009.sny_202310_backup_merge_receiptc_re.patient_state16 IS '患者の状態16';</v>
      </c>
    </row>
    <row r="80" spans="2:45" s="25" customFormat="1">
      <c r="B80" s="21">
        <f t="shared" si="2"/>
        <v>68</v>
      </c>
      <c r="C80" s="13" t="s">
        <v>1051</v>
      </c>
      <c r="D80" s="13" t="s">
        <v>1052</v>
      </c>
      <c r="E80" s="7"/>
      <c r="F80" s="7" t="s">
        <v>865</v>
      </c>
      <c r="G80" s="7" t="str">
        <f t="shared" si="7"/>
        <v>text</v>
      </c>
      <c r="H80" s="58"/>
      <c r="I80" s="23"/>
      <c r="J80" s="24"/>
      <c r="N80" s="76"/>
      <c r="O80" s="76"/>
      <c r="P80" s="76" t="str">
        <f t="shared" si="8"/>
        <v>,patient_state17</v>
      </c>
      <c r="Q80" s="76" t="str">
        <f t="shared" si="9"/>
        <v>TEXT</v>
      </c>
      <c r="R80" s="76" t="str">
        <f t="shared" si="10"/>
        <v/>
      </c>
      <c r="S80" s="76" t="str">
        <f t="shared" si="11"/>
        <v/>
      </c>
      <c r="T80" s="76" t="str">
        <f t="shared" si="12"/>
        <v>-- 患者の状態17</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milscm_2023_009.sny_202310_backup_merge_receiptc_re.patient_state17 IS '患者の状態17';</v>
      </c>
    </row>
    <row r="81" spans="1:52" s="25" customFormat="1">
      <c r="B81" s="21">
        <f t="shared" si="2"/>
        <v>69</v>
      </c>
      <c r="C81" s="13" t="s">
        <v>1053</v>
      </c>
      <c r="D81" s="13" t="s">
        <v>1054</v>
      </c>
      <c r="E81" s="7"/>
      <c r="F81" s="7" t="s">
        <v>865</v>
      </c>
      <c r="G81" s="7" t="str">
        <f t="shared" ref="G81:G82" si="13">IF(F81="フラグ","boolean",IF(F81="文字列","text",IF(F81="整数","integer",IF(F81="実数","numeric",""))))</f>
        <v>text</v>
      </c>
      <c r="H81" s="58"/>
      <c r="I81" s="23"/>
      <c r="J81" s="24"/>
      <c r="N81" s="76"/>
      <c r="O81" s="76"/>
      <c r="P81" s="76" t="str">
        <f t="shared" ref="P81:P82" si="14">IF(B81&lt;&gt;1,","&amp;D81,D81)</f>
        <v>,patient_state18</v>
      </c>
      <c r="Q81" s="76" t="str">
        <f t="shared" ref="Q81:Q82" si="15">UPPER(G81)</f>
        <v>TEXT</v>
      </c>
      <c r="R81" s="76" t="str">
        <f t="shared" ref="R81:R82" si="16">IF(H81&lt;&gt;"","default "&amp;IF(G81="text","'"&amp;H81&amp;"'",H81),"")</f>
        <v/>
      </c>
      <c r="S81" s="76" t="str">
        <f t="shared" ref="S81:S82" si="17">IF(I81="○","NOT NULL","")</f>
        <v/>
      </c>
      <c r="T81" s="76" t="str">
        <f t="shared" ref="T81:T82" si="18">"-- "&amp;C81</f>
        <v>-- 患者の状態18</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milscm_2023_009.sny_202310_backup_merge_receiptc_re.patient_state18 IS '患者の状態18';</v>
      </c>
    </row>
    <row r="82" spans="1:52" s="25" customFormat="1">
      <c r="B82" s="21">
        <f t="shared" si="2"/>
        <v>70</v>
      </c>
      <c r="C82" s="13" t="s">
        <v>1055</v>
      </c>
      <c r="D82" s="13" t="s">
        <v>1056</v>
      </c>
      <c r="E82" s="7"/>
      <c r="F82" s="7" t="s">
        <v>865</v>
      </c>
      <c r="G82" s="7" t="str">
        <f t="shared" si="13"/>
        <v>text</v>
      </c>
      <c r="H82" s="58"/>
      <c r="I82" s="23"/>
      <c r="J82" s="24"/>
      <c r="N82" s="76"/>
      <c r="O82" s="76"/>
      <c r="P82" s="76" t="str">
        <f t="shared" si="14"/>
        <v>,patient_state19</v>
      </c>
      <c r="Q82" s="76" t="str">
        <f t="shared" si="15"/>
        <v>TEXT</v>
      </c>
      <c r="R82" s="76" t="str">
        <f t="shared" si="16"/>
        <v/>
      </c>
      <c r="S82" s="76" t="str">
        <f t="shared" si="17"/>
        <v/>
      </c>
      <c r="T82" s="76" t="str">
        <f t="shared" si="18"/>
        <v>-- 患者の状態19</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milscm_2023_009.sny_202310_backup_merge_receiptc_re.patient_state19 IS '患者の状態19';</v>
      </c>
    </row>
    <row r="83" spans="1:52" s="25" customFormat="1" ht="18" thickBot="1">
      <c r="A83" s="4"/>
      <c r="B83" s="27">
        <f>ROW()-12</f>
        <v>71</v>
      </c>
      <c r="C83" s="57" t="s">
        <v>1057</v>
      </c>
      <c r="D83" s="57" t="s">
        <v>1058</v>
      </c>
      <c r="E83" s="56"/>
      <c r="F83" s="56" t="s">
        <v>865</v>
      </c>
      <c r="G83" s="56" t="str">
        <f t="shared" si="3"/>
        <v>text</v>
      </c>
      <c r="H83" s="59"/>
      <c r="I83" s="60"/>
      <c r="J83" s="64"/>
      <c r="N83" s="76"/>
      <c r="O83" s="76"/>
      <c r="P83" s="76" t="str">
        <f t="shared" si="4"/>
        <v>,patient_state20</v>
      </c>
      <c r="Q83" s="76" t="str">
        <f t="shared" si="0"/>
        <v>TEXT</v>
      </c>
      <c r="R83" s="76" t="str">
        <f t="shared" si="1"/>
        <v/>
      </c>
      <c r="S83" s="76" t="str">
        <f t="shared" si="5"/>
        <v/>
      </c>
      <c r="T83" s="76" t="str">
        <f t="shared" si="6"/>
        <v>-- 患者の状態20</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milscm_2023_009.sny_202310_backup_merge_receiptc_re.patient_state20 IS '患者の状態20';</v>
      </c>
    </row>
    <row r="84" spans="1:52">
      <c r="L84" s="25"/>
      <c r="M84" s="25"/>
      <c r="N84" s="76" t="s">
        <v>142</v>
      </c>
      <c r="O84" s="76"/>
      <c r="P84" s="76"/>
      <c r="Q84" s="76"/>
      <c r="R84" s="76"/>
      <c r="S84" s="76"/>
      <c r="T84" s="76"/>
      <c r="V84" s="25"/>
      <c r="W84" s="25"/>
      <c r="X84" s="25"/>
      <c r="Y84" s="25"/>
      <c r="Z84" s="25"/>
      <c r="AJ84" s="76"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ENT_01_C2-06</v>
      </c>
      <c r="E6" s="234"/>
      <c r="F6" s="234"/>
      <c r="G6" s="234"/>
      <c r="H6" s="234"/>
      <c r="I6" s="234"/>
      <c r="J6" s="235"/>
    </row>
    <row r="7" spans="1:45">
      <c r="B7" s="223" t="s">
        <v>115</v>
      </c>
      <c r="C7" s="224"/>
      <c r="D7" s="225" t="s">
        <v>1075</v>
      </c>
      <c r="E7" s="226"/>
      <c r="F7" s="226"/>
      <c r="G7" s="226"/>
      <c r="H7" s="226"/>
      <c r="I7" s="226"/>
      <c r="J7" s="227"/>
    </row>
    <row r="8" spans="1:45">
      <c r="B8" s="223" t="s">
        <v>116</v>
      </c>
      <c r="C8" s="224"/>
      <c r="D8" s="225" t="str">
        <f>エンティティ一覧!AE2&amp;"_"&amp;D5&amp;"_merge_receiptc_sy"</f>
        <v>sny_202310_backup_merge_receiptc_sy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milscm_2023_009.sny_202310_backup_merge_receiptc_sy;</v>
      </c>
      <c r="O10" s="76"/>
      <c r="P10" s="76"/>
      <c r="Q10" s="76"/>
      <c r="R10" s="76"/>
      <c r="S10" s="76"/>
      <c r="T10" s="76"/>
      <c r="AJ10" s="76" t="str">
        <f>"ALTER TABLE ONLY "&amp;エンティティ一覧!$O$2&amp;"."&amp;D$8</f>
        <v>ALTER TABLE ONLY milscm_2023_009.sny_202310_backup_merge_receiptc_sy</v>
      </c>
      <c r="AS10" s="76" t="str">
        <f>"ALTER TABLE "&amp;エンティティ一覧!$O$2&amp;"."&amp;D$8&amp;" OWNER TO pgmisgrp1;"</f>
        <v>ALTER TABLE milscm_2023_009.sny_202310_backup_merge_receiptc_sy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milscm_2023_009.sny_202310_backup_merge_receiptc_sy</v>
      </c>
      <c r="O11" s="76"/>
      <c r="P11" s="76"/>
      <c r="Q11" s="76"/>
      <c r="R11" s="76"/>
      <c r="S11" s="76"/>
      <c r="T11" s="76"/>
      <c r="AJ11" s="76" t="str">
        <f>"ADD CONSTRAINT "&amp;D$8&amp;"_pkey PRIMARY KEY"</f>
        <v>ADD CONSTRAINT sny_202310_backup_merge_receiptc_sy_pkey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milscm_2023_009.sny_202310_backup_merge_receiptc_sy IS 'バックアップ_医科レセプト_傷病名レコード';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9" si="0">UPPER(G13)</f>
        <v>TEXT</v>
      </c>
      <c r="R13" s="76" t="str">
        <f t="shared" ref="R13:R4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milscm_2023_009.sny_202310_backup_merge_receiptc_sy.torikomi_ym IS '取込年月';</v>
      </c>
    </row>
    <row r="14" spans="1:45" s="25" customFormat="1">
      <c r="A14" s="4"/>
      <c r="B14" s="21">
        <f t="shared" ref="B14:B48" si="2">ROW()-12</f>
        <v>2</v>
      </c>
      <c r="C14" s="6" t="s">
        <v>202</v>
      </c>
      <c r="D14" s="6" t="s">
        <v>203</v>
      </c>
      <c r="E14" s="8"/>
      <c r="F14" s="7" t="s">
        <v>204</v>
      </c>
      <c r="G14" s="7" t="str">
        <f t="shared" ref="G14:G49" si="3">IF(F14="フラグ","boolean",IF(F14="文字列","text",IF(F14="整数","integer",IF(F14="実数","numeric",""))))</f>
        <v>integer</v>
      </c>
      <c r="H14" s="26"/>
      <c r="I14" s="10"/>
      <c r="J14" s="11" t="s">
        <v>257</v>
      </c>
      <c r="M14" s="4"/>
      <c r="N14" s="76"/>
      <c r="O14" s="76"/>
      <c r="P14" s="76" t="str">
        <f t="shared" ref="P14:P4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49" si="5">IF(I16="○","NOT NULL","")</f>
        <v>NOT NULL</v>
      </c>
      <c r="T16" s="76" t="str">
        <f t="shared" ref="T16:T4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milscm_2023_009.sny_202310_backup_merge_receiptc_sy.seikyu_ym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milscm_2023_009.sny_202310_backup_merge_receiptc_sy.shinryo_ym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milscm_2023_009.sny_202310_backup_merge_receiptc_sy.data_type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milscm_2023_009.sny_202310_backup_merge_receiptc_sy.shinsa_kikan IS '審査支払機関';</v>
      </c>
    </row>
    <row r="20" spans="2:45" s="25" customFormat="1">
      <c r="B20" s="21">
        <f t="shared" si="2"/>
        <v>8</v>
      </c>
      <c r="C20" s="13" t="s">
        <v>912</v>
      </c>
      <c r="D20" s="13" t="s">
        <v>913</v>
      </c>
      <c r="E20" s="7"/>
      <c r="F20" s="7" t="s">
        <v>865</v>
      </c>
      <c r="G20" s="7" t="str">
        <f t="shared" si="3"/>
        <v>text</v>
      </c>
      <c r="H20" s="58" t="s">
        <v>1119</v>
      </c>
      <c r="I20" s="23" t="s">
        <v>127</v>
      </c>
      <c r="J20" s="24" t="s">
        <v>1120</v>
      </c>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milscm_2023_009.sny_202310_backup_merge_receiptc_sy.record_shikibetsu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milscm_2023_009.sny_202310_backup_merge_receiptc_sy.receipt_no IS 'レセプト番号';</v>
      </c>
    </row>
    <row r="22" spans="2:45"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milscm_2023_009.sny_202310_backup_merge_receiptc_sy.gyo_no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milscm_2023_009.sny_202310_backup_merge_receiptc_sy.karute_no IS 'カルテ番号等';</v>
      </c>
    </row>
    <row r="24" spans="2:45" s="25" customFormat="1">
      <c r="B24" s="21">
        <f t="shared" si="2"/>
        <v>12</v>
      </c>
      <c r="C24" s="13" t="s">
        <v>665</v>
      </c>
      <c r="D24" s="13" t="s">
        <v>872</v>
      </c>
      <c r="E24" s="7"/>
      <c r="F24" s="7" t="s">
        <v>865</v>
      </c>
      <c r="G24" s="7" t="str">
        <f t="shared" si="3"/>
        <v>text</v>
      </c>
      <c r="H24" s="58"/>
      <c r="I24" s="23"/>
      <c r="J24" s="24"/>
      <c r="N24" s="76"/>
      <c r="O24" s="76"/>
      <c r="P24" s="76" t="str">
        <f t="shared" si="4"/>
        <v>,shobyo_code</v>
      </c>
      <c r="Q24" s="76" t="str">
        <f t="shared" si="0"/>
        <v>TEXT</v>
      </c>
      <c r="R24" s="76" t="str">
        <f t="shared" si="1"/>
        <v/>
      </c>
      <c r="S24" s="76" t="str">
        <f t="shared" si="5"/>
        <v/>
      </c>
      <c r="T24" s="76" t="str">
        <f t="shared" si="6"/>
        <v>-- 傷病名コード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milscm_2023_009.sny_202310_backup_merge_receiptc_sy.shobyo_code IS '傷病名コード';</v>
      </c>
    </row>
    <row r="25" spans="2:45" s="25" customFormat="1" ht="69.599999999999994">
      <c r="B25" s="21">
        <f t="shared" si="2"/>
        <v>13</v>
      </c>
      <c r="C25" s="13" t="s">
        <v>1076</v>
      </c>
      <c r="D25" s="13" t="s">
        <v>1077</v>
      </c>
      <c r="E25" s="7"/>
      <c r="F25" s="7" t="s">
        <v>865</v>
      </c>
      <c r="G25" s="7" t="str">
        <f t="shared" si="3"/>
        <v>text</v>
      </c>
      <c r="H25" s="58"/>
      <c r="I25" s="23"/>
      <c r="J25" s="24" t="s">
        <v>1070</v>
      </c>
      <c r="N25" s="76"/>
      <c r="O25" s="76"/>
      <c r="P25" s="76" t="str">
        <f t="shared" si="4"/>
        <v>,shinryo_start_date</v>
      </c>
      <c r="Q25" s="76" t="str">
        <f t="shared" si="0"/>
        <v>TEXT</v>
      </c>
      <c r="R25" s="76" t="str">
        <f t="shared" si="1"/>
        <v/>
      </c>
      <c r="S25" s="76" t="str">
        <f t="shared" si="5"/>
        <v/>
      </c>
      <c r="T25" s="76" t="str">
        <f t="shared" si="6"/>
        <v>-- 診療開始日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milscm_2023_009.sny_202310_backup_merge_receiptc_sy.shinryo_start_date IS '診療開始日';</v>
      </c>
    </row>
    <row r="26" spans="2:45" s="25" customFormat="1">
      <c r="B26" s="21">
        <f t="shared" si="2"/>
        <v>14</v>
      </c>
      <c r="C26" s="13" t="s">
        <v>1078</v>
      </c>
      <c r="D26" s="13" t="s">
        <v>1079</v>
      </c>
      <c r="E26" s="7"/>
      <c r="F26" s="7" t="s">
        <v>865</v>
      </c>
      <c r="G26" s="7" t="str">
        <f t="shared" si="3"/>
        <v>text</v>
      </c>
      <c r="H26" s="58"/>
      <c r="I26" s="23"/>
      <c r="J26" s="24"/>
      <c r="N26" s="76"/>
      <c r="O26" s="76"/>
      <c r="P26" s="76" t="str">
        <f t="shared" si="4"/>
        <v>,tenki_kubun</v>
      </c>
      <c r="Q26" s="76" t="str">
        <f t="shared" si="0"/>
        <v>TEXT</v>
      </c>
      <c r="R26" s="76" t="str">
        <f t="shared" si="1"/>
        <v/>
      </c>
      <c r="S26" s="76" t="str">
        <f t="shared" si="5"/>
        <v/>
      </c>
      <c r="T26" s="76" t="str">
        <f t="shared" si="6"/>
        <v>-- 転帰区分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milscm_2023_009.sny_202310_backup_merge_receiptc_sy.tenki_kubun IS '転帰区分';</v>
      </c>
    </row>
    <row r="27" spans="2:45" s="25" customFormat="1">
      <c r="B27" s="21">
        <f t="shared" si="2"/>
        <v>15</v>
      </c>
      <c r="C27" s="13" t="s">
        <v>667</v>
      </c>
      <c r="D27" s="13" t="s">
        <v>873</v>
      </c>
      <c r="E27" s="7"/>
      <c r="F27" s="7" t="s">
        <v>865</v>
      </c>
      <c r="G27" s="7" t="str">
        <f t="shared" si="3"/>
        <v>text</v>
      </c>
      <c r="H27" s="58"/>
      <c r="I27" s="23"/>
      <c r="J27" s="24" t="s">
        <v>1122</v>
      </c>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milscm_2023_009.sny_202310_backup_merge_receiptc_sy.shushoku_code1 IS '修飾語コード1';</v>
      </c>
    </row>
    <row r="28" spans="2:45" s="25" customFormat="1">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milscm_2023_009.sny_202310_backup_merge_receiptc_sy.shushoku_code2 IS '修飾語コード2';</v>
      </c>
    </row>
    <row r="29" spans="2:45" s="25" customFormat="1">
      <c r="B29" s="21">
        <f t="shared" si="2"/>
        <v>17</v>
      </c>
      <c r="C29" s="13" t="s">
        <v>671</v>
      </c>
      <c r="D29" s="13" t="s">
        <v>875</v>
      </c>
      <c r="E29" s="7"/>
      <c r="F29" s="7" t="s">
        <v>865</v>
      </c>
      <c r="G29" s="7" t="str">
        <f t="shared" si="3"/>
        <v>text</v>
      </c>
      <c r="H29" s="58"/>
      <c r="I29" s="23"/>
      <c r="J29" s="24"/>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milscm_2023_009.sny_202310_backup_merge_receiptc_sy.shushoku_code3 IS '修飾語コード3';</v>
      </c>
    </row>
    <row r="30" spans="2:45" s="25" customFormat="1">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milscm_2023_009.sny_202310_backup_merge_receiptc_sy.shushoku_code4 IS '修飾語コード4';</v>
      </c>
    </row>
    <row r="31" spans="2:45" s="25" customFormat="1">
      <c r="B31" s="21">
        <f t="shared" si="2"/>
        <v>19</v>
      </c>
      <c r="C31" s="13" t="s">
        <v>1080</v>
      </c>
      <c r="D31" s="13" t="s">
        <v>1081</v>
      </c>
      <c r="E31" s="7"/>
      <c r="F31" s="7" t="s">
        <v>865</v>
      </c>
      <c r="G31" s="7" t="str">
        <f t="shared" si="3"/>
        <v>text</v>
      </c>
      <c r="H31" s="58"/>
      <c r="I31" s="23"/>
      <c r="J31" s="24"/>
      <c r="N31" s="76"/>
      <c r="O31" s="76"/>
      <c r="P31" s="76" t="str">
        <f t="shared" si="4"/>
        <v>,shushoku_code5</v>
      </c>
      <c r="Q31" s="76" t="str">
        <f t="shared" si="0"/>
        <v>TEXT</v>
      </c>
      <c r="R31" s="76" t="str">
        <f t="shared" si="1"/>
        <v/>
      </c>
      <c r="S31" s="76" t="str">
        <f t="shared" si="5"/>
        <v/>
      </c>
      <c r="T31" s="76" t="str">
        <f t="shared" si="6"/>
        <v>-- 修飾語コード5</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milscm_2023_009.sny_202310_backup_merge_receiptc_sy.shushoku_code5 IS '修飾語コード5';</v>
      </c>
    </row>
    <row r="32" spans="2:45" s="25" customFormat="1">
      <c r="B32" s="21">
        <f t="shared" si="2"/>
        <v>20</v>
      </c>
      <c r="C32" s="13" t="s">
        <v>1082</v>
      </c>
      <c r="D32" s="13" t="s">
        <v>1083</v>
      </c>
      <c r="E32" s="7"/>
      <c r="F32" s="7" t="s">
        <v>865</v>
      </c>
      <c r="G32" s="7" t="str">
        <f t="shared" si="3"/>
        <v>text</v>
      </c>
      <c r="H32" s="58"/>
      <c r="I32" s="23"/>
      <c r="J32" s="24"/>
      <c r="N32" s="76"/>
      <c r="O32" s="76"/>
      <c r="P32" s="76" t="str">
        <f t="shared" si="4"/>
        <v>,shushoku_code6</v>
      </c>
      <c r="Q32" s="76" t="str">
        <f t="shared" si="0"/>
        <v>TEXT</v>
      </c>
      <c r="R32" s="76" t="str">
        <f t="shared" si="1"/>
        <v/>
      </c>
      <c r="S32" s="76" t="str">
        <f t="shared" si="5"/>
        <v/>
      </c>
      <c r="T32" s="76" t="str">
        <f t="shared" si="6"/>
        <v>-- 修飾語コード6</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milscm_2023_009.sny_202310_backup_merge_receiptc_sy.shushoku_code6 IS '修飾語コード6';</v>
      </c>
    </row>
    <row r="33" spans="2:45" s="25" customFormat="1">
      <c r="B33" s="21">
        <f t="shared" si="2"/>
        <v>21</v>
      </c>
      <c r="C33" s="13" t="s">
        <v>1084</v>
      </c>
      <c r="D33" s="13" t="s">
        <v>1085</v>
      </c>
      <c r="E33" s="7"/>
      <c r="F33" s="7" t="s">
        <v>865</v>
      </c>
      <c r="G33" s="7" t="str">
        <f t="shared" si="3"/>
        <v>text</v>
      </c>
      <c r="H33" s="58"/>
      <c r="I33" s="23"/>
      <c r="J33" s="24"/>
      <c r="N33" s="76"/>
      <c r="O33" s="76"/>
      <c r="P33" s="76" t="str">
        <f t="shared" si="4"/>
        <v>,shushoku_code7</v>
      </c>
      <c r="Q33" s="76" t="str">
        <f t="shared" si="0"/>
        <v>TEXT</v>
      </c>
      <c r="R33" s="76" t="str">
        <f t="shared" si="1"/>
        <v/>
      </c>
      <c r="S33" s="76" t="str">
        <f t="shared" si="5"/>
        <v/>
      </c>
      <c r="T33" s="76" t="str">
        <f t="shared" si="6"/>
        <v>-- 修飾語コード7</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milscm_2023_009.sny_202310_backup_merge_receiptc_sy.shushoku_code7 IS '修飾語コード7';</v>
      </c>
    </row>
    <row r="34" spans="2:45" s="25" customFormat="1">
      <c r="B34" s="21">
        <f t="shared" si="2"/>
        <v>22</v>
      </c>
      <c r="C34" s="13" t="s">
        <v>1086</v>
      </c>
      <c r="D34" s="13" t="s">
        <v>1087</v>
      </c>
      <c r="E34" s="7"/>
      <c r="F34" s="7" t="s">
        <v>865</v>
      </c>
      <c r="G34" s="7" t="str">
        <f t="shared" si="3"/>
        <v>text</v>
      </c>
      <c r="H34" s="58"/>
      <c r="I34" s="23"/>
      <c r="J34" s="24"/>
      <c r="N34" s="76"/>
      <c r="O34" s="76"/>
      <c r="P34" s="76" t="str">
        <f t="shared" si="4"/>
        <v>,shushoku_code8</v>
      </c>
      <c r="Q34" s="76" t="str">
        <f t="shared" si="0"/>
        <v>TEXT</v>
      </c>
      <c r="R34" s="76" t="str">
        <f t="shared" si="1"/>
        <v/>
      </c>
      <c r="S34" s="76" t="str">
        <f t="shared" si="5"/>
        <v/>
      </c>
      <c r="T34" s="76" t="str">
        <f t="shared" si="6"/>
        <v>-- 修飾語コード8</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milscm_2023_009.sny_202310_backup_merge_receiptc_sy.shushoku_code8 IS '修飾語コード8';</v>
      </c>
    </row>
    <row r="35" spans="2:45" s="25" customFormat="1">
      <c r="B35" s="21">
        <f t="shared" si="2"/>
        <v>23</v>
      </c>
      <c r="C35" s="13" t="s">
        <v>1088</v>
      </c>
      <c r="D35" s="13" t="s">
        <v>1089</v>
      </c>
      <c r="E35" s="7"/>
      <c r="F35" s="7" t="s">
        <v>865</v>
      </c>
      <c r="G35" s="7" t="str">
        <f t="shared" si="3"/>
        <v>text</v>
      </c>
      <c r="H35" s="58"/>
      <c r="I35" s="23"/>
      <c r="J35" s="24"/>
      <c r="N35" s="76"/>
      <c r="O35" s="76"/>
      <c r="P35" s="76" t="str">
        <f t="shared" si="4"/>
        <v>,shushoku_code9</v>
      </c>
      <c r="Q35" s="76" t="str">
        <f t="shared" si="0"/>
        <v>TEXT</v>
      </c>
      <c r="R35" s="76" t="str">
        <f t="shared" si="1"/>
        <v/>
      </c>
      <c r="S35" s="76" t="str">
        <f t="shared" si="5"/>
        <v/>
      </c>
      <c r="T35" s="76" t="str">
        <f t="shared" si="6"/>
        <v>-- 修飾語コード9</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milscm_2023_009.sny_202310_backup_merge_receiptc_sy.shushoku_code9 IS '修飾語コード9';</v>
      </c>
    </row>
    <row r="36" spans="2:45" s="25" customFormat="1">
      <c r="B36" s="21">
        <f t="shared" si="2"/>
        <v>24</v>
      </c>
      <c r="C36" s="13" t="s">
        <v>1090</v>
      </c>
      <c r="D36" s="13" t="s">
        <v>1091</v>
      </c>
      <c r="E36" s="7"/>
      <c r="F36" s="7" t="s">
        <v>865</v>
      </c>
      <c r="G36" s="7" t="str">
        <f t="shared" si="3"/>
        <v>text</v>
      </c>
      <c r="H36" s="58"/>
      <c r="I36" s="23"/>
      <c r="J36" s="24"/>
      <c r="N36" s="76"/>
      <c r="O36" s="76"/>
      <c r="P36" s="76" t="str">
        <f t="shared" si="4"/>
        <v>,shushoku_code10</v>
      </c>
      <c r="Q36" s="76" t="str">
        <f t="shared" si="0"/>
        <v>TEXT</v>
      </c>
      <c r="R36" s="76" t="str">
        <f t="shared" si="1"/>
        <v/>
      </c>
      <c r="S36" s="76" t="str">
        <f t="shared" si="5"/>
        <v/>
      </c>
      <c r="T36" s="76" t="str">
        <f t="shared" si="6"/>
        <v>-- 修飾語コード10</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milscm_2023_009.sny_202310_backup_merge_receiptc_sy.shushoku_code10 IS '修飾語コード10';</v>
      </c>
    </row>
    <row r="37" spans="2:45" s="25" customFormat="1">
      <c r="B37" s="21">
        <f t="shared" si="2"/>
        <v>25</v>
      </c>
      <c r="C37" s="13" t="s">
        <v>1092</v>
      </c>
      <c r="D37" s="13" t="s">
        <v>1093</v>
      </c>
      <c r="E37" s="7"/>
      <c r="F37" s="7" t="s">
        <v>865</v>
      </c>
      <c r="G37" s="7" t="str">
        <f t="shared" si="3"/>
        <v>text</v>
      </c>
      <c r="H37" s="58"/>
      <c r="I37" s="23"/>
      <c r="J37" s="24"/>
      <c r="N37" s="76"/>
      <c r="O37" s="76"/>
      <c r="P37" s="76" t="str">
        <f t="shared" si="4"/>
        <v>,shushoku_code11</v>
      </c>
      <c r="Q37" s="76" t="str">
        <f t="shared" si="0"/>
        <v>TEXT</v>
      </c>
      <c r="R37" s="76" t="str">
        <f t="shared" si="1"/>
        <v/>
      </c>
      <c r="S37" s="76" t="str">
        <f t="shared" si="5"/>
        <v/>
      </c>
      <c r="T37" s="76" t="str">
        <f t="shared" si="6"/>
        <v>-- 修飾語コード11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milscm_2023_009.sny_202310_backup_merge_receiptc_sy.shushoku_code11 IS '修飾語コード11';</v>
      </c>
    </row>
    <row r="38" spans="2:45" s="25" customFormat="1">
      <c r="B38" s="21">
        <f t="shared" si="2"/>
        <v>26</v>
      </c>
      <c r="C38" s="13" t="s">
        <v>1094</v>
      </c>
      <c r="D38" s="13" t="s">
        <v>1095</v>
      </c>
      <c r="E38" s="7"/>
      <c r="F38" s="7" t="s">
        <v>865</v>
      </c>
      <c r="G38" s="7" t="str">
        <f t="shared" si="3"/>
        <v>text</v>
      </c>
      <c r="H38" s="58"/>
      <c r="I38" s="23"/>
      <c r="J38" s="24"/>
      <c r="N38" s="76"/>
      <c r="O38" s="76"/>
      <c r="P38" s="76" t="str">
        <f t="shared" si="4"/>
        <v>,shushoku_code12</v>
      </c>
      <c r="Q38" s="76" t="str">
        <f t="shared" si="0"/>
        <v>TEXT</v>
      </c>
      <c r="R38" s="76" t="str">
        <f t="shared" si="1"/>
        <v/>
      </c>
      <c r="S38" s="76" t="str">
        <f t="shared" si="5"/>
        <v/>
      </c>
      <c r="T38" s="76" t="str">
        <f t="shared" si="6"/>
        <v>-- 修飾語コード12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milscm_2023_009.sny_202310_backup_merge_receiptc_sy.shushoku_code12 IS '修飾語コード12';</v>
      </c>
    </row>
    <row r="39" spans="2:45" s="25" customFormat="1">
      <c r="B39" s="21">
        <f t="shared" si="2"/>
        <v>27</v>
      </c>
      <c r="C39" s="13" t="s">
        <v>1096</v>
      </c>
      <c r="D39" s="13" t="s">
        <v>1097</v>
      </c>
      <c r="E39" s="7"/>
      <c r="F39" s="7" t="s">
        <v>865</v>
      </c>
      <c r="G39" s="7" t="str">
        <f t="shared" si="3"/>
        <v>text</v>
      </c>
      <c r="H39" s="58"/>
      <c r="I39" s="23"/>
      <c r="J39" s="24"/>
      <c r="N39" s="76"/>
      <c r="O39" s="76"/>
      <c r="P39" s="76" t="str">
        <f t="shared" si="4"/>
        <v>,shushoku_code13</v>
      </c>
      <c r="Q39" s="76" t="str">
        <f t="shared" si="0"/>
        <v>TEXT</v>
      </c>
      <c r="R39" s="76" t="str">
        <f t="shared" si="1"/>
        <v/>
      </c>
      <c r="S39" s="76" t="str">
        <f t="shared" si="5"/>
        <v/>
      </c>
      <c r="T39" s="76" t="str">
        <f t="shared" si="6"/>
        <v>-- 修飾語コード13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milscm_2023_009.sny_202310_backup_merge_receiptc_sy.shushoku_code13 IS '修飾語コード13';</v>
      </c>
    </row>
    <row r="40" spans="2:45" s="25" customFormat="1">
      <c r="B40" s="21">
        <f t="shared" si="2"/>
        <v>28</v>
      </c>
      <c r="C40" s="13" t="s">
        <v>1098</v>
      </c>
      <c r="D40" s="13" t="s">
        <v>1099</v>
      </c>
      <c r="E40" s="7"/>
      <c r="F40" s="7" t="s">
        <v>865</v>
      </c>
      <c r="G40" s="7" t="str">
        <f t="shared" si="3"/>
        <v>text</v>
      </c>
      <c r="H40" s="58"/>
      <c r="I40" s="23"/>
      <c r="J40" s="24"/>
      <c r="N40" s="76"/>
      <c r="O40" s="76"/>
      <c r="P40" s="76" t="str">
        <f t="shared" si="4"/>
        <v>,shushoku_code14</v>
      </c>
      <c r="Q40" s="76" t="str">
        <f t="shared" si="0"/>
        <v>TEXT</v>
      </c>
      <c r="R40" s="76" t="str">
        <f t="shared" si="1"/>
        <v/>
      </c>
      <c r="S40" s="76" t="str">
        <f t="shared" si="5"/>
        <v/>
      </c>
      <c r="T40" s="76" t="str">
        <f t="shared" si="6"/>
        <v>-- 修飾語コード14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milscm_2023_009.sny_202310_backup_merge_receiptc_sy.shushoku_code14 IS '修飾語コード14';</v>
      </c>
    </row>
    <row r="41" spans="2:45" s="25" customFormat="1">
      <c r="B41" s="21">
        <f t="shared" si="2"/>
        <v>29</v>
      </c>
      <c r="C41" s="13" t="s">
        <v>1100</v>
      </c>
      <c r="D41" s="13" t="s">
        <v>1101</v>
      </c>
      <c r="E41" s="7"/>
      <c r="F41" s="7" t="s">
        <v>865</v>
      </c>
      <c r="G41" s="7" t="str">
        <f t="shared" si="3"/>
        <v>text</v>
      </c>
      <c r="H41" s="58"/>
      <c r="I41" s="23"/>
      <c r="J41" s="24"/>
      <c r="N41" s="76"/>
      <c r="O41" s="76"/>
      <c r="P41" s="76" t="str">
        <f t="shared" si="4"/>
        <v>,shushoku_code15</v>
      </c>
      <c r="Q41" s="76" t="str">
        <f t="shared" si="0"/>
        <v>TEXT</v>
      </c>
      <c r="R41" s="76" t="str">
        <f t="shared" si="1"/>
        <v/>
      </c>
      <c r="S41" s="76" t="str">
        <f t="shared" si="5"/>
        <v/>
      </c>
      <c r="T41" s="76" t="str">
        <f t="shared" si="6"/>
        <v>-- 修飾語コード15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milscm_2023_009.sny_202310_backup_merge_receiptc_sy.shushoku_code15 IS '修飾語コード15';</v>
      </c>
    </row>
    <row r="42" spans="2:45" s="25" customFormat="1">
      <c r="B42" s="21">
        <f t="shared" si="2"/>
        <v>30</v>
      </c>
      <c r="C42" s="13" t="s">
        <v>1102</v>
      </c>
      <c r="D42" s="13" t="s">
        <v>1103</v>
      </c>
      <c r="E42" s="7"/>
      <c r="F42" s="7" t="s">
        <v>865</v>
      </c>
      <c r="G42" s="7" t="str">
        <f t="shared" ref="G42:G47" si="7">IF(F42="フラグ","boolean",IF(F42="文字列","text",IF(F42="整数","integer",IF(F42="実数","numeric",""))))</f>
        <v>text</v>
      </c>
      <c r="H42" s="58"/>
      <c r="I42" s="23"/>
      <c r="J42" s="24"/>
      <c r="N42" s="76"/>
      <c r="O42" s="76"/>
      <c r="P42" s="76" t="str">
        <f t="shared" ref="P42:P47" si="8">IF(B42&lt;&gt;1,","&amp;D42,D42)</f>
        <v>,shushoku_code16</v>
      </c>
      <c r="Q42" s="76" t="str">
        <f t="shared" ref="Q42:Q47" si="9">UPPER(G42)</f>
        <v>TEXT</v>
      </c>
      <c r="R42" s="76" t="str">
        <f t="shared" ref="R42:R47" si="10">IF(H42&lt;&gt;"","default "&amp;IF(G42="text","'"&amp;H42&amp;"'",H42),"")</f>
        <v/>
      </c>
      <c r="S42" s="76" t="str">
        <f t="shared" ref="S42:S47" si="11">IF(I42="○","NOT NULL","")</f>
        <v/>
      </c>
      <c r="T42" s="76" t="str">
        <f t="shared" ref="T42:T47" si="12">"-- "&amp;C42</f>
        <v>-- 修飾語コード16</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milscm_2023_009.sny_202310_backup_merge_receiptc_sy.shushoku_code16 IS '修飾語コード16';</v>
      </c>
    </row>
    <row r="43" spans="2:45" s="25" customFormat="1">
      <c r="B43" s="21">
        <f t="shared" si="2"/>
        <v>31</v>
      </c>
      <c r="C43" s="13" t="s">
        <v>1104</v>
      </c>
      <c r="D43" s="13" t="s">
        <v>1105</v>
      </c>
      <c r="E43" s="7"/>
      <c r="F43" s="7" t="s">
        <v>865</v>
      </c>
      <c r="G43" s="7" t="str">
        <f t="shared" si="7"/>
        <v>text</v>
      </c>
      <c r="H43" s="58"/>
      <c r="I43" s="23"/>
      <c r="J43" s="24"/>
      <c r="N43" s="76"/>
      <c r="O43" s="76"/>
      <c r="P43" s="76" t="str">
        <f t="shared" si="8"/>
        <v>,shushoku_code17</v>
      </c>
      <c r="Q43" s="76" t="str">
        <f t="shared" si="9"/>
        <v>TEXT</v>
      </c>
      <c r="R43" s="76" t="str">
        <f t="shared" si="10"/>
        <v/>
      </c>
      <c r="S43" s="76" t="str">
        <f t="shared" si="11"/>
        <v/>
      </c>
      <c r="T43" s="76" t="str">
        <f t="shared" si="12"/>
        <v>-- 修飾語コード17</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milscm_2023_009.sny_202310_backup_merge_receiptc_sy.shushoku_code17 IS '修飾語コード17';</v>
      </c>
    </row>
    <row r="44" spans="2:45" s="25" customFormat="1">
      <c r="B44" s="21">
        <f t="shared" si="2"/>
        <v>32</v>
      </c>
      <c r="C44" s="13" t="s">
        <v>1106</v>
      </c>
      <c r="D44" s="13" t="s">
        <v>1107</v>
      </c>
      <c r="E44" s="7"/>
      <c r="F44" s="7" t="s">
        <v>865</v>
      </c>
      <c r="G44" s="7" t="str">
        <f t="shared" si="7"/>
        <v>text</v>
      </c>
      <c r="H44" s="58"/>
      <c r="I44" s="23"/>
      <c r="J44" s="24"/>
      <c r="N44" s="76"/>
      <c r="O44" s="76"/>
      <c r="P44" s="76" t="str">
        <f t="shared" si="8"/>
        <v>,shushoku_code18</v>
      </c>
      <c r="Q44" s="76" t="str">
        <f t="shared" si="9"/>
        <v>TEXT</v>
      </c>
      <c r="R44" s="76" t="str">
        <f t="shared" si="10"/>
        <v/>
      </c>
      <c r="S44" s="76" t="str">
        <f t="shared" si="11"/>
        <v/>
      </c>
      <c r="T44" s="76" t="str">
        <f t="shared" si="12"/>
        <v>-- 修飾語コード18</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milscm_2023_009.sny_202310_backup_merge_receiptc_sy.shushoku_code18 IS '修飾語コード18';</v>
      </c>
    </row>
    <row r="45" spans="2:45" s="25" customFormat="1">
      <c r="B45" s="21">
        <f t="shared" si="2"/>
        <v>33</v>
      </c>
      <c r="C45" s="13" t="s">
        <v>1108</v>
      </c>
      <c r="D45" s="13" t="s">
        <v>1109</v>
      </c>
      <c r="E45" s="7"/>
      <c r="F45" s="7" t="s">
        <v>865</v>
      </c>
      <c r="G45" s="7" t="str">
        <f t="shared" si="7"/>
        <v>text</v>
      </c>
      <c r="H45" s="58"/>
      <c r="I45" s="23"/>
      <c r="J45" s="24"/>
      <c r="N45" s="76"/>
      <c r="O45" s="76"/>
      <c r="P45" s="76" t="str">
        <f t="shared" si="8"/>
        <v>,shushoku_code19</v>
      </c>
      <c r="Q45" s="76" t="str">
        <f t="shared" si="9"/>
        <v>TEXT</v>
      </c>
      <c r="R45" s="76" t="str">
        <f t="shared" si="10"/>
        <v/>
      </c>
      <c r="S45" s="76" t="str">
        <f t="shared" si="11"/>
        <v/>
      </c>
      <c r="T45" s="76" t="str">
        <f t="shared" si="12"/>
        <v>-- 修飾語コード19</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milscm_2023_009.sny_202310_backup_merge_receiptc_sy.shushoku_code19 IS '修飾語コード19';</v>
      </c>
    </row>
    <row r="46" spans="2:45" s="25" customFormat="1">
      <c r="B46" s="21">
        <f t="shared" si="2"/>
        <v>34</v>
      </c>
      <c r="C46" s="13" t="s">
        <v>1110</v>
      </c>
      <c r="D46" s="13" t="s">
        <v>1111</v>
      </c>
      <c r="E46" s="7"/>
      <c r="F46" s="7" t="s">
        <v>865</v>
      </c>
      <c r="G46" s="7" t="str">
        <f t="shared" si="7"/>
        <v>text</v>
      </c>
      <c r="H46" s="58"/>
      <c r="I46" s="23"/>
      <c r="J46" s="24"/>
      <c r="N46" s="76"/>
      <c r="O46" s="76"/>
      <c r="P46" s="76" t="str">
        <f t="shared" si="8"/>
        <v>,shushoku_code20</v>
      </c>
      <c r="Q46" s="76" t="str">
        <f t="shared" si="9"/>
        <v>TEXT</v>
      </c>
      <c r="R46" s="76" t="str">
        <f t="shared" si="10"/>
        <v/>
      </c>
      <c r="S46" s="76" t="str">
        <f t="shared" si="11"/>
        <v/>
      </c>
      <c r="T46" s="76" t="str">
        <f t="shared" si="12"/>
        <v>-- 修飾語コード20</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milscm_2023_009.sny_202310_backup_merge_receiptc_sy.shushoku_code20 IS '修飾語コード20';</v>
      </c>
    </row>
    <row r="47" spans="2:45" s="25" customFormat="1">
      <c r="B47" s="21">
        <f t="shared" si="2"/>
        <v>35</v>
      </c>
      <c r="C47" s="13" t="s">
        <v>1112</v>
      </c>
      <c r="D47" s="13" t="s">
        <v>1113</v>
      </c>
      <c r="E47" s="7"/>
      <c r="F47" s="7" t="s">
        <v>865</v>
      </c>
      <c r="G47" s="7" t="str">
        <f t="shared" si="7"/>
        <v>text</v>
      </c>
      <c r="H47" s="58"/>
      <c r="I47" s="23"/>
      <c r="J47" s="24"/>
      <c r="N47" s="76"/>
      <c r="O47" s="76"/>
      <c r="P47" s="76" t="str">
        <f t="shared" si="8"/>
        <v>,shobyo_name</v>
      </c>
      <c r="Q47" s="76" t="str">
        <f t="shared" si="9"/>
        <v>TEXT</v>
      </c>
      <c r="R47" s="76" t="str">
        <f t="shared" si="10"/>
        <v/>
      </c>
      <c r="S47" s="76" t="str">
        <f t="shared" si="11"/>
        <v/>
      </c>
      <c r="T47" s="76" t="str">
        <f t="shared" si="12"/>
        <v>-- 傷病名称</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milscm_2023_009.sny_202310_backup_merge_receiptc_sy.shobyo_name IS '傷病名称';</v>
      </c>
    </row>
    <row r="48" spans="2:45" s="25" customFormat="1">
      <c r="B48" s="21">
        <f t="shared" si="2"/>
        <v>36</v>
      </c>
      <c r="C48" s="13" t="s">
        <v>1114</v>
      </c>
      <c r="D48" s="13" t="s">
        <v>1115</v>
      </c>
      <c r="E48" s="7"/>
      <c r="F48" s="7" t="s">
        <v>865</v>
      </c>
      <c r="G48" s="7" t="str">
        <f t="shared" si="3"/>
        <v>text</v>
      </c>
      <c r="H48" s="58"/>
      <c r="I48" s="23"/>
      <c r="J48" s="24"/>
      <c r="N48" s="76"/>
      <c r="O48" s="76"/>
      <c r="P48" s="76" t="str">
        <f t="shared" si="4"/>
        <v>,main_shobyo_code</v>
      </c>
      <c r="Q48" s="76" t="str">
        <f t="shared" si="0"/>
        <v>TEXT</v>
      </c>
      <c r="R48" s="76" t="str">
        <f t="shared" si="1"/>
        <v/>
      </c>
      <c r="S48" s="76" t="str">
        <f t="shared" si="5"/>
        <v/>
      </c>
      <c r="T48" s="76" t="str">
        <f t="shared" si="6"/>
        <v>-- 主傷病</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milscm_2023_009.sny_202310_backup_merge_receiptc_sy.main_shobyo_code IS '主傷病';</v>
      </c>
    </row>
    <row r="49" spans="1:52" s="25" customFormat="1" ht="18" thickBot="1">
      <c r="A49" s="4"/>
      <c r="B49" s="27">
        <f>ROW()-12</f>
        <v>37</v>
      </c>
      <c r="C49" s="57" t="s">
        <v>1116</v>
      </c>
      <c r="D49" s="57" t="s">
        <v>1117</v>
      </c>
      <c r="E49" s="56"/>
      <c r="F49" s="56" t="s">
        <v>865</v>
      </c>
      <c r="G49" s="56" t="str">
        <f t="shared" si="3"/>
        <v>text</v>
      </c>
      <c r="H49" s="59"/>
      <c r="I49" s="60"/>
      <c r="J49" s="64"/>
      <c r="N49" s="76"/>
      <c r="O49" s="76"/>
      <c r="P49" s="76" t="str">
        <f t="shared" si="4"/>
        <v>,hosoku_comment</v>
      </c>
      <c r="Q49" s="76" t="str">
        <f t="shared" si="0"/>
        <v>TEXT</v>
      </c>
      <c r="R49" s="76" t="str">
        <f t="shared" si="1"/>
        <v/>
      </c>
      <c r="S49" s="76" t="str">
        <f t="shared" si="5"/>
        <v/>
      </c>
      <c r="T49" s="76" t="str">
        <f t="shared" si="6"/>
        <v>-- 補足コメント</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milscm_2023_009.sny_202310_backup_merge_receiptc_sy.hosoku_comment IS '補足コメント';</v>
      </c>
    </row>
    <row r="50" spans="1:52">
      <c r="L50" s="25"/>
      <c r="M50" s="25"/>
      <c r="N50" s="76" t="s">
        <v>142</v>
      </c>
      <c r="O50" s="76"/>
      <c r="P50" s="76"/>
      <c r="Q50" s="76"/>
      <c r="R50" s="76"/>
      <c r="S50" s="76"/>
      <c r="T50" s="76"/>
      <c r="V50" s="25"/>
      <c r="W50" s="25"/>
      <c r="X50" s="25"/>
      <c r="Y50" s="25"/>
      <c r="Z50" s="25"/>
      <c r="AJ50" s="76"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ENT_01_C2-07</v>
      </c>
      <c r="E6" s="234"/>
      <c r="F6" s="234"/>
      <c r="G6" s="234"/>
      <c r="H6" s="234"/>
      <c r="I6" s="234"/>
      <c r="J6" s="235"/>
    </row>
    <row r="7" spans="1:45">
      <c r="B7" s="223" t="s">
        <v>115</v>
      </c>
      <c r="C7" s="224"/>
      <c r="D7" s="225" t="s">
        <v>1124</v>
      </c>
      <c r="E7" s="226"/>
      <c r="F7" s="226"/>
      <c r="G7" s="226"/>
      <c r="H7" s="226"/>
      <c r="I7" s="226"/>
      <c r="J7" s="227"/>
    </row>
    <row r="8" spans="1:45">
      <c r="B8" s="223" t="s">
        <v>116</v>
      </c>
      <c r="C8" s="224"/>
      <c r="D8" s="225" t="str">
        <f>エンティティ一覧!AE2&amp;"_"&amp;D5&amp;"_merge_receiptc_si"</f>
        <v>sny_202310_backup_merge_receiptc_si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milscm_2023_009.sny_202310_backup_merge_receiptc_si;</v>
      </c>
      <c r="O10" s="76"/>
      <c r="P10" s="76"/>
      <c r="Q10" s="76"/>
      <c r="R10" s="76"/>
      <c r="S10" s="76"/>
      <c r="T10" s="76"/>
      <c r="AJ10" s="76" t="str">
        <f>"ALTER TABLE ONLY "&amp;エンティティ一覧!$O$2&amp;"."&amp;D$8</f>
        <v>ALTER TABLE ONLY milscm_2023_009.sny_202310_backup_merge_receiptc_si</v>
      </c>
      <c r="AS10" s="76" t="str">
        <f>"ALTER TABLE "&amp;エンティティ一覧!$O$2&amp;"."&amp;D$8&amp;" OWNER TO pgmisgrp1;"</f>
        <v>ALTER TABLE milscm_2023_009.sny_202310_backup_merge_receiptc_si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milscm_2023_009.sny_202310_backup_merge_receiptc_si</v>
      </c>
      <c r="O11" s="76"/>
      <c r="P11" s="76"/>
      <c r="Q11" s="76"/>
      <c r="R11" s="76"/>
      <c r="S11" s="76"/>
      <c r="T11" s="76"/>
      <c r="AJ11" s="76" t="str">
        <f>"ADD CONSTRAINT "&amp;D$8&amp;"_pkey PRIMARY KEY"</f>
        <v>ADD CONSTRAINT sny_202310_backup_merge_receiptc_si_pkey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 IS 'バックアップ_医科レセプト_診療行為レコード';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milscm_2023_009.sny_202310_backup_merge_receiptc_si.shinsa_kikan IS '審査支払機関';</v>
      </c>
    </row>
    <row r="20" spans="2:45"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milscm_2023_009.sny_202310_backup_merge_receiptc_si.receipt_no IS 'レセプト番号';</v>
      </c>
    </row>
    <row r="22" spans="2:45"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milscm_2023_009.sny_202310_backup_merge_receiptc_si.karute_no IS 'カルテ番号等';</v>
      </c>
    </row>
    <row r="24" spans="2:45" s="25" customFormat="1">
      <c r="B24" s="21">
        <f t="shared" si="2"/>
        <v>12</v>
      </c>
      <c r="C24" s="13" t="s">
        <v>1125</v>
      </c>
      <c r="D24" s="13" t="s">
        <v>1126</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milscm_2023_009.sny_202310_backup_merge_receiptc_si.shinryo_shikibetsu IS '診療識別';</v>
      </c>
    </row>
    <row r="25" spans="2:45" s="25" customFormat="1">
      <c r="B25" s="21">
        <f t="shared" si="2"/>
        <v>13</v>
      </c>
      <c r="C25" s="13" t="s">
        <v>1127</v>
      </c>
      <c r="D25" s="13" t="s">
        <v>1128</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milscm_2023_009.sny_202310_backup_merge_receiptc_si.futan_kubun IS '負担区分';</v>
      </c>
    </row>
    <row r="26" spans="2:45" s="25" customFormat="1">
      <c r="B26" s="21">
        <f t="shared" si="2"/>
        <v>14</v>
      </c>
      <c r="C26" s="13" t="s">
        <v>1129</v>
      </c>
      <c r="D26" s="13" t="s">
        <v>1130</v>
      </c>
      <c r="E26" s="7"/>
      <c r="F26" s="7" t="s">
        <v>865</v>
      </c>
      <c r="G26" s="7" t="str">
        <f t="shared" si="3"/>
        <v>text</v>
      </c>
      <c r="H26" s="58"/>
      <c r="I26" s="23"/>
      <c r="J26" s="24"/>
      <c r="N26" s="76"/>
      <c r="O26" s="76"/>
      <c r="P26" s="76" t="str">
        <f t="shared" si="4"/>
        <v>,shinryo_koi_code</v>
      </c>
      <c r="Q26" s="76" t="str">
        <f t="shared" si="0"/>
        <v>TEXT</v>
      </c>
      <c r="R26" s="76" t="str">
        <f t="shared" si="1"/>
        <v/>
      </c>
      <c r="S26" s="76" t="str">
        <f t="shared" si="5"/>
        <v/>
      </c>
      <c r="T26" s="76" t="str">
        <f t="shared" si="6"/>
        <v>-- 診療行為コード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milscm_2023_009.sny_202310_backup_merge_receiptc_si.shinryo_koi_code IS '診療行為コード';</v>
      </c>
    </row>
    <row r="27" spans="2:45" s="25" customFormat="1">
      <c r="B27" s="21">
        <f t="shared" si="2"/>
        <v>15</v>
      </c>
      <c r="C27" s="13" t="s">
        <v>1131</v>
      </c>
      <c r="D27" s="13" t="s">
        <v>1132</v>
      </c>
      <c r="E27" s="7"/>
      <c r="F27" s="7" t="s">
        <v>204</v>
      </c>
      <c r="G27" s="7" t="str">
        <f t="shared" si="3"/>
        <v>integer</v>
      </c>
      <c r="H27" s="58"/>
      <c r="I27" s="23"/>
      <c r="J27" s="24"/>
      <c r="N27" s="76"/>
      <c r="O27" s="76"/>
      <c r="P27" s="76" t="str">
        <f t="shared" si="4"/>
        <v>,suryo_data</v>
      </c>
      <c r="Q27" s="76" t="str">
        <f t="shared" si="0"/>
        <v>INTEGER</v>
      </c>
      <c r="R27" s="76" t="str">
        <f t="shared" si="1"/>
        <v/>
      </c>
      <c r="S27" s="76" t="str">
        <f t="shared" si="5"/>
        <v/>
      </c>
      <c r="T27" s="76" t="str">
        <f t="shared" si="6"/>
        <v>-- 数量データ</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milscm_2023_009.sny_202310_backup_merge_receiptc_si.suryo_data IS '数量データ';</v>
      </c>
    </row>
    <row r="28" spans="2:45" s="25" customFormat="1">
      <c r="B28" s="21">
        <f t="shared" si="2"/>
        <v>16</v>
      </c>
      <c r="C28" s="13" t="s">
        <v>1133</v>
      </c>
      <c r="D28" s="13" t="s">
        <v>1134</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milscm_2023_009.sny_202310_backup_merge_receiptc_si.tensu IS '点数';</v>
      </c>
    </row>
    <row r="29" spans="2:45" s="25" customFormat="1">
      <c r="B29" s="21">
        <f t="shared" si="2"/>
        <v>17</v>
      </c>
      <c r="C29" s="13" t="s">
        <v>1135</v>
      </c>
      <c r="D29" s="13" t="s">
        <v>1136</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milscm_2023_009.sny_202310_backup_merge_receiptc_si.times IS '回数';</v>
      </c>
    </row>
    <row r="30" spans="2:45" s="25" customFormat="1">
      <c r="B30" s="21">
        <f t="shared" si="2"/>
        <v>18</v>
      </c>
      <c r="C30" s="13" t="s">
        <v>1137</v>
      </c>
      <c r="D30" s="13" t="s">
        <v>1138</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milscm_2023_009.sny_202310_backup_merge_receiptc_si.comment_code1 IS 'コメントコード1';</v>
      </c>
    </row>
    <row r="31" spans="2:45" s="25" customFormat="1">
      <c r="B31" s="21">
        <f t="shared" si="2"/>
        <v>19</v>
      </c>
      <c r="C31" s="13" t="s">
        <v>1139</v>
      </c>
      <c r="D31" s="13" t="s">
        <v>1140</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milscm_2023_009.sny_202310_backup_merge_receiptc_si.comment_data1 IS '文字データ1';</v>
      </c>
    </row>
    <row r="32" spans="2:45" s="25" customFormat="1">
      <c r="B32" s="21">
        <f t="shared" si="2"/>
        <v>20</v>
      </c>
      <c r="C32" s="13" t="s">
        <v>1141</v>
      </c>
      <c r="D32" s="13" t="s">
        <v>1142</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milscm_2023_009.sny_202310_backup_merge_receiptc_si.comment_code2 IS 'コメントコード2';</v>
      </c>
    </row>
    <row r="33" spans="1:52" s="25" customFormat="1">
      <c r="B33" s="21">
        <f t="shared" si="2"/>
        <v>21</v>
      </c>
      <c r="C33" s="13" t="s">
        <v>1143</v>
      </c>
      <c r="D33" s="13" t="s">
        <v>1144</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milscm_2023_009.sny_202310_backup_merge_receiptc_si.comment_data2 IS '文字データ2';</v>
      </c>
    </row>
    <row r="34" spans="1:52" s="25" customFormat="1">
      <c r="B34" s="21">
        <f t="shared" si="2"/>
        <v>22</v>
      </c>
      <c r="C34" s="13" t="s">
        <v>1145</v>
      </c>
      <c r="D34" s="13" t="s">
        <v>1146</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milscm_2023_009.sny_202310_backup_merge_receiptc_si.comment_code3 IS 'コメントコード3';</v>
      </c>
    </row>
    <row r="35" spans="1:52" s="25" customFormat="1" ht="18" thickBot="1">
      <c r="A35" s="4"/>
      <c r="B35" s="27">
        <f>ROW()-12</f>
        <v>23</v>
      </c>
      <c r="C35" s="57" t="s">
        <v>1147</v>
      </c>
      <c r="D35" s="57" t="s">
        <v>1148</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milscm_2023_009.sny_202310_backup_merge_receiptc_si.comment_data3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ENT_01_C2-08</v>
      </c>
      <c r="E6" s="234"/>
      <c r="F6" s="234"/>
      <c r="G6" s="234"/>
      <c r="H6" s="234"/>
      <c r="I6" s="234"/>
      <c r="J6" s="235"/>
    </row>
    <row r="7" spans="1:45">
      <c r="B7" s="223" t="s">
        <v>115</v>
      </c>
      <c r="C7" s="224"/>
      <c r="D7" s="225" t="s">
        <v>1152</v>
      </c>
      <c r="E7" s="226"/>
      <c r="F7" s="226"/>
      <c r="G7" s="226"/>
      <c r="H7" s="226"/>
      <c r="I7" s="226"/>
      <c r="J7" s="227"/>
    </row>
    <row r="8" spans="1:45">
      <c r="B8" s="223" t="s">
        <v>116</v>
      </c>
      <c r="C8" s="224"/>
      <c r="D8" s="225" t="str">
        <f>エンティティ一覧!AE2&amp;"_"&amp;D5&amp;"_merge_receiptc_si_day"</f>
        <v>sny_202310_backup_merge_receiptc_si_day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milscm_2023_009.sny_202310_backup_merge_receiptc_si_day;</v>
      </c>
      <c r="O10" s="76"/>
      <c r="P10" s="76"/>
      <c r="Q10" s="76"/>
      <c r="R10" s="76"/>
      <c r="S10" s="76"/>
      <c r="T10" s="76"/>
      <c r="AJ10" s="76" t="str">
        <f>"ALTER TABLE ONLY "&amp;エンティティ一覧!$O$2&amp;"."&amp;D$8</f>
        <v>ALTER TABLE ONLY milscm_2023_009.sny_202310_backup_merge_receiptc_si_day</v>
      </c>
      <c r="AS10" s="76" t="str">
        <f>"ALTER TABLE "&amp;エンティティ一覧!$O$2&amp;"."&amp;D$8&amp;" OWNER TO pgmisgrp1;"</f>
        <v>ALTER TABLE milscm_2023_009.sny_202310_backup_merge_receiptc_si_day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milscm_2023_009.sny_202310_backup_merge_receiptc_si_day</v>
      </c>
      <c r="O11" s="76"/>
      <c r="P11" s="76"/>
      <c r="Q11" s="76"/>
      <c r="R11" s="76"/>
      <c r="S11" s="76"/>
      <c r="T11" s="76"/>
      <c r="AJ11" s="76" t="str">
        <f>"ADD CONSTRAINT "&amp;D$8&amp;"_pkey PRIMARY KEY"</f>
        <v>ADD CONSTRAINT sny_202310_backup_merge_receiptc_si_day_pkey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milscm_2023_009.sny_202310_backup_merge_receiptc_si_day IS 'バックアップ_医科レセプト_診療行為レコード_算定日情報';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milscm_2023_009.sny_202310_backup_merge_receiptc_si_day.torikomi_ym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milscm_2023_009.sny_202310_backup_merge_receiptc_si_day.mil_karute_id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milscm_2023_009.sny_202310_backup_merge_receiptc_si_day.facility_id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milscm_2023_009.sny_202310_backup_merge_receiptc_si_day.seikyu_ym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milscm_2023_009.sny_202310_backup_merge_receiptc_si_day.shinryo_ym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milscm_2023_009.sny_202310_backup_merge_receiptc_si_day.data_type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milscm_2023_009.sny_202310_backup_merge_receiptc_si_day.shinsa_kikan IS '審査支払機関';</v>
      </c>
    </row>
    <row r="20" spans="1:52"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milscm_2023_009.sny_202310_backup_merge_receiptc_si_day.record_shikibetsu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milscm_2023_009.sny_202310_backup_merge_receiptc_si_day.receipt_no IS 'レセプト番号';</v>
      </c>
    </row>
    <row r="22" spans="1:52"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milscm_2023_009.sny_202310_backup_merge_receiptc_si_day.gyo_no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milscm_2023_009.sny_202310_backup_merge_receiptc_si_day.karute_no IS 'カルテ番号等';</v>
      </c>
    </row>
    <row r="24" spans="1:52" s="25" customFormat="1">
      <c r="B24" s="21">
        <f t="shared" si="2"/>
        <v>12</v>
      </c>
      <c r="C24" s="13" t="s">
        <v>1153</v>
      </c>
      <c r="D24" s="13" t="s">
        <v>1154</v>
      </c>
      <c r="E24" s="7" t="s">
        <v>127</v>
      </c>
      <c r="F24" s="7" t="s">
        <v>865</v>
      </c>
      <c r="G24" s="7" t="str">
        <f t="shared" si="3"/>
        <v>text</v>
      </c>
      <c r="H24" s="58"/>
      <c r="I24" s="23" t="s">
        <v>127</v>
      </c>
      <c r="J24" s="24" t="s">
        <v>1156</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milscm_2023_009.sny_202310_backup_merge_receiptc_si_day.santei_ymd IS '算定日';</v>
      </c>
    </row>
    <row r="25" spans="1:52" s="25" customFormat="1" ht="18" thickBot="1">
      <c r="A25" s="4"/>
      <c r="B25" s="27">
        <f>ROW()-12</f>
        <v>13</v>
      </c>
      <c r="C25" s="57" t="s">
        <v>1155</v>
      </c>
      <c r="D25" s="57" t="s">
        <v>1136</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milscm_2023_009.sny_202310_backup_merge_receiptc_si_day.times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ENT_01_C2-09</v>
      </c>
      <c r="E6" s="234"/>
      <c r="F6" s="234"/>
      <c r="G6" s="234"/>
      <c r="H6" s="234"/>
      <c r="I6" s="234"/>
      <c r="J6" s="235"/>
    </row>
    <row r="7" spans="1:45">
      <c r="B7" s="223" t="s">
        <v>115</v>
      </c>
      <c r="C7" s="224"/>
      <c r="D7" s="225" t="s">
        <v>1160</v>
      </c>
      <c r="E7" s="226"/>
      <c r="F7" s="226"/>
      <c r="G7" s="226"/>
      <c r="H7" s="226"/>
      <c r="I7" s="226"/>
      <c r="J7" s="227"/>
    </row>
    <row r="8" spans="1:45">
      <c r="B8" s="223" t="s">
        <v>116</v>
      </c>
      <c r="C8" s="224"/>
      <c r="D8" s="225" t="str">
        <f>エンティティ一覧!AE2&amp;"_"&amp;D5&amp;"_merge_receiptc_iy"</f>
        <v>sny_202310_backup_merge_receiptc_iy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milscm_2023_009.sny_202310_backup_merge_receiptc_iy;</v>
      </c>
      <c r="O10" s="76"/>
      <c r="P10" s="76"/>
      <c r="Q10" s="76"/>
      <c r="R10" s="76"/>
      <c r="S10" s="76"/>
      <c r="T10" s="76"/>
      <c r="AJ10" s="76" t="str">
        <f>"ALTER TABLE ONLY "&amp;エンティティ一覧!$O$2&amp;"."&amp;D$8</f>
        <v>ALTER TABLE ONLY milscm_2023_009.sny_202310_backup_merge_receiptc_iy</v>
      </c>
      <c r="AS10" s="76" t="str">
        <f>"ALTER TABLE "&amp;エンティティ一覧!$O$2&amp;"."&amp;D$8&amp;" OWNER TO pgmisgrp1;"</f>
        <v>ALTER TABLE milscm_2023_009.sny_202310_backup_merge_receiptc_iy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milscm_2023_009.sny_202310_backup_merge_receiptc_iy</v>
      </c>
      <c r="O11" s="76"/>
      <c r="P11" s="76"/>
      <c r="Q11" s="76"/>
      <c r="R11" s="76"/>
      <c r="S11" s="76"/>
      <c r="T11" s="76"/>
      <c r="AJ11" s="76" t="str">
        <f>"ADD CONSTRAINT "&amp;D$8&amp;"_pkey PRIMARY KEY"</f>
        <v>ADD CONSTRAINT sny_202310_backup_merge_receiptc_iy_pkey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 IS 'バックアップ_医科レセプト_医薬品レコード';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5" si="0">UPPER(G13)</f>
        <v>TEXT</v>
      </c>
      <c r="R13" s="76" t="str">
        <f t="shared" ref="R13:R3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milscm_2023_009.sny_202310_backup_merge_receiptc_iy.torikomi_ym IS '取込年月';</v>
      </c>
    </row>
    <row r="14" spans="1:45" s="25" customFormat="1">
      <c r="A14" s="4"/>
      <c r="B14" s="21">
        <f t="shared" ref="B14:B34" si="2">ROW()-12</f>
        <v>2</v>
      </c>
      <c r="C14" s="6" t="s">
        <v>202</v>
      </c>
      <c r="D14" s="6" t="s">
        <v>203</v>
      </c>
      <c r="E14" s="8"/>
      <c r="F14" s="7" t="s">
        <v>204</v>
      </c>
      <c r="G14" s="7" t="str">
        <f t="shared" ref="G14:G35" si="3">IF(F14="フラグ","boolean",IF(F14="文字列","text",IF(F14="整数","integer",IF(F14="実数","numeric",""))))</f>
        <v>integer</v>
      </c>
      <c r="H14" s="26"/>
      <c r="I14" s="10"/>
      <c r="J14" s="11" t="s">
        <v>257</v>
      </c>
      <c r="M14" s="4"/>
      <c r="N14" s="76"/>
      <c r="O14" s="76"/>
      <c r="P14" s="76" t="str">
        <f t="shared" ref="P14:P3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35" si="5">IF(I16="○","NOT NULL","")</f>
        <v>NOT NULL</v>
      </c>
      <c r="T16" s="76" t="str">
        <f t="shared" ref="T16:T3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milscm_2023_009.sny_202310_backup_merge_receiptc_iy.shinsa_kikan IS '審査支払機関';</v>
      </c>
    </row>
    <row r="20" spans="2:45" s="25" customFormat="1">
      <c r="B20" s="21">
        <f t="shared" si="2"/>
        <v>8</v>
      </c>
      <c r="C20" s="13" t="s">
        <v>912</v>
      </c>
      <c r="D20" s="13" t="s">
        <v>913</v>
      </c>
      <c r="E20" s="7"/>
      <c r="F20" s="7" t="s">
        <v>865</v>
      </c>
      <c r="G20" s="7" t="str">
        <f t="shared" si="3"/>
        <v>text</v>
      </c>
      <c r="H20" s="58" t="s">
        <v>1165</v>
      </c>
      <c r="I20" s="23" t="s">
        <v>127</v>
      </c>
      <c r="J20" s="24" t="s">
        <v>1166</v>
      </c>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milscm_2023_009.sny_202310_backup_merge_receiptc_iy.receipt_no IS 'レセプト番号';</v>
      </c>
    </row>
    <row r="22" spans="2:45"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milscm_2023_009.sny_202310_backup_merge_receiptc_iy.karute_no IS 'カルテ番号等';</v>
      </c>
    </row>
    <row r="24" spans="2:45" s="25" customFormat="1">
      <c r="B24" s="21">
        <f t="shared" si="2"/>
        <v>12</v>
      </c>
      <c r="C24" s="13" t="s">
        <v>1125</v>
      </c>
      <c r="D24" s="13" t="s">
        <v>1126</v>
      </c>
      <c r="E24" s="7"/>
      <c r="F24" s="7" t="s">
        <v>865</v>
      </c>
      <c r="G24" s="7" t="str">
        <f t="shared" si="3"/>
        <v>text</v>
      </c>
      <c r="H24" s="58"/>
      <c r="I24" s="23"/>
      <c r="J24" s="24"/>
      <c r="N24" s="76"/>
      <c r="O24" s="76"/>
      <c r="P24" s="76" t="str">
        <f t="shared" si="4"/>
        <v>,shinryo_shikibetsu</v>
      </c>
      <c r="Q24" s="76" t="str">
        <f t="shared" si="0"/>
        <v>TEXT</v>
      </c>
      <c r="R24" s="76" t="str">
        <f t="shared" si="1"/>
        <v/>
      </c>
      <c r="S24" s="76" t="str">
        <f t="shared" si="5"/>
        <v/>
      </c>
      <c r="T24" s="76" t="str">
        <f t="shared" si="6"/>
        <v>-- 診療識別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milscm_2023_009.sny_202310_backup_merge_receiptc_iy.shinryo_shikibetsu IS '診療識別';</v>
      </c>
    </row>
    <row r="25" spans="2:45" s="25" customFormat="1">
      <c r="B25" s="21">
        <f t="shared" si="2"/>
        <v>13</v>
      </c>
      <c r="C25" s="13" t="s">
        <v>1127</v>
      </c>
      <c r="D25" s="13" t="s">
        <v>1128</v>
      </c>
      <c r="E25" s="7"/>
      <c r="F25" s="7" t="s">
        <v>865</v>
      </c>
      <c r="G25" s="7" t="str">
        <f t="shared" si="3"/>
        <v>text</v>
      </c>
      <c r="H25" s="58"/>
      <c r="I25" s="23"/>
      <c r="J25" s="24"/>
      <c r="N25" s="76"/>
      <c r="O25" s="76"/>
      <c r="P25" s="76" t="str">
        <f t="shared" si="4"/>
        <v>,futan_kubun</v>
      </c>
      <c r="Q25" s="76" t="str">
        <f t="shared" si="0"/>
        <v>TEXT</v>
      </c>
      <c r="R25" s="76" t="str">
        <f t="shared" si="1"/>
        <v/>
      </c>
      <c r="S25" s="76" t="str">
        <f t="shared" si="5"/>
        <v/>
      </c>
      <c r="T25" s="76" t="str">
        <f t="shared" si="6"/>
        <v>-- 負担区分</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milscm_2023_009.sny_202310_backup_merge_receiptc_iy.futan_kubun IS '負担区分';</v>
      </c>
    </row>
    <row r="26" spans="2:45" s="25" customFormat="1">
      <c r="B26" s="21">
        <f t="shared" si="2"/>
        <v>14</v>
      </c>
      <c r="C26" s="13" t="s">
        <v>1161</v>
      </c>
      <c r="D26" s="13" t="s">
        <v>1162</v>
      </c>
      <c r="E26" s="7"/>
      <c r="F26" s="7" t="s">
        <v>865</v>
      </c>
      <c r="G26" s="7" t="str">
        <f t="shared" si="3"/>
        <v>text</v>
      </c>
      <c r="H26" s="58"/>
      <c r="I26" s="23"/>
      <c r="J26" s="24"/>
      <c r="N26" s="76"/>
      <c r="O26" s="76"/>
      <c r="P26" s="76" t="str">
        <f t="shared" si="4"/>
        <v>,iyakuhin_code</v>
      </c>
      <c r="Q26" s="76" t="str">
        <f t="shared" si="0"/>
        <v>TEXT</v>
      </c>
      <c r="R26" s="76" t="str">
        <f t="shared" si="1"/>
        <v/>
      </c>
      <c r="S26" s="76" t="str">
        <f t="shared" si="5"/>
        <v/>
      </c>
      <c r="T26" s="76" t="str">
        <f t="shared" si="6"/>
        <v>-- 医薬品コード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6"/>
      <c r="O27" s="76"/>
      <c r="P27" s="76" t="str">
        <f t="shared" si="4"/>
        <v>,shiyoryo</v>
      </c>
      <c r="Q27" s="76" t="str">
        <f t="shared" si="0"/>
        <v>NUMERIC</v>
      </c>
      <c r="R27" s="76" t="str">
        <f t="shared" si="1"/>
        <v/>
      </c>
      <c r="S27" s="76" t="str">
        <f t="shared" si="5"/>
        <v/>
      </c>
      <c r="T27" s="76" t="str">
        <f t="shared" si="6"/>
        <v>-- 使用量</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milscm_2023_009.sny_202310_backup_merge_receiptc_iy.shiyoryo IS '使用量';</v>
      </c>
    </row>
    <row r="28" spans="2:45" s="25" customFormat="1">
      <c r="B28" s="21">
        <f t="shared" si="2"/>
        <v>16</v>
      </c>
      <c r="C28" s="13" t="s">
        <v>1133</v>
      </c>
      <c r="D28" s="13" t="s">
        <v>1134</v>
      </c>
      <c r="E28" s="7"/>
      <c r="F28" s="7" t="s">
        <v>204</v>
      </c>
      <c r="G28" s="7" t="str">
        <f t="shared" si="3"/>
        <v>integer</v>
      </c>
      <c r="H28" s="58"/>
      <c r="I28" s="23"/>
      <c r="J28" s="24"/>
      <c r="N28" s="76"/>
      <c r="O28" s="76"/>
      <c r="P28" s="76" t="str">
        <f t="shared" si="4"/>
        <v>,tensu</v>
      </c>
      <c r="Q28" s="76" t="str">
        <f t="shared" si="0"/>
        <v>INTEGER</v>
      </c>
      <c r="R28" s="76" t="str">
        <f t="shared" si="1"/>
        <v/>
      </c>
      <c r="S28" s="76" t="str">
        <f t="shared" si="5"/>
        <v/>
      </c>
      <c r="T28" s="76" t="str">
        <f t="shared" si="6"/>
        <v>-- 点数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milscm_2023_009.sny_202310_backup_merge_receiptc_iy.tensu IS '点数';</v>
      </c>
    </row>
    <row r="29" spans="2:45" s="25" customFormat="1">
      <c r="B29" s="21">
        <f t="shared" si="2"/>
        <v>17</v>
      </c>
      <c r="C29" s="13" t="s">
        <v>1135</v>
      </c>
      <c r="D29" s="13" t="s">
        <v>1136</v>
      </c>
      <c r="E29" s="7"/>
      <c r="F29" s="7" t="s">
        <v>204</v>
      </c>
      <c r="G29" s="7" t="str">
        <f t="shared" si="3"/>
        <v>integer</v>
      </c>
      <c r="H29" s="58"/>
      <c r="I29" s="23"/>
      <c r="J29" s="24"/>
      <c r="N29" s="76"/>
      <c r="O29" s="76"/>
      <c r="P29" s="76" t="str">
        <f t="shared" si="4"/>
        <v>,times</v>
      </c>
      <c r="Q29" s="76" t="str">
        <f t="shared" si="0"/>
        <v>INTEGER</v>
      </c>
      <c r="R29" s="76" t="str">
        <f t="shared" si="1"/>
        <v/>
      </c>
      <c r="S29" s="76" t="str">
        <f t="shared" si="5"/>
        <v/>
      </c>
      <c r="T29" s="76" t="str">
        <f t="shared" si="6"/>
        <v>-- 回数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milscm_2023_009.sny_202310_backup_merge_receiptc_iy.times IS '回数';</v>
      </c>
    </row>
    <row r="30" spans="2:45" s="25" customFormat="1">
      <c r="B30" s="21">
        <f t="shared" si="2"/>
        <v>18</v>
      </c>
      <c r="C30" s="13" t="s">
        <v>1137</v>
      </c>
      <c r="D30" s="13" t="s">
        <v>1138</v>
      </c>
      <c r="E30" s="7"/>
      <c r="F30" s="7" t="s">
        <v>865</v>
      </c>
      <c r="G30" s="7" t="str">
        <f t="shared" si="3"/>
        <v>text</v>
      </c>
      <c r="H30" s="58"/>
      <c r="I30" s="23"/>
      <c r="J30" s="24"/>
      <c r="N30" s="76"/>
      <c r="O30" s="76"/>
      <c r="P30" s="76" t="str">
        <f t="shared" si="4"/>
        <v>,comment_code1</v>
      </c>
      <c r="Q30" s="76" t="str">
        <f t="shared" si="0"/>
        <v>TEXT</v>
      </c>
      <c r="R30" s="76" t="str">
        <f t="shared" si="1"/>
        <v/>
      </c>
      <c r="S30" s="76" t="str">
        <f t="shared" si="5"/>
        <v/>
      </c>
      <c r="T30" s="76" t="str">
        <f t="shared" si="6"/>
        <v>-- コメントコード1</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milscm_2023_009.sny_202310_backup_merge_receiptc_iy.comment_code1 IS 'コメントコード1';</v>
      </c>
    </row>
    <row r="31" spans="2:45" s="25" customFormat="1">
      <c r="B31" s="21">
        <f t="shared" si="2"/>
        <v>19</v>
      </c>
      <c r="C31" s="13" t="s">
        <v>1139</v>
      </c>
      <c r="D31" s="13" t="s">
        <v>1140</v>
      </c>
      <c r="E31" s="7"/>
      <c r="F31" s="7" t="s">
        <v>865</v>
      </c>
      <c r="G31" s="7" t="str">
        <f t="shared" si="3"/>
        <v>text</v>
      </c>
      <c r="H31" s="58"/>
      <c r="I31" s="23"/>
      <c r="J31" s="24"/>
      <c r="N31" s="76"/>
      <c r="O31" s="76"/>
      <c r="P31" s="76" t="str">
        <f t="shared" si="4"/>
        <v>,comment_data1</v>
      </c>
      <c r="Q31" s="76" t="str">
        <f t="shared" si="0"/>
        <v>TEXT</v>
      </c>
      <c r="R31" s="76" t="str">
        <f t="shared" si="1"/>
        <v/>
      </c>
      <c r="S31" s="76" t="str">
        <f t="shared" si="5"/>
        <v/>
      </c>
      <c r="T31" s="76" t="str">
        <f t="shared" si="6"/>
        <v>-- 文字データ1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milscm_2023_009.sny_202310_backup_merge_receiptc_iy.comment_data1 IS '文字データ1';</v>
      </c>
    </row>
    <row r="32" spans="2:45" s="25" customFormat="1">
      <c r="B32" s="21">
        <f t="shared" si="2"/>
        <v>20</v>
      </c>
      <c r="C32" s="13" t="s">
        <v>1141</v>
      </c>
      <c r="D32" s="13" t="s">
        <v>1142</v>
      </c>
      <c r="E32" s="7"/>
      <c r="F32" s="7" t="s">
        <v>865</v>
      </c>
      <c r="G32" s="7" t="str">
        <f t="shared" si="3"/>
        <v>text</v>
      </c>
      <c r="H32" s="58"/>
      <c r="I32" s="23"/>
      <c r="J32" s="24"/>
      <c r="N32" s="76"/>
      <c r="O32" s="76"/>
      <c r="P32" s="76" t="str">
        <f t="shared" si="4"/>
        <v>,comment_code2</v>
      </c>
      <c r="Q32" s="76" t="str">
        <f t="shared" si="0"/>
        <v>TEXT</v>
      </c>
      <c r="R32" s="76" t="str">
        <f t="shared" si="1"/>
        <v/>
      </c>
      <c r="S32" s="76" t="str">
        <f t="shared" si="5"/>
        <v/>
      </c>
      <c r="T32" s="76" t="str">
        <f t="shared" si="6"/>
        <v>-- コメントコード2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milscm_2023_009.sny_202310_backup_merge_receiptc_iy.comment_code2 IS 'コメントコード2';</v>
      </c>
    </row>
    <row r="33" spans="1:52" s="25" customFormat="1">
      <c r="B33" s="21">
        <f t="shared" si="2"/>
        <v>21</v>
      </c>
      <c r="C33" s="13" t="s">
        <v>1143</v>
      </c>
      <c r="D33" s="13" t="s">
        <v>1144</v>
      </c>
      <c r="E33" s="7"/>
      <c r="F33" s="7" t="s">
        <v>865</v>
      </c>
      <c r="G33" s="7" t="str">
        <f t="shared" si="3"/>
        <v>text</v>
      </c>
      <c r="H33" s="58"/>
      <c r="I33" s="23"/>
      <c r="J33" s="24"/>
      <c r="N33" s="76"/>
      <c r="O33" s="76"/>
      <c r="P33" s="76" t="str">
        <f t="shared" si="4"/>
        <v>,comment_data2</v>
      </c>
      <c r="Q33" s="76" t="str">
        <f t="shared" si="0"/>
        <v>TEXT</v>
      </c>
      <c r="R33" s="76" t="str">
        <f t="shared" si="1"/>
        <v/>
      </c>
      <c r="S33" s="76" t="str">
        <f t="shared" si="5"/>
        <v/>
      </c>
      <c r="T33" s="76" t="str">
        <f t="shared" si="6"/>
        <v>-- 文字データ2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milscm_2023_009.sny_202310_backup_merge_receiptc_iy.comment_data2 IS '文字データ2';</v>
      </c>
    </row>
    <row r="34" spans="1:52" s="25" customFormat="1">
      <c r="B34" s="21">
        <f t="shared" si="2"/>
        <v>22</v>
      </c>
      <c r="C34" s="13" t="s">
        <v>1145</v>
      </c>
      <c r="D34" s="13" t="s">
        <v>1146</v>
      </c>
      <c r="E34" s="7"/>
      <c r="F34" s="7" t="s">
        <v>865</v>
      </c>
      <c r="G34" s="7" t="str">
        <f t="shared" si="3"/>
        <v>text</v>
      </c>
      <c r="H34" s="58"/>
      <c r="I34" s="23"/>
      <c r="J34" s="24"/>
      <c r="N34" s="76"/>
      <c r="O34" s="76"/>
      <c r="P34" s="76" t="str">
        <f t="shared" si="4"/>
        <v>,comment_code3</v>
      </c>
      <c r="Q34" s="76" t="str">
        <f t="shared" si="0"/>
        <v>TEXT</v>
      </c>
      <c r="R34" s="76" t="str">
        <f t="shared" si="1"/>
        <v/>
      </c>
      <c r="S34" s="76" t="str">
        <f t="shared" si="5"/>
        <v/>
      </c>
      <c r="T34" s="76" t="str">
        <f t="shared" si="6"/>
        <v>-- コメントコード3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milscm_2023_009.sny_202310_backup_merge_receiptc_iy.comment_code3 IS 'コメントコード3';</v>
      </c>
    </row>
    <row r="35" spans="1:52" s="25" customFormat="1" ht="18" thickBot="1">
      <c r="A35" s="4"/>
      <c r="B35" s="27">
        <f>ROW()-12</f>
        <v>23</v>
      </c>
      <c r="C35" s="57" t="s">
        <v>1147</v>
      </c>
      <c r="D35" s="57" t="s">
        <v>1148</v>
      </c>
      <c r="E35" s="56"/>
      <c r="F35" s="56" t="s">
        <v>865</v>
      </c>
      <c r="G35" s="56" t="str">
        <f t="shared" si="3"/>
        <v>text</v>
      </c>
      <c r="H35" s="59"/>
      <c r="I35" s="60"/>
      <c r="J35" s="64"/>
      <c r="N35" s="76"/>
      <c r="O35" s="76"/>
      <c r="P35" s="76" t="str">
        <f t="shared" si="4"/>
        <v>,comment_data3</v>
      </c>
      <c r="Q35" s="76" t="str">
        <f t="shared" si="0"/>
        <v>TEXT</v>
      </c>
      <c r="R35" s="76" t="str">
        <f t="shared" si="1"/>
        <v/>
      </c>
      <c r="S35" s="76" t="str">
        <f t="shared" si="5"/>
        <v/>
      </c>
      <c r="T35" s="76" t="str">
        <f t="shared" si="6"/>
        <v>-- 文字データ3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milscm_2023_009.sny_202310_backup_merge_receiptc_iy.comment_data3 IS '文字データ3';</v>
      </c>
    </row>
    <row r="36" spans="1:52">
      <c r="L36" s="25"/>
      <c r="M36" s="25"/>
      <c r="N36" s="76" t="s">
        <v>142</v>
      </c>
      <c r="O36" s="76"/>
      <c r="P36" s="76"/>
      <c r="Q36" s="76"/>
      <c r="R36" s="76"/>
      <c r="S36" s="76"/>
      <c r="T36" s="76"/>
      <c r="V36" s="25"/>
      <c r="W36" s="25"/>
      <c r="X36" s="25"/>
      <c r="Y36" s="25"/>
      <c r="Z36" s="25"/>
      <c r="AJ36" s="76"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ENT_01_C2-10</v>
      </c>
      <c r="E6" s="234"/>
      <c r="F6" s="234"/>
      <c r="G6" s="234"/>
      <c r="H6" s="234"/>
      <c r="I6" s="234"/>
      <c r="J6" s="235"/>
    </row>
    <row r="7" spans="1:45">
      <c r="B7" s="223" t="s">
        <v>115</v>
      </c>
      <c r="C7" s="224"/>
      <c r="D7" s="225" t="s">
        <v>1168</v>
      </c>
      <c r="E7" s="226"/>
      <c r="F7" s="226"/>
      <c r="G7" s="226"/>
      <c r="H7" s="226"/>
      <c r="I7" s="226"/>
      <c r="J7" s="227"/>
    </row>
    <row r="8" spans="1:45">
      <c r="B8" s="223" t="s">
        <v>116</v>
      </c>
      <c r="C8" s="224"/>
      <c r="D8" s="225" t="str">
        <f>エンティティ一覧!AE2&amp;"_"&amp;D5&amp;"_merge_receiptc_iy_day"</f>
        <v>sny_202310_backup_merge_receiptc_iy_day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milscm_2023_009.sny_202310_backup_merge_receiptc_iy_day;</v>
      </c>
      <c r="O10" s="76"/>
      <c r="P10" s="76"/>
      <c r="Q10" s="76"/>
      <c r="R10" s="76"/>
      <c r="S10" s="76"/>
      <c r="T10" s="76"/>
      <c r="AJ10" s="76" t="str">
        <f>"ALTER TABLE ONLY "&amp;エンティティ一覧!$O$2&amp;"."&amp;D$8</f>
        <v>ALTER TABLE ONLY milscm_2023_009.sny_202310_backup_merge_receiptc_iy_day</v>
      </c>
      <c r="AS10" s="76" t="str">
        <f>"ALTER TABLE "&amp;エンティティ一覧!$O$2&amp;"."&amp;D$8&amp;" OWNER TO pgmisgrp1;"</f>
        <v>ALTER TABLE milscm_2023_009.sny_202310_backup_merge_receiptc_iy_day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milscm_2023_009.sny_202310_backup_merge_receiptc_iy_day</v>
      </c>
      <c r="O11" s="76"/>
      <c r="P11" s="76"/>
      <c r="Q11" s="76"/>
      <c r="R11" s="76"/>
      <c r="S11" s="76"/>
      <c r="T11" s="76"/>
      <c r="AJ11" s="76" t="str">
        <f>"ADD CONSTRAINT "&amp;D$8&amp;"_pkey PRIMARY KEY"</f>
        <v>ADD CONSTRAINT sny_202310_backup_merge_receiptc_iy_day_pkey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milscm_2023_009.sny_202310_backup_merge_receiptc_iy_day IS 'バックアップ_医科レセプト_医薬品レコード_算定日情報';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milscm_2023_009.sny_202310_backup_merge_receiptc_iy_day.torikomi_ym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257</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milscm_2023_009.sny_202310_backup_merge_receiptc_iy_day.mil_karute_id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milscm_2023_009.sny_202310_backup_merge_receiptc_iy_day.facility_id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5" si="5">IF(I16="○","NOT NULL","")</f>
        <v>NOT NULL</v>
      </c>
      <c r="T16" s="76" t="str">
        <f t="shared" ref="T16:T25"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milscm_2023_009.sny_202310_backup_merge_receiptc_iy_day.seikyu_ym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milscm_2023_009.sny_202310_backup_merge_receiptc_iy_day.shinryo_ym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milscm_2023_009.sny_202310_backup_merge_receiptc_iy_day.data_type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milscm_2023_009.sny_202310_backup_merge_receiptc_iy_day.shinsa_kikan IS '審査支払機関';</v>
      </c>
    </row>
    <row r="20" spans="1:52" s="25" customFormat="1">
      <c r="B20" s="21">
        <f t="shared" si="2"/>
        <v>8</v>
      </c>
      <c r="C20" s="13" t="s">
        <v>912</v>
      </c>
      <c r="D20" s="13" t="s">
        <v>913</v>
      </c>
      <c r="E20" s="7"/>
      <c r="F20" s="7" t="s">
        <v>865</v>
      </c>
      <c r="G20" s="7" t="str">
        <f t="shared" si="3"/>
        <v>text</v>
      </c>
      <c r="H20" s="58" t="s">
        <v>1149</v>
      </c>
      <c r="I20" s="23" t="s">
        <v>127</v>
      </c>
      <c r="J20" s="24" t="s">
        <v>1150</v>
      </c>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milscm_2023_009.sny_202310_backup_merge_receiptc_iy_day.record_shikibetsu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milscm_2023_009.sny_202310_backup_merge_receiptc_iy_day.receipt_no IS 'レセプト番号';</v>
      </c>
    </row>
    <row r="22" spans="1:52"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milscm_2023_009.sny_202310_backup_merge_receiptc_iy_day.gyo_no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milscm_2023_009.sny_202310_backup_merge_receiptc_iy_day.karute_no IS 'カルテ番号等';</v>
      </c>
    </row>
    <row r="24" spans="1:52" s="25" customFormat="1">
      <c r="B24" s="21">
        <f t="shared" si="2"/>
        <v>12</v>
      </c>
      <c r="C24" s="13" t="s">
        <v>1153</v>
      </c>
      <c r="D24" s="13" t="s">
        <v>1154</v>
      </c>
      <c r="E24" s="7" t="s">
        <v>127</v>
      </c>
      <c r="F24" s="7" t="s">
        <v>865</v>
      </c>
      <c r="G24" s="7" t="str">
        <f t="shared" si="3"/>
        <v>text</v>
      </c>
      <c r="H24" s="58"/>
      <c r="I24" s="23" t="s">
        <v>127</v>
      </c>
      <c r="J24" s="24" t="s">
        <v>1156</v>
      </c>
      <c r="N24" s="76"/>
      <c r="O24" s="76"/>
      <c r="P24" s="76" t="str">
        <f t="shared" si="4"/>
        <v>,santei_ymd</v>
      </c>
      <c r="Q24" s="76" t="str">
        <f t="shared" si="0"/>
        <v>TEXT</v>
      </c>
      <c r="R24" s="76" t="str">
        <f t="shared" si="1"/>
        <v/>
      </c>
      <c r="S24" s="76" t="str">
        <f t="shared" si="5"/>
        <v>NOT NULL</v>
      </c>
      <c r="T24" s="76" t="str">
        <f t="shared" si="6"/>
        <v>-- 算定日</v>
      </c>
      <c r="U24" s="4"/>
      <c r="AA24" s="4"/>
      <c r="AB24" s="4"/>
      <c r="AC24" s="4"/>
      <c r="AD24" s="4"/>
      <c r="AE24" s="4"/>
      <c r="AF24" s="4"/>
      <c r="AG24" s="4"/>
      <c r="AH24" s="4"/>
      <c r="AI24" s="4"/>
      <c r="AJ24" s="76" t="str">
        <f>IF(E24="○",IF(COUNTA(E$13:E24)=1,"",",")&amp;D24,"")</f>
        <v>,santei_ymd</v>
      </c>
      <c r="AK24" s="4"/>
      <c r="AL24" s="4"/>
      <c r="AM24" s="4"/>
      <c r="AN24" s="4"/>
      <c r="AO24" s="4"/>
      <c r="AP24" s="4"/>
      <c r="AQ24" s="4"/>
      <c r="AR24" s="4"/>
      <c r="AS24" s="76" t="str">
        <f>"COMMENT ON COLUMN "&amp;エンティティ一覧!$O$2&amp;"."&amp;D$8&amp;"."&amp;D24&amp;" IS '"&amp;C24&amp;"';"</f>
        <v>COMMENT ON COLUMN milscm_2023_009.sny_202310_backup_merge_receiptc_iy_day.santei_ymd IS '算定日';</v>
      </c>
    </row>
    <row r="25" spans="1:52" s="25" customFormat="1" ht="18" thickBot="1">
      <c r="A25" s="4"/>
      <c r="B25" s="27">
        <f>ROW()-12</f>
        <v>13</v>
      </c>
      <c r="C25" s="57" t="s">
        <v>1155</v>
      </c>
      <c r="D25" s="57" t="s">
        <v>1136</v>
      </c>
      <c r="E25" s="56"/>
      <c r="F25" s="56" t="s">
        <v>204</v>
      </c>
      <c r="G25" s="56" t="str">
        <f t="shared" si="3"/>
        <v>integer</v>
      </c>
      <c r="H25" s="59"/>
      <c r="I25" s="60"/>
      <c r="J25" s="64"/>
      <c r="N25" s="76"/>
      <c r="O25" s="76"/>
      <c r="P25" s="76" t="str">
        <f t="shared" si="4"/>
        <v>,times</v>
      </c>
      <c r="Q25" s="76" t="str">
        <f t="shared" si="0"/>
        <v>INTEGER</v>
      </c>
      <c r="R25" s="76" t="str">
        <f t="shared" si="1"/>
        <v/>
      </c>
      <c r="S25" s="76" t="str">
        <f t="shared" si="5"/>
        <v/>
      </c>
      <c r="T25" s="76" t="str">
        <f t="shared" si="6"/>
        <v>-- 回数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milscm_2023_009.sny_202310_backup_merge_receiptc_iy_day.times IS '回数';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ENT_01_C2-16</v>
      </c>
      <c r="E6" s="234"/>
      <c r="F6" s="234"/>
      <c r="G6" s="234"/>
      <c r="H6" s="234"/>
      <c r="I6" s="234"/>
      <c r="J6" s="235"/>
    </row>
    <row r="7" spans="1:45">
      <c r="B7" s="223" t="s">
        <v>115</v>
      </c>
      <c r="C7" s="224"/>
      <c r="D7" s="225" t="s">
        <v>1169</v>
      </c>
      <c r="E7" s="226"/>
      <c r="F7" s="226"/>
      <c r="G7" s="226"/>
      <c r="H7" s="226"/>
      <c r="I7" s="226"/>
      <c r="J7" s="227"/>
    </row>
    <row r="8" spans="1:45">
      <c r="B8" s="223" t="s">
        <v>116</v>
      </c>
      <c r="C8" s="224"/>
      <c r="D8" s="225" t="str">
        <f>エンティティ一覧!AE2&amp;"_"&amp;D5&amp;"_merge_receiptc_tr"</f>
        <v>sny_202310_backup_merge_receiptc_tr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milscm_2023_009.sny_202310_backup_merge_receiptc_tr;</v>
      </c>
      <c r="O10" s="76"/>
      <c r="P10" s="76"/>
      <c r="Q10" s="76"/>
      <c r="R10" s="76"/>
      <c r="S10" s="76"/>
      <c r="T10" s="76"/>
      <c r="AJ10" s="76" t="str">
        <f>"ALTER TABLE ONLY "&amp;エンティティ一覧!$O$2&amp;"."&amp;D$8</f>
        <v>ALTER TABLE ONLY milscm_2023_009.sny_202310_backup_merge_receiptc_tr</v>
      </c>
      <c r="AS10" s="76" t="str">
        <f>"ALTER TABLE "&amp;エンティティ一覧!$O$2&amp;"."&amp;D$8&amp;" OWNER TO pgmisgrp1;"</f>
        <v>ALTER TABLE milscm_2023_009.sny_202310_backup_merge_receiptc_tr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milscm_2023_009.sny_202310_backup_merge_receiptc_tr</v>
      </c>
      <c r="O11" s="76"/>
      <c r="P11" s="76"/>
      <c r="Q11" s="76"/>
      <c r="R11" s="76"/>
      <c r="S11" s="76"/>
      <c r="T11" s="76"/>
      <c r="AJ11" s="76" t="str">
        <f>"ADD CONSTRAINT "&amp;D$8&amp;"_pkey PRIMARY KEY"</f>
        <v>ADD CONSTRAINT sny_202310_backup_merge_receiptc_tr_pkey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milscm_2023_009.sny_202310_backup_merge_receiptc_tr IS 'バックアップ_医科レセプト_臓器提供者レセプト情報レコード';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7" si="0">UPPER(G13)</f>
        <v>TEXT</v>
      </c>
      <c r="R13" s="76" t="str">
        <f t="shared" ref="R13:R4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milscm_2023_009.sny_202310_backup_merge_receiptc_tr.torikomi_ym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4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milscm_2023_009.sny_202310_backup_merge_receiptc_tr.mil_karute_id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milscm_2023_009.sny_202310_backup_merge_receiptc_tr.facility_id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47" si="5">IF(I16="○","NOT NULL","")</f>
        <v>NOT NULL</v>
      </c>
      <c r="T16" s="76" t="str">
        <f t="shared" ref="T16:T47"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milscm_2023_009.sny_202310_backup_merge_receiptc_tr.seikyu_ym IS '請求年月';</v>
      </c>
    </row>
    <row r="17" spans="2:45"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milscm_2023_009.sny_202310_backup_merge_receiptc_tr.shinryo_ym IS '診療年月';</v>
      </c>
    </row>
    <row r="18" spans="2:45"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milscm_2023_009.sny_202310_backup_merge_receiptc_tr.data_type IS 'データ種別';</v>
      </c>
    </row>
    <row r="19" spans="2:45"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milscm_2023_009.sny_202310_backup_merge_receiptc_tr.shinsa_kikan IS '審査支払機関';</v>
      </c>
    </row>
    <row r="20" spans="2:45" s="25" customFormat="1">
      <c r="B20" s="21">
        <f t="shared" si="2"/>
        <v>8</v>
      </c>
      <c r="C20" s="13" t="s">
        <v>912</v>
      </c>
      <c r="D20" s="13" t="s">
        <v>913</v>
      </c>
      <c r="E20" s="7"/>
      <c r="F20" s="7" t="s">
        <v>865</v>
      </c>
      <c r="G20" s="7" t="str">
        <f t="shared" si="3"/>
        <v>text</v>
      </c>
      <c r="H20" s="58" t="s">
        <v>1197</v>
      </c>
      <c r="I20" s="23" t="s">
        <v>127</v>
      </c>
      <c r="J20" s="24" t="s">
        <v>1198</v>
      </c>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milscm_2023_009.sny_202310_backup_merge_receiptc_tr.record_shikibetsu IS 'レコード識別情報';</v>
      </c>
    </row>
    <row r="21" spans="2:45"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milscm_2023_009.sny_202310_backup_merge_receiptc_tr.receipt_no IS 'レセプト番号';</v>
      </c>
    </row>
    <row r="22" spans="2:45" s="25" customFormat="1" ht="34.799999999999997">
      <c r="B22" s="21">
        <f t="shared" si="2"/>
        <v>10</v>
      </c>
      <c r="C22" s="13" t="s">
        <v>916</v>
      </c>
      <c r="D22" s="13" t="s">
        <v>917</v>
      </c>
      <c r="E22" s="7" t="s">
        <v>127</v>
      </c>
      <c r="F22" s="7" t="s">
        <v>204</v>
      </c>
      <c r="G22" s="7" t="str">
        <f t="shared" si="3"/>
        <v>integer</v>
      </c>
      <c r="H22" s="58"/>
      <c r="I22" s="23" t="s">
        <v>127</v>
      </c>
      <c r="J22" s="24" t="s">
        <v>1121</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milscm_2023_009.sny_202310_backup_merge_receiptc_tr.gyo_no IS '行番号';</v>
      </c>
    </row>
    <row r="23" spans="2:45"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milscm_2023_009.sny_202310_backup_merge_receiptc_tr.karute_no IS 'カルテ番号等';</v>
      </c>
    </row>
    <row r="24" spans="2:45" s="25" customFormat="1" ht="30">
      <c r="B24" s="21">
        <f t="shared" si="2"/>
        <v>12</v>
      </c>
      <c r="C24" s="13" t="s">
        <v>1170</v>
      </c>
      <c r="D24" s="13" t="s">
        <v>1171</v>
      </c>
      <c r="E24" s="7"/>
      <c r="F24" s="7" t="s">
        <v>204</v>
      </c>
      <c r="G24" s="7" t="str">
        <f t="shared" si="3"/>
        <v>integer</v>
      </c>
      <c r="H24" s="58"/>
      <c r="I24" s="23"/>
      <c r="J24" s="24"/>
      <c r="N24" s="76"/>
      <c r="O24" s="76"/>
      <c r="P24" s="76" t="str">
        <f t="shared" si="4"/>
        <v>,receipt_no_tr</v>
      </c>
      <c r="Q24" s="76" t="str">
        <f t="shared" si="0"/>
        <v>INTEGER</v>
      </c>
      <c r="R24" s="76" t="str">
        <f t="shared" si="1"/>
        <v/>
      </c>
      <c r="S24" s="76" t="str">
        <f t="shared" si="5"/>
        <v/>
      </c>
      <c r="T24" s="76" t="str">
        <f t="shared" si="6"/>
        <v>-- レセプト番号（臓器提供者レセプト情報）</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milscm_2023_009.sny_202310_backup_merge_receiptc_tr.receipt_no_tr IS 'レセプト番号（臓器提供者レセプト情報）';</v>
      </c>
    </row>
    <row r="25" spans="2:45" s="25" customFormat="1">
      <c r="B25" s="21">
        <f t="shared" si="2"/>
        <v>13</v>
      </c>
      <c r="C25" s="13" t="s">
        <v>1172</v>
      </c>
      <c r="D25" s="13" t="s">
        <v>1173</v>
      </c>
      <c r="E25" s="7"/>
      <c r="F25" s="7" t="s">
        <v>865</v>
      </c>
      <c r="G25" s="7" t="str">
        <f t="shared" si="3"/>
        <v>text</v>
      </c>
      <c r="H25" s="58"/>
      <c r="I25" s="23"/>
      <c r="J25" s="24"/>
      <c r="N25" s="76"/>
      <c r="O25" s="76"/>
      <c r="P25" s="76" t="str">
        <f t="shared" si="4"/>
        <v>,zoki_receipt_type</v>
      </c>
      <c r="Q25" s="76" t="str">
        <f t="shared" si="0"/>
        <v>TEXT</v>
      </c>
      <c r="R25" s="76" t="str">
        <f t="shared" si="1"/>
        <v/>
      </c>
      <c r="S25" s="76" t="str">
        <f t="shared" si="5"/>
        <v/>
      </c>
      <c r="T25" s="76" t="str">
        <f t="shared" si="6"/>
        <v>-- 臓器提供者レセプト種別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milscm_2023_009.sny_202310_backup_merge_receiptc_tr.zoki_receipt_type IS '臓器提供者レセプト種別';</v>
      </c>
    </row>
    <row r="26" spans="2:45" s="25" customFormat="1" ht="52.2">
      <c r="B26" s="21">
        <f t="shared" si="2"/>
        <v>14</v>
      </c>
      <c r="C26" s="13" t="s">
        <v>1174</v>
      </c>
      <c r="D26" s="13" t="s">
        <v>1175</v>
      </c>
      <c r="E26" s="7"/>
      <c r="F26" s="7" t="s">
        <v>865</v>
      </c>
      <c r="G26" s="7" t="str">
        <f t="shared" si="3"/>
        <v>text</v>
      </c>
      <c r="H26" s="58"/>
      <c r="I26" s="23"/>
      <c r="J26" s="24" t="s">
        <v>935</v>
      </c>
      <c r="N26" s="76"/>
      <c r="O26" s="76"/>
      <c r="P26" s="76" t="str">
        <f t="shared" si="4"/>
        <v>,shinryo_ym_tr</v>
      </c>
      <c r="Q26" s="76" t="str">
        <f t="shared" si="0"/>
        <v>TEXT</v>
      </c>
      <c r="R26" s="76" t="str">
        <f t="shared" si="1"/>
        <v/>
      </c>
      <c r="S26" s="76" t="str">
        <f t="shared" si="5"/>
        <v/>
      </c>
      <c r="T26" s="76" t="str">
        <f t="shared" si="6"/>
        <v>-- 診療年月（臓器提供者レセプト情報）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milscm_2023_009.sny_202310_backup_merge_receiptc_tr.shinryo_ym_tr IS '診療年月（臓器提供者レセプト情報）';</v>
      </c>
    </row>
    <row r="27" spans="2:45" s="25" customFormat="1">
      <c r="B27" s="21">
        <f t="shared" si="2"/>
        <v>15</v>
      </c>
      <c r="C27" s="13" t="s">
        <v>926</v>
      </c>
      <c r="D27" s="13" t="s">
        <v>927</v>
      </c>
      <c r="E27" s="7"/>
      <c r="F27" s="7" t="s">
        <v>865</v>
      </c>
      <c r="G27" s="7" t="str">
        <f t="shared" si="3"/>
        <v>text</v>
      </c>
      <c r="H27" s="58"/>
      <c r="I27" s="23"/>
      <c r="J27" s="24"/>
      <c r="N27" s="76"/>
      <c r="O27" s="76"/>
      <c r="P27" s="76" t="str">
        <f t="shared" si="4"/>
        <v>,reserve1</v>
      </c>
      <c r="Q27" s="76" t="str">
        <f t="shared" si="0"/>
        <v>TEXT</v>
      </c>
      <c r="R27" s="76" t="str">
        <f t="shared" si="1"/>
        <v/>
      </c>
      <c r="S27" s="76" t="str">
        <f t="shared" si="5"/>
        <v/>
      </c>
      <c r="T27" s="76" t="str">
        <f t="shared" si="6"/>
        <v>-- 予備1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milscm_2023_009.sny_202310_backup_merge_receiptc_tr.reserve1 IS '予備1';</v>
      </c>
    </row>
    <row r="28" spans="2:45" s="25" customFormat="1">
      <c r="B28" s="21">
        <f t="shared" si="2"/>
        <v>16</v>
      </c>
      <c r="C28" s="13" t="s">
        <v>1176</v>
      </c>
      <c r="D28" s="13" t="s">
        <v>949</v>
      </c>
      <c r="E28" s="7"/>
      <c r="F28" s="7" t="s">
        <v>865</v>
      </c>
      <c r="G28" s="7" t="str">
        <f t="shared" si="3"/>
        <v>text</v>
      </c>
      <c r="H28" s="58"/>
      <c r="I28" s="23"/>
      <c r="J28" s="24" t="s">
        <v>1068</v>
      </c>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milscm_2023_009.sny_202310_backup_merge_receiptc_tr.sex_kubun IS '男女区分';</v>
      </c>
    </row>
    <row r="29" spans="2:45" s="25" customFormat="1" ht="87">
      <c r="B29" s="21">
        <f t="shared" si="2"/>
        <v>17</v>
      </c>
      <c r="C29" s="13" t="s">
        <v>567</v>
      </c>
      <c r="D29" s="13" t="s">
        <v>322</v>
      </c>
      <c r="E29" s="7"/>
      <c r="F29" s="7" t="s">
        <v>865</v>
      </c>
      <c r="G29" s="7" t="str">
        <f t="shared" si="3"/>
        <v>text</v>
      </c>
      <c r="H29" s="58"/>
      <c r="I29" s="23"/>
      <c r="J29" s="24" t="s">
        <v>1199</v>
      </c>
      <c r="N29" s="76"/>
      <c r="O29" s="76"/>
      <c r="P29" s="76" t="str">
        <f t="shared" si="4"/>
        <v>,birthday</v>
      </c>
      <c r="Q29" s="76" t="str">
        <f t="shared" si="0"/>
        <v>TEXT</v>
      </c>
      <c r="R29" s="76" t="str">
        <f t="shared" si="1"/>
        <v/>
      </c>
      <c r="S29" s="76" t="str">
        <f t="shared" si="5"/>
        <v/>
      </c>
      <c r="T29" s="76" t="str">
        <f t="shared" si="6"/>
        <v>-- 生年月日</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milscm_2023_009.sny_202310_backup_merge_receiptc_tr.birthday IS '生年月日';</v>
      </c>
    </row>
    <row r="30" spans="2:45" s="25" customFormat="1">
      <c r="B30" s="21">
        <f t="shared" si="2"/>
        <v>18</v>
      </c>
      <c r="C30" s="13" t="s">
        <v>977</v>
      </c>
      <c r="D30" s="13" t="s">
        <v>978</v>
      </c>
      <c r="E30" s="7"/>
      <c r="F30" s="7" t="s">
        <v>865</v>
      </c>
      <c r="G30" s="7" t="str">
        <f t="shared" si="3"/>
        <v>text</v>
      </c>
      <c r="H30" s="58"/>
      <c r="I30" s="23"/>
      <c r="J30" s="24"/>
      <c r="N30" s="76"/>
      <c r="O30" s="76"/>
      <c r="P30" s="76" t="str">
        <f t="shared" si="4"/>
        <v>,reserve2</v>
      </c>
      <c r="Q30" s="76" t="str">
        <f t="shared" si="0"/>
        <v>TEXT</v>
      </c>
      <c r="R30" s="76" t="str">
        <f t="shared" si="1"/>
        <v/>
      </c>
      <c r="S30" s="76" t="str">
        <f t="shared" si="5"/>
        <v/>
      </c>
      <c r="T30" s="76" t="str">
        <f t="shared" si="6"/>
        <v>-- 予備2</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milscm_2023_009.sny_202310_backup_merge_receiptc_tr.reserve2 IS '予備2';</v>
      </c>
    </row>
    <row r="31" spans="2:45" s="25" customFormat="1" ht="69.599999999999994">
      <c r="B31" s="21">
        <f t="shared" si="2"/>
        <v>19</v>
      </c>
      <c r="C31" s="13" t="s">
        <v>143</v>
      </c>
      <c r="D31" s="13" t="s">
        <v>156</v>
      </c>
      <c r="E31" s="7"/>
      <c r="F31" s="7" t="s">
        <v>865</v>
      </c>
      <c r="G31" s="7" t="str">
        <f t="shared" si="3"/>
        <v>text</v>
      </c>
      <c r="H31" s="58"/>
      <c r="I31" s="23"/>
      <c r="J31" s="24" t="s">
        <v>1070</v>
      </c>
      <c r="N31" s="76"/>
      <c r="O31" s="76"/>
      <c r="P31" s="76" t="str">
        <f t="shared" si="4"/>
        <v>,nyuin_ymd</v>
      </c>
      <c r="Q31" s="76" t="str">
        <f t="shared" si="0"/>
        <v>TEXT</v>
      </c>
      <c r="R31" s="76" t="str">
        <f t="shared" si="1"/>
        <v/>
      </c>
      <c r="S31" s="76" t="str">
        <f t="shared" si="5"/>
        <v/>
      </c>
      <c r="T31" s="76" t="str">
        <f t="shared" si="6"/>
        <v>-- 入院年月日</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milscm_2023_009.sny_202310_backup_merge_receiptc_tr.nyuin_ymd IS '入院年月日';</v>
      </c>
    </row>
    <row r="32" spans="2:45" s="25" customFormat="1">
      <c r="B32" s="21">
        <f t="shared" si="2"/>
        <v>20</v>
      </c>
      <c r="C32" s="13" t="s">
        <v>1177</v>
      </c>
      <c r="D32" s="13" t="s">
        <v>954</v>
      </c>
      <c r="E32" s="7"/>
      <c r="F32" s="7" t="s">
        <v>865</v>
      </c>
      <c r="G32" s="7" t="str">
        <f t="shared" si="3"/>
        <v>text</v>
      </c>
      <c r="H32" s="58"/>
      <c r="I32" s="23"/>
      <c r="J32" s="24" t="s">
        <v>1071</v>
      </c>
      <c r="N32" s="76"/>
      <c r="O32" s="76"/>
      <c r="P32" s="76" t="str">
        <f t="shared" si="4"/>
        <v>,ward_kubun1</v>
      </c>
      <c r="Q32" s="76" t="str">
        <f t="shared" si="0"/>
        <v>TEXT</v>
      </c>
      <c r="R32" s="76" t="str">
        <f t="shared" si="1"/>
        <v/>
      </c>
      <c r="S32" s="76" t="str">
        <f t="shared" si="5"/>
        <v/>
      </c>
      <c r="T32" s="76" t="str">
        <f t="shared" si="6"/>
        <v>-- 病棟区分1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milscm_2023_009.sny_202310_backup_merge_receiptc_tr.ward_kubun1 IS '病棟区分1';</v>
      </c>
    </row>
    <row r="33" spans="1:52" s="25" customFormat="1">
      <c r="B33" s="21">
        <f t="shared" si="2"/>
        <v>21</v>
      </c>
      <c r="C33" s="13" t="s">
        <v>1178</v>
      </c>
      <c r="D33" s="13" t="s">
        <v>956</v>
      </c>
      <c r="E33" s="7"/>
      <c r="F33" s="7" t="s">
        <v>865</v>
      </c>
      <c r="G33" s="7" t="str">
        <f t="shared" si="3"/>
        <v>text</v>
      </c>
      <c r="H33" s="58"/>
      <c r="I33" s="23"/>
      <c r="J33" s="24"/>
      <c r="N33" s="76"/>
      <c r="O33" s="76"/>
      <c r="P33" s="76" t="str">
        <f t="shared" si="4"/>
        <v>,ward_kubun2</v>
      </c>
      <c r="Q33" s="76" t="str">
        <f t="shared" si="0"/>
        <v>TEXT</v>
      </c>
      <c r="R33" s="76" t="str">
        <f t="shared" si="1"/>
        <v/>
      </c>
      <c r="S33" s="76" t="str">
        <f t="shared" si="5"/>
        <v/>
      </c>
      <c r="T33" s="76" t="str">
        <f t="shared" si="6"/>
        <v>-- 病棟区分2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milscm_2023_009.sny_202310_backup_merge_receiptc_tr.ward_kubun2 IS '病棟区分2';</v>
      </c>
    </row>
    <row r="34" spans="1:52" s="25" customFormat="1">
      <c r="B34" s="21">
        <f t="shared" si="2"/>
        <v>22</v>
      </c>
      <c r="C34" s="13" t="s">
        <v>1179</v>
      </c>
      <c r="D34" s="13" t="s">
        <v>958</v>
      </c>
      <c r="E34" s="7"/>
      <c r="F34" s="7" t="s">
        <v>865</v>
      </c>
      <c r="G34" s="7" t="str">
        <f t="shared" si="3"/>
        <v>text</v>
      </c>
      <c r="H34" s="58"/>
      <c r="I34" s="23"/>
      <c r="J34" s="24"/>
      <c r="N34" s="76"/>
      <c r="O34" s="76"/>
      <c r="P34" s="76" t="str">
        <f t="shared" si="4"/>
        <v>,ward_kubun3</v>
      </c>
      <c r="Q34" s="76" t="str">
        <f t="shared" si="0"/>
        <v>TEXT</v>
      </c>
      <c r="R34" s="76" t="str">
        <f t="shared" si="1"/>
        <v/>
      </c>
      <c r="S34" s="76" t="str">
        <f t="shared" si="5"/>
        <v/>
      </c>
      <c r="T34" s="76" t="str">
        <f t="shared" si="6"/>
        <v>-- 病棟区分3</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milscm_2023_009.sny_202310_backup_merge_receiptc_tr.ward_kubun3 IS '病棟区分3';</v>
      </c>
    </row>
    <row r="35" spans="1:52" s="25" customFormat="1">
      <c r="B35" s="21">
        <f t="shared" si="2"/>
        <v>23</v>
      </c>
      <c r="C35" s="13" t="s">
        <v>1180</v>
      </c>
      <c r="D35" s="13" t="s">
        <v>960</v>
      </c>
      <c r="E35" s="7"/>
      <c r="F35" s="7" t="s">
        <v>865</v>
      </c>
      <c r="G35" s="7" t="str">
        <f t="shared" si="3"/>
        <v>text</v>
      </c>
      <c r="H35" s="58"/>
      <c r="I35" s="23"/>
      <c r="J35" s="24"/>
      <c r="N35" s="76"/>
      <c r="O35" s="76"/>
      <c r="P35" s="76" t="str">
        <f t="shared" si="4"/>
        <v>,ward_kubun4</v>
      </c>
      <c r="Q35" s="76" t="str">
        <f t="shared" si="0"/>
        <v>TEXT</v>
      </c>
      <c r="R35" s="76" t="str">
        <f t="shared" si="1"/>
        <v/>
      </c>
      <c r="S35" s="76" t="str">
        <f t="shared" si="5"/>
        <v/>
      </c>
      <c r="T35" s="76" t="str">
        <f t="shared" si="6"/>
        <v>-- 病棟区分4</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milscm_2023_009.sny_202310_backup_merge_receiptc_tr.ward_kubun4 IS '病棟区分4';</v>
      </c>
    </row>
    <row r="36" spans="1:52" s="25" customFormat="1">
      <c r="B36" s="21">
        <f t="shared" si="2"/>
        <v>24</v>
      </c>
      <c r="C36" s="13" t="s">
        <v>979</v>
      </c>
      <c r="D36" s="13" t="s">
        <v>980</v>
      </c>
      <c r="E36" s="7"/>
      <c r="F36" s="7" t="s">
        <v>865</v>
      </c>
      <c r="G36" s="7" t="str">
        <f t="shared" si="3"/>
        <v>text</v>
      </c>
      <c r="H36" s="58"/>
      <c r="I36" s="23"/>
      <c r="J36" s="24"/>
      <c r="N36" s="76"/>
      <c r="O36" s="76"/>
      <c r="P36" s="76" t="str">
        <f t="shared" si="4"/>
        <v>,reserve3</v>
      </c>
      <c r="Q36" s="76" t="str">
        <f t="shared" si="0"/>
        <v>TEXT</v>
      </c>
      <c r="R36" s="76" t="str">
        <f t="shared" si="1"/>
        <v/>
      </c>
      <c r="S36" s="76" t="str">
        <f t="shared" si="5"/>
        <v/>
      </c>
      <c r="T36" s="76" t="str">
        <f t="shared" si="6"/>
        <v>-- 予備3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milscm_2023_009.sny_202310_backup_merge_receiptc_tr.reserve3 IS '予備3';</v>
      </c>
    </row>
    <row r="37" spans="1:52" s="25" customFormat="1">
      <c r="B37" s="21">
        <f t="shared" si="2"/>
        <v>25</v>
      </c>
      <c r="C37" s="13" t="s">
        <v>1181</v>
      </c>
      <c r="D37" s="13" t="s">
        <v>964</v>
      </c>
      <c r="E37" s="7"/>
      <c r="F37" s="7" t="s">
        <v>865</v>
      </c>
      <c r="G37" s="7" t="str">
        <f t="shared" si="3"/>
        <v>text</v>
      </c>
      <c r="H37" s="58"/>
      <c r="I37" s="23"/>
      <c r="J37" s="24" t="s">
        <v>1072</v>
      </c>
      <c r="N37" s="76"/>
      <c r="O37" s="76"/>
      <c r="P37" s="76" t="str">
        <f t="shared" si="4"/>
        <v>,receipt_tokki_code1</v>
      </c>
      <c r="Q37" s="76" t="str">
        <f t="shared" si="0"/>
        <v>TEXT</v>
      </c>
      <c r="R37" s="76" t="str">
        <f t="shared" si="1"/>
        <v/>
      </c>
      <c r="S37" s="76" t="str">
        <f t="shared" si="5"/>
        <v/>
      </c>
      <c r="T37" s="76" t="str">
        <f t="shared" si="6"/>
        <v>-- レセプト特記事項1</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milscm_2023_009.sny_202310_backup_merge_receiptc_tr.receipt_tokki_code1 IS 'レセプト特記事項1';</v>
      </c>
    </row>
    <row r="38" spans="1:52" s="25" customFormat="1">
      <c r="B38" s="21">
        <f t="shared" si="2"/>
        <v>26</v>
      </c>
      <c r="C38" s="13" t="s">
        <v>1182</v>
      </c>
      <c r="D38" s="13" t="s">
        <v>966</v>
      </c>
      <c r="E38" s="7"/>
      <c r="F38" s="7" t="s">
        <v>865</v>
      </c>
      <c r="G38" s="7" t="str">
        <f t="shared" si="3"/>
        <v>text</v>
      </c>
      <c r="H38" s="58"/>
      <c r="I38" s="23"/>
      <c r="J38" s="24"/>
      <c r="N38" s="76"/>
      <c r="O38" s="76"/>
      <c r="P38" s="76" t="str">
        <f t="shared" si="4"/>
        <v>,receipt_tokki_code2</v>
      </c>
      <c r="Q38" s="76" t="str">
        <f t="shared" si="0"/>
        <v>TEXT</v>
      </c>
      <c r="R38" s="76" t="str">
        <f t="shared" si="1"/>
        <v/>
      </c>
      <c r="S38" s="76" t="str">
        <f t="shared" si="5"/>
        <v/>
      </c>
      <c r="T38" s="76" t="str">
        <f t="shared" si="6"/>
        <v>-- レセプト特記事項2</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milscm_2023_009.sny_202310_backup_merge_receiptc_tr.receipt_tokki_code2 IS 'レセプト特記事項2';</v>
      </c>
    </row>
    <row r="39" spans="1:52" s="25" customFormat="1">
      <c r="B39" s="21">
        <f t="shared" si="2"/>
        <v>27</v>
      </c>
      <c r="C39" s="13" t="s">
        <v>1183</v>
      </c>
      <c r="D39" s="13" t="s">
        <v>968</v>
      </c>
      <c r="E39" s="7"/>
      <c r="F39" s="7" t="s">
        <v>865</v>
      </c>
      <c r="G39" s="7" t="str">
        <f t="shared" si="3"/>
        <v>text</v>
      </c>
      <c r="H39" s="58"/>
      <c r="I39" s="23"/>
      <c r="J39" s="24"/>
      <c r="N39" s="76"/>
      <c r="O39" s="76"/>
      <c r="P39" s="76" t="str">
        <f t="shared" si="4"/>
        <v>,receipt_tokki_code3</v>
      </c>
      <c r="Q39" s="76" t="str">
        <f t="shared" si="0"/>
        <v>TEXT</v>
      </c>
      <c r="R39" s="76" t="str">
        <f t="shared" si="1"/>
        <v/>
      </c>
      <c r="S39" s="76" t="str">
        <f t="shared" si="5"/>
        <v/>
      </c>
      <c r="T39" s="76" t="str">
        <f t="shared" si="6"/>
        <v>-- レセプト特記事項3</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milscm_2023_009.sny_202310_backup_merge_receiptc_tr.receipt_tokki_code3 IS 'レセプト特記事項3';</v>
      </c>
    </row>
    <row r="40" spans="1:52" s="25" customFormat="1">
      <c r="B40" s="21">
        <f t="shared" si="2"/>
        <v>28</v>
      </c>
      <c r="C40" s="13" t="s">
        <v>1184</v>
      </c>
      <c r="D40" s="13" t="s">
        <v>970</v>
      </c>
      <c r="E40" s="7"/>
      <c r="F40" s="7" t="s">
        <v>865</v>
      </c>
      <c r="G40" s="7" t="str">
        <f t="shared" si="3"/>
        <v>text</v>
      </c>
      <c r="H40" s="58"/>
      <c r="I40" s="23"/>
      <c r="J40" s="24"/>
      <c r="N40" s="76"/>
      <c r="O40" s="76"/>
      <c r="P40" s="76" t="str">
        <f t="shared" si="4"/>
        <v>,receipt_tokki_code4</v>
      </c>
      <c r="Q40" s="76" t="str">
        <f t="shared" si="0"/>
        <v>TEXT</v>
      </c>
      <c r="R40" s="76" t="str">
        <f t="shared" si="1"/>
        <v/>
      </c>
      <c r="S40" s="76" t="str">
        <f t="shared" si="5"/>
        <v/>
      </c>
      <c r="T40" s="76" t="str">
        <f t="shared" si="6"/>
        <v>-- レセプト特記事項4</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milscm_2023_009.sny_202310_backup_merge_receiptc_tr.receipt_tokki_code4 IS 'レセプト特記事項4';</v>
      </c>
    </row>
    <row r="41" spans="1:52" s="25" customFormat="1">
      <c r="B41" s="21">
        <f t="shared" si="2"/>
        <v>29</v>
      </c>
      <c r="C41" s="13" t="s">
        <v>1185</v>
      </c>
      <c r="D41" s="13" t="s">
        <v>972</v>
      </c>
      <c r="E41" s="7"/>
      <c r="F41" s="7" t="s">
        <v>865</v>
      </c>
      <c r="G41" s="7" t="str">
        <f t="shared" si="3"/>
        <v>text</v>
      </c>
      <c r="H41" s="58"/>
      <c r="I41" s="23"/>
      <c r="J41" s="24"/>
      <c r="N41" s="76"/>
      <c r="O41" s="76"/>
      <c r="P41" s="76" t="str">
        <f t="shared" si="4"/>
        <v>,receipt_tokki_code5</v>
      </c>
      <c r="Q41" s="76" t="str">
        <f t="shared" si="0"/>
        <v>TEXT</v>
      </c>
      <c r="R41" s="76" t="str">
        <f t="shared" si="1"/>
        <v/>
      </c>
      <c r="S41" s="76" t="str">
        <f t="shared" si="5"/>
        <v/>
      </c>
      <c r="T41" s="76" t="str">
        <f t="shared" si="6"/>
        <v>-- レセプト特記事項5</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milscm_2023_009.sny_202310_backup_merge_receiptc_tr.receipt_tokki_code5 IS 'レセプト特記事項5';</v>
      </c>
    </row>
    <row r="42" spans="1:52" s="25" customFormat="1">
      <c r="B42" s="21">
        <f t="shared" si="2"/>
        <v>30</v>
      </c>
      <c r="C42" s="13" t="s">
        <v>1186</v>
      </c>
      <c r="D42" s="13" t="s">
        <v>1187</v>
      </c>
      <c r="E42" s="7"/>
      <c r="F42" s="7" t="s">
        <v>865</v>
      </c>
      <c r="G42" s="7" t="str">
        <f t="shared" si="3"/>
        <v>text</v>
      </c>
      <c r="H42" s="58"/>
      <c r="I42" s="23"/>
      <c r="J42" s="24"/>
      <c r="N42" s="76"/>
      <c r="O42" s="76"/>
      <c r="P42" s="76" t="str">
        <f t="shared" si="4"/>
        <v>,reserve4</v>
      </c>
      <c r="Q42" s="76" t="str">
        <f t="shared" si="0"/>
        <v>TEXT</v>
      </c>
      <c r="R42" s="76" t="str">
        <f t="shared" si="1"/>
        <v/>
      </c>
      <c r="S42" s="76" t="str">
        <f t="shared" si="5"/>
        <v/>
      </c>
      <c r="T42" s="76" t="str">
        <f t="shared" si="6"/>
        <v>-- 予備4</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milscm_2023_009.sny_202310_backup_merge_receiptc_tr.reserve4 IS '予備4';</v>
      </c>
    </row>
    <row r="43" spans="1:52" s="25" customFormat="1" ht="30">
      <c r="B43" s="21">
        <f t="shared" si="2"/>
        <v>31</v>
      </c>
      <c r="C43" s="13" t="s">
        <v>1188</v>
      </c>
      <c r="D43" s="13" t="s">
        <v>1189</v>
      </c>
      <c r="E43" s="7"/>
      <c r="F43" s="7" t="s">
        <v>865</v>
      </c>
      <c r="G43" s="7" t="str">
        <f t="shared" si="3"/>
        <v>text</v>
      </c>
      <c r="H43" s="58"/>
      <c r="I43" s="23"/>
      <c r="J43" s="24"/>
      <c r="N43" s="76"/>
      <c r="O43" s="76"/>
      <c r="P43" s="76" t="str">
        <f t="shared" si="4"/>
        <v>,karute_no_tr</v>
      </c>
      <c r="Q43" s="76" t="str">
        <f t="shared" si="0"/>
        <v>TEXT</v>
      </c>
      <c r="R43" s="76" t="str">
        <f t="shared" si="1"/>
        <v/>
      </c>
      <c r="S43" s="76" t="str">
        <f t="shared" si="5"/>
        <v/>
      </c>
      <c r="T43" s="76" t="str">
        <f t="shared" si="6"/>
        <v>-- カルテ番号等（臓器提供者レセプト情報）</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milscm_2023_009.sny_202310_backup_merge_receiptc_tr.karute_no_tr IS 'カルテ番号等（臓器提供者レセプト情報）';</v>
      </c>
    </row>
    <row r="44" spans="1:52" s="25" customFormat="1">
      <c r="B44" s="21">
        <f t="shared" si="2"/>
        <v>32</v>
      </c>
      <c r="C44" s="13" t="s">
        <v>1190</v>
      </c>
      <c r="D44" s="13" t="s">
        <v>976</v>
      </c>
      <c r="E44" s="7"/>
      <c r="F44" s="7" t="s">
        <v>204</v>
      </c>
      <c r="G44" s="7" t="str">
        <f t="shared" si="3"/>
        <v>integer</v>
      </c>
      <c r="H44" s="58"/>
      <c r="I44" s="23"/>
      <c r="J44" s="24"/>
      <c r="N44" s="76"/>
      <c r="O44" s="76"/>
      <c r="P44" s="76" t="str">
        <f t="shared" si="4"/>
        <v>,waribiki_tensu</v>
      </c>
      <c r="Q44" s="76" t="str">
        <f t="shared" si="0"/>
        <v>INTEGER</v>
      </c>
      <c r="R44" s="76" t="str">
        <f t="shared" si="1"/>
        <v/>
      </c>
      <c r="S44" s="76" t="str">
        <f t="shared" si="5"/>
        <v/>
      </c>
      <c r="T44" s="76" t="str">
        <f t="shared" si="6"/>
        <v>-- 割引点数単価</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milscm_2023_009.sny_202310_backup_merge_receiptc_tr.waribiki_tensu IS '割引点数単価';</v>
      </c>
    </row>
    <row r="45" spans="1:52" s="25" customFormat="1">
      <c r="B45" s="21">
        <f t="shared" si="2"/>
        <v>33</v>
      </c>
      <c r="C45" s="13" t="s">
        <v>1191</v>
      </c>
      <c r="D45" s="13" t="s">
        <v>1192</v>
      </c>
      <c r="E45" s="7"/>
      <c r="F45" s="7" t="s">
        <v>865</v>
      </c>
      <c r="G45" s="7" t="str">
        <f t="shared" si="3"/>
        <v>text</v>
      </c>
      <c r="H45" s="58"/>
      <c r="I45" s="23"/>
      <c r="J45" s="24"/>
      <c r="N45" s="76"/>
      <c r="O45" s="76"/>
      <c r="P45" s="76" t="str">
        <f t="shared" si="4"/>
        <v>,reserve5</v>
      </c>
      <c r="Q45" s="76" t="str">
        <f t="shared" si="0"/>
        <v>TEXT</v>
      </c>
      <c r="R45" s="76" t="str">
        <f t="shared" si="1"/>
        <v/>
      </c>
      <c r="S45" s="76" t="str">
        <f t="shared" si="5"/>
        <v/>
      </c>
      <c r="T45" s="76" t="str">
        <f t="shared" si="6"/>
        <v>-- 予備5</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milscm_2023_009.sny_202310_backup_merge_receiptc_tr.reserve5 IS '予備5';</v>
      </c>
    </row>
    <row r="46" spans="1:52" s="25" customFormat="1">
      <c r="B46" s="21">
        <f t="shared" si="2"/>
        <v>34</v>
      </c>
      <c r="C46" s="13" t="s">
        <v>1193</v>
      </c>
      <c r="D46" s="13" t="s">
        <v>1194</v>
      </c>
      <c r="E46" s="7"/>
      <c r="F46" s="7" t="s">
        <v>865</v>
      </c>
      <c r="G46" s="7" t="str">
        <f t="shared" si="3"/>
        <v>text</v>
      </c>
      <c r="H46" s="58"/>
      <c r="I46" s="23"/>
      <c r="J46" s="24"/>
      <c r="N46" s="76"/>
      <c r="O46" s="76"/>
      <c r="P46" s="76" t="str">
        <f t="shared" si="4"/>
        <v>,reserve6</v>
      </c>
      <c r="Q46" s="76" t="str">
        <f t="shared" si="0"/>
        <v>TEXT</v>
      </c>
      <c r="R46" s="76" t="str">
        <f t="shared" si="1"/>
        <v/>
      </c>
      <c r="S46" s="76" t="str">
        <f t="shared" si="5"/>
        <v/>
      </c>
      <c r="T46" s="76" t="str">
        <f t="shared" si="6"/>
        <v>-- 予備6</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milscm_2023_009.sny_202310_backup_merge_receiptc_tr.reserve6 IS '予備6';</v>
      </c>
    </row>
    <row r="47" spans="1:52" s="25" customFormat="1" ht="18" thickBot="1">
      <c r="A47" s="4"/>
      <c r="B47" s="27">
        <f>ROW()-12</f>
        <v>35</v>
      </c>
      <c r="C47" s="57" t="s">
        <v>1195</v>
      </c>
      <c r="D47" s="57" t="s">
        <v>1196</v>
      </c>
      <c r="E47" s="56"/>
      <c r="F47" s="56" t="s">
        <v>865</v>
      </c>
      <c r="G47" s="56" t="str">
        <f t="shared" si="3"/>
        <v>text</v>
      </c>
      <c r="H47" s="59"/>
      <c r="I47" s="60"/>
      <c r="J47" s="64"/>
      <c r="N47" s="76"/>
      <c r="O47" s="76"/>
      <c r="P47" s="76" t="str">
        <f t="shared" si="4"/>
        <v>,reserve7</v>
      </c>
      <c r="Q47" s="76" t="str">
        <f t="shared" si="0"/>
        <v>TEXT</v>
      </c>
      <c r="R47" s="76" t="str">
        <f t="shared" si="1"/>
        <v/>
      </c>
      <c r="S47" s="76" t="str">
        <f t="shared" si="5"/>
        <v/>
      </c>
      <c r="T47" s="76" t="str">
        <f t="shared" si="6"/>
        <v>-- 予備7</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milscm_2023_009.sny_202310_backup_merge_receiptc_tr.reserve7 IS '予備7';</v>
      </c>
    </row>
    <row r="48" spans="1:52">
      <c r="L48" s="25"/>
      <c r="M48" s="25"/>
      <c r="N48" s="76" t="s">
        <v>142</v>
      </c>
      <c r="O48" s="76"/>
      <c r="P48" s="76"/>
      <c r="Q48" s="76"/>
      <c r="R48" s="76"/>
      <c r="S48" s="76"/>
      <c r="T48" s="76"/>
      <c r="V48" s="25"/>
      <c r="W48" s="25"/>
      <c r="X48" s="25"/>
      <c r="Y48" s="25"/>
      <c r="Z48" s="25"/>
      <c r="AJ48" s="76"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ENT_01_C3-01</v>
      </c>
      <c r="E6" s="234"/>
      <c r="F6" s="234"/>
      <c r="G6" s="234"/>
      <c r="H6" s="234"/>
      <c r="I6" s="234"/>
      <c r="J6" s="235"/>
    </row>
    <row r="7" spans="1:45">
      <c r="B7" s="223" t="s">
        <v>115</v>
      </c>
      <c r="C7" s="224"/>
      <c r="D7" s="225" t="s">
        <v>1201</v>
      </c>
      <c r="E7" s="226"/>
      <c r="F7" s="226"/>
      <c r="G7" s="226"/>
      <c r="H7" s="226"/>
      <c r="I7" s="226"/>
      <c r="J7" s="227"/>
    </row>
    <row r="8" spans="1:45">
      <c r="B8" s="223" t="s">
        <v>116</v>
      </c>
      <c r="C8" s="224"/>
      <c r="D8" s="225" t="str">
        <f>エンティティ一覧!AE2&amp;"_"&amp;D5&amp;"_merge_receiptd_ir"</f>
        <v>sny_202310_backup_merge_receiptd_ir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milscm_2023_009.sny_202310_backup_merge_receiptd_ir;</v>
      </c>
      <c r="O10" s="76"/>
      <c r="P10" s="76"/>
      <c r="Q10" s="76"/>
      <c r="R10" s="76"/>
      <c r="S10" s="76"/>
      <c r="T10" s="76"/>
      <c r="AJ10" s="76" t="str">
        <f>"ALTER TABLE ONLY "&amp;エンティティ一覧!$O$2&amp;"."&amp;D$8</f>
        <v>ALTER TABLE ONLY milscm_2023_009.sny_202310_backup_merge_receiptd_ir</v>
      </c>
      <c r="AS10" s="76" t="str">
        <f>"ALTER TABLE "&amp;エンティティ一覧!$O$2&amp;"."&amp;D$8&amp;" OWNER TO pgmisgrp1;"</f>
        <v>ALTER TABLE milscm_2023_009.sny_202310_backup_merge_receiptd_ir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milscm_2023_009.sny_202310_backup_merge_receiptd_ir</v>
      </c>
      <c r="O11" s="76"/>
      <c r="P11" s="76"/>
      <c r="Q11" s="76"/>
      <c r="R11" s="76"/>
      <c r="S11" s="76"/>
      <c r="T11" s="76"/>
      <c r="AJ11" s="76" t="str">
        <f>"ADD CONSTRAINT "&amp;D$8&amp;"_pkey PRIMARY KEY"</f>
        <v>ADD CONSTRAINT sny_202310_backup_merge_receiptd_ir_pkey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milscm_2023_009.sny_202310_backup_merge_receiptd_ir IS 'バックアップ_DPCレセプト_医療機関情報レコード';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1" si="0">UPPER(G13)</f>
        <v>TEXT</v>
      </c>
      <c r="R13" s="76" t="str">
        <f t="shared" ref="R13:R3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milscm_2023_009.sny_202310_backup_merge_receiptd_ir.torikomi_ym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milscm_2023_009.sny_202310_backup_merge_receiptd_ir.facility_id IS '施設ID';</v>
      </c>
    </row>
    <row r="16" spans="1:45" s="25" customFormat="1" ht="52.2">
      <c r="B16" s="21">
        <f t="shared" si="2"/>
        <v>4</v>
      </c>
      <c r="C16" s="6" t="s">
        <v>908</v>
      </c>
      <c r="D16" s="6" t="s">
        <v>909</v>
      </c>
      <c r="E16" s="8" t="s">
        <v>127</v>
      </c>
      <c r="F16" s="7" t="s">
        <v>865</v>
      </c>
      <c r="G16" s="7" t="str">
        <f t="shared" si="3"/>
        <v>text</v>
      </c>
      <c r="H16" s="26"/>
      <c r="I16" s="10" t="s">
        <v>127</v>
      </c>
      <c r="J16" s="53" t="s">
        <v>935</v>
      </c>
      <c r="M16" s="4"/>
      <c r="N16" s="76"/>
      <c r="O16" s="76"/>
      <c r="P16" s="76" t="str">
        <f t="shared" si="4"/>
        <v>,seikyu_ym</v>
      </c>
      <c r="Q16" s="76" t="str">
        <f t="shared" si="0"/>
        <v>TEXT</v>
      </c>
      <c r="R16" s="76" t="str">
        <f t="shared" si="1"/>
        <v/>
      </c>
      <c r="S16" s="76" t="str">
        <f t="shared" ref="S16:S31" si="5">IF(I16="○","NOT NULL","")</f>
        <v>NOT NULL</v>
      </c>
      <c r="T16" s="76" t="str">
        <f t="shared" ref="T16:T31"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milscm_2023_009.sny_202310_backup_merge_receiptd_ir.seikyu_ym IS '請求年月';</v>
      </c>
    </row>
    <row r="17" spans="1:52" s="25" customFormat="1" ht="69.599999999999994">
      <c r="B17" s="21">
        <f t="shared" si="2"/>
        <v>5</v>
      </c>
      <c r="C17" s="13" t="s">
        <v>866</v>
      </c>
      <c r="D17" s="13" t="s">
        <v>206</v>
      </c>
      <c r="E17" s="7" t="s">
        <v>127</v>
      </c>
      <c r="F17" s="7" t="s">
        <v>865</v>
      </c>
      <c r="G17" s="7" t="str">
        <f t="shared" si="3"/>
        <v>text</v>
      </c>
      <c r="H17" s="58"/>
      <c r="I17" s="23" t="s">
        <v>127</v>
      </c>
      <c r="J17" s="24" t="s">
        <v>941</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milscm_2023_009.sny_202310_backup_merge_receiptd_ir.shinryo_ym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milscm_2023_009.sny_202310_backup_merge_receiptd_ir.data_type IS 'データ種別';</v>
      </c>
    </row>
    <row r="19" spans="1:52" s="25" customFormat="1">
      <c r="B19" s="21">
        <f t="shared" si="2"/>
        <v>7</v>
      </c>
      <c r="C19" s="13" t="s">
        <v>910</v>
      </c>
      <c r="D19" s="13" t="s">
        <v>911</v>
      </c>
      <c r="E19" s="7" t="s">
        <v>127</v>
      </c>
      <c r="F19" s="7" t="s">
        <v>865</v>
      </c>
      <c r="G19" s="7" t="str">
        <f t="shared" si="3"/>
        <v>text</v>
      </c>
      <c r="H19" s="58"/>
      <c r="I19" s="23" t="s">
        <v>127</v>
      </c>
      <c r="J19" s="2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milscm_2023_009.sny_202310_backup_merge_receiptd_ir.shinsa_kikan IS '審査支払機関';</v>
      </c>
    </row>
    <row r="20" spans="1:52" s="25" customFormat="1">
      <c r="B20" s="21">
        <f t="shared" si="2"/>
        <v>8</v>
      </c>
      <c r="C20" s="13" t="s">
        <v>912</v>
      </c>
      <c r="D20" s="13" t="s">
        <v>913</v>
      </c>
      <c r="E20" s="7"/>
      <c r="F20" s="7" t="s">
        <v>865</v>
      </c>
      <c r="G20" s="7" t="str">
        <f t="shared" si="3"/>
        <v>text</v>
      </c>
      <c r="H20" s="58" t="s">
        <v>938</v>
      </c>
      <c r="I20" s="23" t="s">
        <v>127</v>
      </c>
      <c r="J20" s="24" t="s">
        <v>939</v>
      </c>
      <c r="N20" s="76"/>
      <c r="O20" s="76"/>
      <c r="P20" s="76" t="str">
        <f t="shared" si="4"/>
        <v>,record_shikibetsu</v>
      </c>
      <c r="Q20" s="76" t="str">
        <f t="shared" si="0"/>
        <v>TEXT</v>
      </c>
      <c r="R20" s="76" t="str">
        <f t="shared" si="1"/>
        <v>default 'IR'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milscm_2023_009.sny_202310_backup_merge_receiptd_ir.record_shikibetsu IS 'レコード識別情報';</v>
      </c>
    </row>
    <row r="21" spans="1:52" s="25" customFormat="1">
      <c r="B21" s="21">
        <f t="shared" si="2"/>
        <v>9</v>
      </c>
      <c r="C21" s="13" t="s">
        <v>914</v>
      </c>
      <c r="D21" s="13" t="s">
        <v>915</v>
      </c>
      <c r="E21" s="7" t="s">
        <v>127</v>
      </c>
      <c r="F21" s="7" t="s">
        <v>204</v>
      </c>
      <c r="G21" s="7" t="str">
        <f t="shared" si="3"/>
        <v>integer</v>
      </c>
      <c r="H21" s="58">
        <v>0</v>
      </c>
      <c r="I21" s="23" t="s">
        <v>127</v>
      </c>
      <c r="J21" s="24" t="s">
        <v>940</v>
      </c>
      <c r="N21" s="76"/>
      <c r="O21" s="76"/>
      <c r="P21" s="76" t="str">
        <f t="shared" si="4"/>
        <v>,receipt_no</v>
      </c>
      <c r="Q21" s="76" t="str">
        <f t="shared" si="0"/>
        <v>INTEGER</v>
      </c>
      <c r="R21" s="76" t="str">
        <f t="shared" si="1"/>
        <v>default 0</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milscm_2023_009.sny_202310_backup_merge_receiptd_ir.receipt_no IS 'レセプト番号';</v>
      </c>
    </row>
    <row r="22" spans="1:52" s="25" customFormat="1">
      <c r="B22" s="21">
        <f t="shared" si="2"/>
        <v>10</v>
      </c>
      <c r="C22" s="13" t="s">
        <v>916</v>
      </c>
      <c r="D22" s="13" t="s">
        <v>917</v>
      </c>
      <c r="E22" s="7" t="s">
        <v>127</v>
      </c>
      <c r="F22" s="7" t="s">
        <v>204</v>
      </c>
      <c r="G22" s="7" t="str">
        <f t="shared" si="3"/>
        <v>integer</v>
      </c>
      <c r="H22" s="58">
        <v>0</v>
      </c>
      <c r="I22" s="23" t="s">
        <v>127</v>
      </c>
      <c r="J22" s="24" t="s">
        <v>940</v>
      </c>
      <c r="N22" s="76"/>
      <c r="O22" s="76"/>
      <c r="P22" s="76" t="str">
        <f t="shared" si="4"/>
        <v>,gyo_no</v>
      </c>
      <c r="Q22" s="76" t="str">
        <f t="shared" si="0"/>
        <v>INTEGER</v>
      </c>
      <c r="R22" s="76" t="str">
        <f t="shared" si="1"/>
        <v>default 0</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milscm_2023_009.sny_202310_backup_merge_receiptd_ir.gyo_no IS '行番号';</v>
      </c>
    </row>
    <row r="23" spans="1:52" s="25" customFormat="1">
      <c r="B23" s="21">
        <f t="shared" si="2"/>
        <v>11</v>
      </c>
      <c r="C23" s="13" t="s">
        <v>918</v>
      </c>
      <c r="D23" s="13" t="s">
        <v>919</v>
      </c>
      <c r="E23" s="7"/>
      <c r="F23" s="7" t="s">
        <v>865</v>
      </c>
      <c r="G23" s="7" t="str">
        <f t="shared" si="3"/>
        <v>text</v>
      </c>
      <c r="H23" s="58"/>
      <c r="I23" s="23"/>
      <c r="J23" s="24" t="s">
        <v>863</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milscm_2023_009.sny_202310_backup_merge_receiptd_ir.karute_no IS 'カルテ番号等';</v>
      </c>
    </row>
    <row r="24" spans="1:52" s="25" customFormat="1">
      <c r="B24" s="21">
        <f t="shared" si="2"/>
        <v>12</v>
      </c>
      <c r="C24" s="13" t="s">
        <v>1202</v>
      </c>
      <c r="D24" s="13" t="s">
        <v>1203</v>
      </c>
      <c r="E24" s="7"/>
      <c r="F24" s="7" t="s">
        <v>865</v>
      </c>
      <c r="G24" s="7" t="str">
        <f t="shared" si="3"/>
        <v>text</v>
      </c>
      <c r="H24" s="58"/>
      <c r="I24" s="23"/>
      <c r="J24" s="24" t="s">
        <v>863</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milscm_2023_009.sny_202310_backup_merge_receiptd_ir.receipt_sokatsu_kubun IS 'レセプト総括区分';</v>
      </c>
    </row>
    <row r="25" spans="1:52" s="25" customFormat="1">
      <c r="B25" s="21">
        <f t="shared" si="2"/>
        <v>13</v>
      </c>
      <c r="C25" s="13" t="s">
        <v>920</v>
      </c>
      <c r="D25" s="13" t="s">
        <v>921</v>
      </c>
      <c r="E25" s="7"/>
      <c r="F25" s="7" t="s">
        <v>865</v>
      </c>
      <c r="G25" s="7" t="str">
        <f t="shared" si="3"/>
        <v>text</v>
      </c>
      <c r="H25" s="58"/>
      <c r="I25" s="23"/>
      <c r="J25" s="24"/>
      <c r="N25" s="76"/>
      <c r="O25" s="76"/>
      <c r="P25" s="76" t="str">
        <f t="shared" si="4"/>
        <v>,prefecture</v>
      </c>
      <c r="Q25" s="76" t="str">
        <f t="shared" si="0"/>
        <v>TEXT</v>
      </c>
      <c r="R25" s="76" t="str">
        <f t="shared" si="1"/>
        <v/>
      </c>
      <c r="S25" s="76" t="str">
        <f t="shared" si="5"/>
        <v/>
      </c>
      <c r="T25" s="76" t="str">
        <f t="shared" si="6"/>
        <v>-- 都道府県</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milscm_2023_009.sny_202310_backup_merge_receiptd_ir.prefecture IS '都道府県';</v>
      </c>
    </row>
    <row r="26" spans="1:52" s="25" customFormat="1">
      <c r="B26" s="21">
        <f t="shared" si="2"/>
        <v>14</v>
      </c>
      <c r="C26" s="13" t="s">
        <v>922</v>
      </c>
      <c r="D26" s="13" t="s">
        <v>923</v>
      </c>
      <c r="E26" s="7"/>
      <c r="F26" s="7" t="s">
        <v>865</v>
      </c>
      <c r="G26" s="7" t="str">
        <f t="shared" si="3"/>
        <v>text</v>
      </c>
      <c r="H26" s="58"/>
      <c r="I26" s="23"/>
      <c r="J26" s="24"/>
      <c r="N26" s="76"/>
      <c r="O26" s="76"/>
      <c r="P26" s="76" t="str">
        <f t="shared" si="4"/>
        <v>,tensuhyo</v>
      </c>
      <c r="Q26" s="76" t="str">
        <f t="shared" si="0"/>
        <v>TEXT</v>
      </c>
      <c r="R26" s="76" t="str">
        <f t="shared" si="1"/>
        <v/>
      </c>
      <c r="S26" s="76" t="str">
        <f t="shared" si="5"/>
        <v/>
      </c>
      <c r="T26" s="76" t="str">
        <f t="shared" si="6"/>
        <v>-- 点数表</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milscm_2023_009.sny_202310_backup_merge_receiptd_ir.tensuhyo IS '点数表';</v>
      </c>
    </row>
    <row r="27" spans="1:52" s="25" customFormat="1">
      <c r="B27" s="21">
        <f t="shared" si="2"/>
        <v>15</v>
      </c>
      <c r="C27" s="13" t="s">
        <v>924</v>
      </c>
      <c r="D27" s="13" t="s">
        <v>925</v>
      </c>
      <c r="E27" s="7"/>
      <c r="F27" s="7" t="s">
        <v>865</v>
      </c>
      <c r="G27" s="7" t="str">
        <f t="shared" si="3"/>
        <v>text</v>
      </c>
      <c r="H27" s="58"/>
      <c r="I27" s="23"/>
      <c r="J27" s="24"/>
      <c r="N27" s="76"/>
      <c r="O27" s="76"/>
      <c r="P27" s="76" t="str">
        <f t="shared" si="4"/>
        <v>,hospital_code</v>
      </c>
      <c r="Q27" s="76" t="str">
        <f t="shared" si="0"/>
        <v>TEXT</v>
      </c>
      <c r="R27" s="76" t="str">
        <f t="shared" si="1"/>
        <v/>
      </c>
      <c r="S27" s="76" t="str">
        <f t="shared" si="5"/>
        <v/>
      </c>
      <c r="T27" s="76" t="str">
        <f t="shared" si="6"/>
        <v>-- 医療機関コード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milscm_2023_009.sny_202310_backup_merge_receiptd_ir.hospital_code IS '医療機関コード';</v>
      </c>
    </row>
    <row r="28" spans="1:52" s="25" customFormat="1">
      <c r="B28" s="21">
        <f t="shared" si="2"/>
        <v>16</v>
      </c>
      <c r="C28" s="13" t="s">
        <v>926</v>
      </c>
      <c r="D28" s="13" t="s">
        <v>927</v>
      </c>
      <c r="E28" s="7"/>
      <c r="F28" s="7" t="s">
        <v>865</v>
      </c>
      <c r="G28" s="7" t="str">
        <f t="shared" si="3"/>
        <v>text</v>
      </c>
      <c r="H28" s="58"/>
      <c r="I28" s="23"/>
      <c r="J28" s="2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milscm_2023_009.sny_202310_backup_merge_receiptd_ir.reserve1 IS '予備1';</v>
      </c>
    </row>
    <row r="29" spans="1:52" s="25" customFormat="1">
      <c r="B29" s="21">
        <f t="shared" si="2"/>
        <v>17</v>
      </c>
      <c r="C29" s="13" t="s">
        <v>928</v>
      </c>
      <c r="D29" s="13" t="s">
        <v>929</v>
      </c>
      <c r="E29" s="7"/>
      <c r="F29" s="7" t="s">
        <v>865</v>
      </c>
      <c r="G29" s="7" t="str">
        <f t="shared" si="3"/>
        <v>text</v>
      </c>
      <c r="H29" s="58"/>
      <c r="I29" s="23"/>
      <c r="J29" s="24"/>
      <c r="N29" s="76"/>
      <c r="O29" s="76"/>
      <c r="P29" s="76" t="str">
        <f t="shared" si="4"/>
        <v>,hospital_name</v>
      </c>
      <c r="Q29" s="76" t="str">
        <f t="shared" si="0"/>
        <v>TEXT</v>
      </c>
      <c r="R29" s="76" t="str">
        <f t="shared" si="1"/>
        <v/>
      </c>
      <c r="S29" s="76" t="str">
        <f t="shared" si="5"/>
        <v/>
      </c>
      <c r="T29" s="76" t="str">
        <f t="shared" si="6"/>
        <v>-- 医療機関名称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milscm_2023_009.sny_202310_backup_merge_receiptd_ir.hospital_name IS '医療機関名称';</v>
      </c>
    </row>
    <row r="30" spans="1:52" s="25" customFormat="1">
      <c r="B30" s="21">
        <f t="shared" si="2"/>
        <v>18</v>
      </c>
      <c r="C30" s="13" t="s">
        <v>930</v>
      </c>
      <c r="D30" s="13" t="s">
        <v>931</v>
      </c>
      <c r="E30" s="7"/>
      <c r="F30" s="7" t="s">
        <v>865</v>
      </c>
      <c r="G30" s="7" t="str">
        <f t="shared" si="3"/>
        <v>text</v>
      </c>
      <c r="H30" s="58"/>
      <c r="I30" s="23"/>
      <c r="J30" s="24"/>
      <c r="N30" s="76"/>
      <c r="O30" s="76"/>
      <c r="P30" s="76" t="str">
        <f t="shared" si="4"/>
        <v>,multi_volume_shikibetsu</v>
      </c>
      <c r="Q30" s="76" t="str">
        <f t="shared" si="0"/>
        <v>TEXT</v>
      </c>
      <c r="R30" s="76" t="str">
        <f t="shared" si="1"/>
        <v/>
      </c>
      <c r="S30" s="76" t="str">
        <f t="shared" si="5"/>
        <v/>
      </c>
      <c r="T30" s="76" t="str">
        <f t="shared" si="6"/>
        <v>-- マルチボリューム識別情報</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milscm_2023_009.sny_202310_backup_merge_receiptd_ir.multi_volume_shikibetsu IS 'マルチボリューム識別情報';</v>
      </c>
    </row>
    <row r="31" spans="1:52" s="25" customFormat="1" ht="18" thickBot="1">
      <c r="A31" s="4"/>
      <c r="B31" s="27">
        <f>ROW()-12</f>
        <v>19</v>
      </c>
      <c r="C31" s="57" t="s">
        <v>932</v>
      </c>
      <c r="D31" s="57" t="s">
        <v>933</v>
      </c>
      <c r="E31" s="56"/>
      <c r="F31" s="56" t="s">
        <v>865</v>
      </c>
      <c r="G31" s="56" t="str">
        <f t="shared" si="3"/>
        <v>text</v>
      </c>
      <c r="H31" s="59"/>
      <c r="I31" s="60"/>
      <c r="J31" s="64"/>
      <c r="N31" s="76"/>
      <c r="O31" s="76"/>
      <c r="P31" s="76" t="str">
        <f t="shared" si="4"/>
        <v>,phone_no</v>
      </c>
      <c r="Q31" s="76" t="str">
        <f t="shared" si="0"/>
        <v>TEXT</v>
      </c>
      <c r="R31" s="76" t="str">
        <f t="shared" si="1"/>
        <v/>
      </c>
      <c r="S31" s="76" t="str">
        <f t="shared" si="5"/>
        <v/>
      </c>
      <c r="T31" s="76" t="str">
        <f t="shared" si="6"/>
        <v>-- 電話番号</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milscm_2023_009.sny_202310_backup_merge_receiptd_ir.phone_no IS '電話番号';</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ENT_01_C3-02</v>
      </c>
      <c r="E6" s="234"/>
      <c r="F6" s="234"/>
      <c r="G6" s="234"/>
      <c r="H6" s="234"/>
      <c r="I6" s="234"/>
      <c r="J6" s="235"/>
    </row>
    <row r="7" spans="1:45">
      <c r="B7" s="223" t="s">
        <v>115</v>
      </c>
      <c r="C7" s="224"/>
      <c r="D7" s="225" t="s">
        <v>1206</v>
      </c>
      <c r="E7" s="226"/>
      <c r="F7" s="226"/>
      <c r="G7" s="226"/>
      <c r="H7" s="226"/>
      <c r="I7" s="226"/>
      <c r="J7" s="227"/>
    </row>
    <row r="8" spans="1:45">
      <c r="B8" s="223" t="s">
        <v>116</v>
      </c>
      <c r="C8" s="224"/>
      <c r="D8" s="225" t="str">
        <f>エンティティ一覧!AE2&amp;"_"&amp;D5&amp;"_merge_receiptd_re"</f>
        <v>sny_202310_backup_merge_receiptd_re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milscm_2023_009.sny_202310_backup_merge_receiptd_re;</v>
      </c>
      <c r="O10" s="76"/>
      <c r="P10" s="76"/>
      <c r="Q10" s="76"/>
      <c r="R10" s="76"/>
      <c r="S10" s="76"/>
      <c r="T10" s="76"/>
      <c r="AJ10" s="76" t="str">
        <f>"ALTER TABLE ONLY "&amp;エンティティ一覧!$O$2&amp;"."&amp;D$8</f>
        <v>ALTER TABLE ONLY milscm_2023_009.sny_202310_backup_merge_receiptd_re</v>
      </c>
      <c r="AS10" s="76" t="str">
        <f>"ALTER TABLE "&amp;エンティティ一覧!$O$2&amp;"."&amp;D$8&amp;" OWNER TO pgmisgrp1;"</f>
        <v>ALTER TABLE milscm_2023_009.sny_202310_backup_merge_receiptd_re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milscm_2023_009.sny_202310_backup_merge_receiptd_re</v>
      </c>
      <c r="O11" s="76"/>
      <c r="P11" s="76"/>
      <c r="Q11" s="76"/>
      <c r="R11" s="76"/>
      <c r="S11" s="76"/>
      <c r="T11" s="76"/>
      <c r="AJ11" s="76" t="str">
        <f>"ADD CONSTRAINT "&amp;D$8&amp;"_pkey PRIMARY KEY"</f>
        <v>ADD CONSTRAINT sny_202310_backup_merge_receiptd_re_pkey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milscm_2023_009.sny_202310_backup_merge_receiptd_re IS 'バックアップ_DPCレセプト_レセプト共通レコード';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75" si="0">UPPER(G13)</f>
        <v>TEXT</v>
      </c>
      <c r="R13" s="76" t="str">
        <f t="shared" ref="R13:R7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milscm_2023_009.sny_202310_backup_merge_receiptd_re.torikomi_ym IS '取込年月';</v>
      </c>
    </row>
    <row r="14" spans="1:45" s="25" customFormat="1">
      <c r="A14" s="4"/>
      <c r="B14" s="21">
        <f t="shared" ref="B14:B74" si="2">ROW()-12</f>
        <v>2</v>
      </c>
      <c r="C14" s="6" t="s">
        <v>202</v>
      </c>
      <c r="D14" s="6" t="s">
        <v>203</v>
      </c>
      <c r="E14" s="8"/>
      <c r="F14" s="7" t="s">
        <v>204</v>
      </c>
      <c r="G14" s="7" t="str">
        <f t="shared" ref="G14:G75" si="3">IF(F14="フラグ","boolean",IF(F14="文字列","text",IF(F14="整数","integer",IF(F14="実数","numeric",""))))</f>
        <v>integer</v>
      </c>
      <c r="H14" s="26"/>
      <c r="I14" s="10"/>
      <c r="J14" s="11" t="s">
        <v>257</v>
      </c>
      <c r="M14" s="4"/>
      <c r="N14" s="76"/>
      <c r="O14" s="76"/>
      <c r="P14" s="76" t="str">
        <f t="shared" ref="P14:P7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milscm_2023_009.sny_202310_backup_merge_receiptd_re.mil_karute_id IS '千年カルテID';</v>
      </c>
    </row>
    <row r="15" spans="1:45" s="25" customFormat="1" ht="34.799999999999997">
      <c r="A15" s="4"/>
      <c r="B15" s="21">
        <f t="shared" si="2"/>
        <v>3</v>
      </c>
      <c r="C15" s="13" t="s">
        <v>137</v>
      </c>
      <c r="D15" s="13" t="s">
        <v>128</v>
      </c>
      <c r="E15" s="7" t="s">
        <v>127</v>
      </c>
      <c r="F15" s="7" t="s">
        <v>865</v>
      </c>
      <c r="G15" s="7" t="str">
        <f t="shared" ref="G15:G74" si="5">IF(F15="フラグ","boolean",IF(F15="文字列","text",IF(F15="整数","integer",IF(F15="実数","numeric",""))))</f>
        <v>text</v>
      </c>
      <c r="H15" s="58"/>
      <c r="I15" s="23" t="s">
        <v>127</v>
      </c>
      <c r="J15" s="24" t="s">
        <v>1204</v>
      </c>
      <c r="M15" s="4"/>
      <c r="N15" s="76"/>
      <c r="O15" s="76"/>
      <c r="P15" s="76" t="str">
        <f t="shared" ref="P15:P74" si="6">IF(B15&lt;&gt;1,","&amp;D15,D15)</f>
        <v>,facility_id</v>
      </c>
      <c r="Q15" s="76" t="str">
        <f t="shared" ref="Q15:Q74" si="7">UPPER(G15)</f>
        <v>TEXT</v>
      </c>
      <c r="R15" s="76" t="str">
        <f t="shared" ref="R15:R74" si="8">IF(H15&lt;&gt;"","default "&amp;IF(G15="text","'"&amp;H15&amp;"'",H15),"")</f>
        <v/>
      </c>
      <c r="S15" s="76" t="str">
        <f t="shared" ref="S15:S74" si="9">IF(I15="○","NOT NULL","")</f>
        <v>NOT NULL</v>
      </c>
      <c r="T15" s="76" t="str">
        <f t="shared" ref="T15:T74" si="10">"--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milscm_2023_009.sny_202310_backup_merge_receiptd_re.facility_id IS '施設ID';</v>
      </c>
    </row>
    <row r="16" spans="1:45" s="25" customFormat="1">
      <c r="A16" s="4"/>
      <c r="B16" s="21">
        <f t="shared" si="2"/>
        <v>4</v>
      </c>
      <c r="C16" s="13" t="s">
        <v>908</v>
      </c>
      <c r="D16" s="13" t="s">
        <v>909</v>
      </c>
      <c r="E16" s="7" t="s">
        <v>127</v>
      </c>
      <c r="F16" s="7" t="s">
        <v>865</v>
      </c>
      <c r="G16" s="7" t="str">
        <f t="shared" si="5"/>
        <v>text</v>
      </c>
      <c r="H16" s="58"/>
      <c r="I16" s="23" t="s">
        <v>127</v>
      </c>
      <c r="J16" s="24" t="s">
        <v>1059</v>
      </c>
      <c r="M16" s="4"/>
      <c r="N16" s="76"/>
      <c r="O16" s="76"/>
      <c r="P16" s="76" t="str">
        <f t="shared" si="6"/>
        <v>,seikyu_ym</v>
      </c>
      <c r="Q16" s="76" t="str">
        <f t="shared" si="7"/>
        <v>TEXT</v>
      </c>
      <c r="R16" s="76" t="str">
        <f t="shared" si="8"/>
        <v/>
      </c>
      <c r="S16" s="76" t="str">
        <f t="shared" si="9"/>
        <v>NOT NULL</v>
      </c>
      <c r="T16" s="76" t="str">
        <f t="shared" si="10"/>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milscm_2023_009.sny_202310_backup_merge_receiptd_re.seikyu_ym IS '請求年月';</v>
      </c>
    </row>
    <row r="17" spans="1:45" s="25" customFormat="1" ht="69.599999999999994">
      <c r="A17" s="4"/>
      <c r="B17" s="21">
        <f t="shared" si="2"/>
        <v>5</v>
      </c>
      <c r="C17" s="13" t="s">
        <v>866</v>
      </c>
      <c r="D17" s="13" t="s">
        <v>206</v>
      </c>
      <c r="E17" s="7" t="s">
        <v>127</v>
      </c>
      <c r="F17" s="7" t="s">
        <v>865</v>
      </c>
      <c r="G17" s="7" t="str">
        <f t="shared" si="5"/>
        <v>text</v>
      </c>
      <c r="H17" s="58"/>
      <c r="I17" s="23" t="s">
        <v>127</v>
      </c>
      <c r="J17" s="24" t="s">
        <v>1060</v>
      </c>
      <c r="M17" s="4"/>
      <c r="N17" s="76"/>
      <c r="O17" s="76"/>
      <c r="P17" s="76" t="str">
        <f t="shared" si="6"/>
        <v>,shinryo_ym</v>
      </c>
      <c r="Q17" s="76" t="str">
        <f t="shared" si="7"/>
        <v>TEXT</v>
      </c>
      <c r="R17" s="76" t="str">
        <f t="shared" si="8"/>
        <v/>
      </c>
      <c r="S17" s="76" t="str">
        <f t="shared" si="9"/>
        <v>NOT NULL</v>
      </c>
      <c r="T17" s="76" t="str">
        <f t="shared" si="10"/>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milscm_2023_009.sny_202310_backup_merge_receiptd_re.shinryo_ym IS '診療年月';</v>
      </c>
    </row>
    <row r="18" spans="1:45" s="25" customFormat="1">
      <c r="A18" s="4"/>
      <c r="B18" s="21">
        <f t="shared" si="2"/>
        <v>6</v>
      </c>
      <c r="C18" s="13" t="s">
        <v>319</v>
      </c>
      <c r="D18" s="13" t="s">
        <v>208</v>
      </c>
      <c r="E18" s="7"/>
      <c r="F18" s="7" t="s">
        <v>865</v>
      </c>
      <c r="G18" s="7" t="str">
        <f t="shared" si="5"/>
        <v>text</v>
      </c>
      <c r="H18" s="58" t="s">
        <v>936</v>
      </c>
      <c r="I18" s="23" t="s">
        <v>127</v>
      </c>
      <c r="J18" s="24" t="s">
        <v>937</v>
      </c>
      <c r="M18" s="4"/>
      <c r="N18" s="76"/>
      <c r="O18" s="76"/>
      <c r="P18" s="76" t="str">
        <f t="shared" si="6"/>
        <v>,data_type</v>
      </c>
      <c r="Q18" s="76" t="str">
        <f t="shared" si="7"/>
        <v>TEXT</v>
      </c>
      <c r="R18" s="76" t="str">
        <f t="shared" si="8"/>
        <v>default 'RCP'</v>
      </c>
      <c r="S18" s="76" t="str">
        <f t="shared" si="9"/>
        <v>NOT NULL</v>
      </c>
      <c r="T18" s="76" t="str">
        <f t="shared" si="10"/>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milscm_2023_009.sny_202310_backup_merge_receiptd_re.data_type IS 'データ種別';</v>
      </c>
    </row>
    <row r="19" spans="1:45" s="25" customFormat="1">
      <c r="A19" s="4"/>
      <c r="B19" s="21">
        <f t="shared" si="2"/>
        <v>7</v>
      </c>
      <c r="C19" s="13" t="s">
        <v>910</v>
      </c>
      <c r="D19" s="13" t="s">
        <v>911</v>
      </c>
      <c r="E19" s="7" t="s">
        <v>127</v>
      </c>
      <c r="F19" s="7" t="s">
        <v>865</v>
      </c>
      <c r="G19" s="7" t="str">
        <f t="shared" si="5"/>
        <v>text</v>
      </c>
      <c r="H19" s="58"/>
      <c r="I19" s="23" t="s">
        <v>127</v>
      </c>
      <c r="J19" s="24" t="s">
        <v>1061</v>
      </c>
      <c r="M19" s="4"/>
      <c r="N19" s="76"/>
      <c r="O19" s="76"/>
      <c r="P19" s="76" t="str">
        <f t="shared" si="6"/>
        <v>,shinsa_kikan</v>
      </c>
      <c r="Q19" s="76" t="str">
        <f t="shared" si="7"/>
        <v>TEXT</v>
      </c>
      <c r="R19" s="76" t="str">
        <f t="shared" si="8"/>
        <v/>
      </c>
      <c r="S19" s="76" t="str">
        <f t="shared" si="9"/>
        <v>NOT NULL</v>
      </c>
      <c r="T19" s="76" t="str">
        <f t="shared" si="10"/>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milscm_2023_009.sny_202310_backup_merge_receiptd_re.shinsa_kikan IS '審査支払機関';</v>
      </c>
    </row>
    <row r="20" spans="1:45" s="25" customFormat="1">
      <c r="A20" s="4"/>
      <c r="B20" s="21">
        <f t="shared" si="2"/>
        <v>8</v>
      </c>
      <c r="C20" s="13" t="s">
        <v>912</v>
      </c>
      <c r="D20" s="13" t="s">
        <v>913</v>
      </c>
      <c r="E20" s="7"/>
      <c r="F20" s="7" t="s">
        <v>865</v>
      </c>
      <c r="G20" s="7" t="str">
        <f t="shared" si="5"/>
        <v>text</v>
      </c>
      <c r="H20" s="58" t="s">
        <v>1062</v>
      </c>
      <c r="I20" s="23" t="s">
        <v>127</v>
      </c>
      <c r="J20" s="24" t="s">
        <v>1063</v>
      </c>
      <c r="M20" s="4"/>
      <c r="N20" s="76"/>
      <c r="O20" s="76"/>
      <c r="P20" s="76" t="str">
        <f t="shared" si="6"/>
        <v>,record_shikibetsu</v>
      </c>
      <c r="Q20" s="76" t="str">
        <f t="shared" si="7"/>
        <v>TEXT</v>
      </c>
      <c r="R20" s="76" t="str">
        <f t="shared" si="8"/>
        <v>default 'RE'</v>
      </c>
      <c r="S20" s="76" t="str">
        <f t="shared" si="9"/>
        <v>NOT NULL</v>
      </c>
      <c r="T20" s="76" t="str">
        <f t="shared" si="10"/>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milscm_2023_009.sny_202310_backup_merge_receiptd_re.record_shikibetsu IS 'レコード識別情報';</v>
      </c>
    </row>
    <row r="21" spans="1:45" s="25" customFormat="1">
      <c r="A21" s="4"/>
      <c r="B21" s="21">
        <f t="shared" si="2"/>
        <v>9</v>
      </c>
      <c r="C21" s="13" t="s">
        <v>914</v>
      </c>
      <c r="D21" s="13" t="s">
        <v>915</v>
      </c>
      <c r="E21" s="7" t="s">
        <v>127</v>
      </c>
      <c r="F21" s="7" t="s">
        <v>204</v>
      </c>
      <c r="G21" s="7" t="str">
        <f t="shared" si="5"/>
        <v>integer</v>
      </c>
      <c r="H21" s="58"/>
      <c r="I21" s="23" t="s">
        <v>127</v>
      </c>
      <c r="J21" s="24" t="s">
        <v>1064</v>
      </c>
      <c r="M21" s="4"/>
      <c r="N21" s="76"/>
      <c r="O21" s="76"/>
      <c r="P21" s="76" t="str">
        <f t="shared" si="6"/>
        <v>,receipt_no</v>
      </c>
      <c r="Q21" s="76" t="str">
        <f t="shared" si="7"/>
        <v>INTEGER</v>
      </c>
      <c r="R21" s="76" t="str">
        <f t="shared" si="8"/>
        <v/>
      </c>
      <c r="S21" s="76" t="str">
        <f t="shared" si="9"/>
        <v>NOT NULL</v>
      </c>
      <c r="T21" s="76" t="str">
        <f t="shared" si="10"/>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milscm_2023_009.sny_202310_backup_merge_receiptd_re.receipt_no IS 'レセプト番号';</v>
      </c>
    </row>
    <row r="22" spans="1:45" s="25" customFormat="1">
      <c r="A22" s="4"/>
      <c r="B22" s="21">
        <f t="shared" si="2"/>
        <v>10</v>
      </c>
      <c r="C22" s="13" t="s">
        <v>916</v>
      </c>
      <c r="D22" s="13" t="s">
        <v>917</v>
      </c>
      <c r="E22" s="7" t="s">
        <v>127</v>
      </c>
      <c r="F22" s="7" t="s">
        <v>204</v>
      </c>
      <c r="G22" s="7" t="str">
        <f t="shared" si="5"/>
        <v>integer</v>
      </c>
      <c r="H22" s="58"/>
      <c r="I22" s="23" t="s">
        <v>127</v>
      </c>
      <c r="J22" s="24" t="s">
        <v>1209</v>
      </c>
      <c r="M22" s="4"/>
      <c r="N22" s="76"/>
      <c r="O22" s="76"/>
      <c r="P22" s="76" t="str">
        <f t="shared" si="6"/>
        <v>,gyo_no</v>
      </c>
      <c r="Q22" s="76" t="str">
        <f t="shared" si="7"/>
        <v>INTEGER</v>
      </c>
      <c r="R22" s="76" t="str">
        <f t="shared" si="8"/>
        <v/>
      </c>
      <c r="S22" s="76" t="str">
        <f t="shared" si="9"/>
        <v>NOT NULL</v>
      </c>
      <c r="T22" s="76" t="str">
        <f t="shared" si="10"/>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milscm_2023_009.sny_202310_backup_merge_receiptd_re.gyo_no IS '行番号';</v>
      </c>
    </row>
    <row r="23" spans="1:45" s="25" customFormat="1">
      <c r="A23" s="4"/>
      <c r="B23" s="21">
        <f t="shared" si="2"/>
        <v>11</v>
      </c>
      <c r="C23" s="13" t="s">
        <v>918</v>
      </c>
      <c r="D23" s="13" t="s">
        <v>919</v>
      </c>
      <c r="E23" s="7"/>
      <c r="F23" s="7" t="s">
        <v>865</v>
      </c>
      <c r="G23" s="7" t="str">
        <f t="shared" si="5"/>
        <v>text</v>
      </c>
      <c r="H23" s="58"/>
      <c r="I23" s="23"/>
      <c r="J23" s="24" t="s">
        <v>1066</v>
      </c>
      <c r="M23" s="4"/>
      <c r="N23" s="76"/>
      <c r="O23" s="76"/>
      <c r="P23" s="76" t="str">
        <f t="shared" si="6"/>
        <v>,karute_no</v>
      </c>
      <c r="Q23" s="76" t="str">
        <f t="shared" si="7"/>
        <v>TEXT</v>
      </c>
      <c r="R23" s="76" t="str">
        <f t="shared" si="8"/>
        <v/>
      </c>
      <c r="S23" s="76" t="str">
        <f t="shared" si="9"/>
        <v/>
      </c>
      <c r="T23" s="76" t="str">
        <f t="shared" si="10"/>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milscm_2023_009.sny_202310_backup_merge_receiptd_re.karute_no IS 'カルテ番号等';</v>
      </c>
    </row>
    <row r="24" spans="1:45" s="25" customFormat="1">
      <c r="A24" s="4"/>
      <c r="B24" s="21">
        <f t="shared" si="2"/>
        <v>12</v>
      </c>
      <c r="C24" s="13" t="s">
        <v>1202</v>
      </c>
      <c r="D24" s="13" t="s">
        <v>1203</v>
      </c>
      <c r="E24" s="7"/>
      <c r="F24" s="7" t="s">
        <v>865</v>
      </c>
      <c r="G24" s="7" t="str">
        <f t="shared" si="5"/>
        <v>text</v>
      </c>
      <c r="H24" s="58"/>
      <c r="I24" s="23"/>
      <c r="J24" s="24"/>
      <c r="M24" s="4"/>
      <c r="N24" s="76"/>
      <c r="O24" s="76"/>
      <c r="P24" s="76" t="str">
        <f t="shared" si="6"/>
        <v>,receipt_sokatsu_kubun</v>
      </c>
      <c r="Q24" s="76" t="str">
        <f t="shared" si="7"/>
        <v>TEXT</v>
      </c>
      <c r="R24" s="76" t="str">
        <f t="shared" si="8"/>
        <v/>
      </c>
      <c r="S24" s="76" t="str">
        <f t="shared" si="9"/>
        <v/>
      </c>
      <c r="T24" s="76" t="str">
        <f t="shared" si="10"/>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milscm_2023_009.sny_202310_backup_merge_receiptd_re.receipt_sokatsu_kubun IS 'レセプト総括区分';</v>
      </c>
    </row>
    <row r="25" spans="1:45" s="25" customFormat="1">
      <c r="A25" s="4"/>
      <c r="B25" s="21">
        <f t="shared" si="2"/>
        <v>13</v>
      </c>
      <c r="C25" s="13" t="s">
        <v>944</v>
      </c>
      <c r="D25" s="13" t="s">
        <v>945</v>
      </c>
      <c r="E25" s="7"/>
      <c r="F25" s="7" t="s">
        <v>865</v>
      </c>
      <c r="G25" s="7" t="str">
        <f t="shared" si="5"/>
        <v>text</v>
      </c>
      <c r="H25" s="58"/>
      <c r="I25" s="23"/>
      <c r="J25" s="24"/>
      <c r="M25" s="4"/>
      <c r="N25" s="76"/>
      <c r="O25" s="76"/>
      <c r="P25" s="76" t="str">
        <f t="shared" si="6"/>
        <v>,receipt_type</v>
      </c>
      <c r="Q25" s="76" t="str">
        <f t="shared" si="7"/>
        <v>TEXT</v>
      </c>
      <c r="R25" s="76" t="str">
        <f t="shared" si="8"/>
        <v/>
      </c>
      <c r="S25" s="76" t="str">
        <f t="shared" si="9"/>
        <v/>
      </c>
      <c r="T25" s="76" t="str">
        <f t="shared" si="10"/>
        <v>-- レセプト種別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milscm_2023_009.sny_202310_backup_merge_receiptd_re.receipt_type IS 'レセプト種別';</v>
      </c>
    </row>
    <row r="26" spans="1:45" s="25" customFormat="1">
      <c r="A26" s="4"/>
      <c r="B26" s="21">
        <f t="shared" si="2"/>
        <v>14</v>
      </c>
      <c r="C26" s="13" t="s">
        <v>946</v>
      </c>
      <c r="D26" s="13" t="s">
        <v>947</v>
      </c>
      <c r="E26" s="7"/>
      <c r="F26" s="7" t="s">
        <v>865</v>
      </c>
      <c r="G26" s="7" t="str">
        <f t="shared" si="5"/>
        <v>text</v>
      </c>
      <c r="H26" s="58"/>
      <c r="I26" s="23"/>
      <c r="J26" s="24" t="s">
        <v>1067</v>
      </c>
      <c r="M26" s="4"/>
      <c r="N26" s="76"/>
      <c r="O26" s="76"/>
      <c r="P26" s="76" t="str">
        <f t="shared" si="6"/>
        <v>,name</v>
      </c>
      <c r="Q26" s="76" t="str">
        <f t="shared" si="7"/>
        <v>TEXT</v>
      </c>
      <c r="R26" s="76" t="str">
        <f t="shared" si="8"/>
        <v/>
      </c>
      <c r="S26" s="76" t="str">
        <f t="shared" si="9"/>
        <v/>
      </c>
      <c r="T26" s="76" t="str">
        <f t="shared" si="10"/>
        <v>-- 氏名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milscm_2023_009.sny_202310_backup_merge_receiptd_re.name IS '氏名';</v>
      </c>
    </row>
    <row r="27" spans="1:45" s="25" customFormat="1">
      <c r="A27" s="4"/>
      <c r="B27" s="21">
        <f t="shared" si="2"/>
        <v>15</v>
      </c>
      <c r="C27" s="13" t="s">
        <v>948</v>
      </c>
      <c r="D27" s="13" t="s">
        <v>949</v>
      </c>
      <c r="E27" s="7"/>
      <c r="F27" s="7" t="s">
        <v>865</v>
      </c>
      <c r="G27" s="7" t="str">
        <f t="shared" si="5"/>
        <v>text</v>
      </c>
      <c r="H27" s="58"/>
      <c r="I27" s="23"/>
      <c r="J27" s="24" t="s">
        <v>1068</v>
      </c>
      <c r="M27" s="4"/>
      <c r="N27" s="76"/>
      <c r="O27" s="76"/>
      <c r="P27" s="76" t="str">
        <f t="shared" si="6"/>
        <v>,sex_kubun</v>
      </c>
      <c r="Q27" s="76" t="str">
        <f t="shared" si="7"/>
        <v>TEXT</v>
      </c>
      <c r="R27" s="76" t="str">
        <f t="shared" si="8"/>
        <v/>
      </c>
      <c r="S27" s="76" t="str">
        <f t="shared" si="9"/>
        <v/>
      </c>
      <c r="T27" s="76" t="str">
        <f t="shared" si="10"/>
        <v>-- 男女区分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milscm_2023_009.sny_202310_backup_merge_receiptd_re.sex_kubun IS '男女区分';</v>
      </c>
    </row>
    <row r="28" spans="1:45" s="25" customFormat="1" ht="87">
      <c r="A28" s="4"/>
      <c r="B28" s="21">
        <f t="shared" si="2"/>
        <v>16</v>
      </c>
      <c r="C28" s="13" t="s">
        <v>950</v>
      </c>
      <c r="D28" s="13" t="s">
        <v>322</v>
      </c>
      <c r="E28" s="7"/>
      <c r="F28" s="7" t="s">
        <v>865</v>
      </c>
      <c r="G28" s="7" t="str">
        <f t="shared" si="5"/>
        <v>text</v>
      </c>
      <c r="H28" s="58"/>
      <c r="I28" s="23"/>
      <c r="J28" s="24" t="s">
        <v>1199</v>
      </c>
      <c r="M28" s="4"/>
      <c r="N28" s="76"/>
      <c r="O28" s="76"/>
      <c r="P28" s="76" t="str">
        <f t="shared" si="6"/>
        <v>,birthday</v>
      </c>
      <c r="Q28" s="76" t="str">
        <f t="shared" si="7"/>
        <v>TEXT</v>
      </c>
      <c r="R28" s="76" t="str">
        <f t="shared" si="8"/>
        <v/>
      </c>
      <c r="S28" s="76" t="str">
        <f t="shared" si="9"/>
        <v/>
      </c>
      <c r="T28" s="76" t="str">
        <f t="shared" si="10"/>
        <v>-- 生年月日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milscm_2023_009.sny_202310_backup_merge_receiptd_re.birthday IS '生年月日';</v>
      </c>
    </row>
    <row r="29" spans="1:45" s="25" customFormat="1">
      <c r="A29" s="4"/>
      <c r="B29" s="21">
        <f t="shared" si="2"/>
        <v>17</v>
      </c>
      <c r="C29" s="13" t="s">
        <v>951</v>
      </c>
      <c r="D29" s="13" t="s">
        <v>952</v>
      </c>
      <c r="E29" s="7"/>
      <c r="F29" s="7" t="s">
        <v>204</v>
      </c>
      <c r="G29" s="7" t="str">
        <f t="shared" si="5"/>
        <v>integer</v>
      </c>
      <c r="H29" s="58"/>
      <c r="I29" s="23"/>
      <c r="J29" s="24"/>
      <c r="M29" s="4"/>
      <c r="N29" s="76"/>
      <c r="O29" s="76"/>
      <c r="P29" s="76" t="str">
        <f t="shared" si="6"/>
        <v>,kyufu_wariai</v>
      </c>
      <c r="Q29" s="76" t="str">
        <f t="shared" si="7"/>
        <v>INTEGER</v>
      </c>
      <c r="R29" s="76" t="str">
        <f t="shared" si="8"/>
        <v/>
      </c>
      <c r="S29" s="76" t="str">
        <f t="shared" si="9"/>
        <v/>
      </c>
      <c r="T29" s="76" t="str">
        <f t="shared" si="10"/>
        <v>-- 給付割合</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milscm_2023_009.sny_202310_backup_merge_receiptd_re.kyufu_wariai IS '給付割合';</v>
      </c>
    </row>
    <row r="30" spans="1:45" s="25" customFormat="1" ht="69.599999999999994">
      <c r="A30" s="4"/>
      <c r="B30" s="21">
        <f t="shared" si="2"/>
        <v>18</v>
      </c>
      <c r="C30" s="13" t="s">
        <v>868</v>
      </c>
      <c r="D30" s="13" t="s">
        <v>156</v>
      </c>
      <c r="E30" s="7"/>
      <c r="F30" s="7" t="s">
        <v>865</v>
      </c>
      <c r="G30" s="7" t="str">
        <f t="shared" si="5"/>
        <v>text</v>
      </c>
      <c r="H30" s="58"/>
      <c r="I30" s="23"/>
      <c r="J30" s="24" t="s">
        <v>1070</v>
      </c>
      <c r="M30" s="4"/>
      <c r="N30" s="76"/>
      <c r="O30" s="76"/>
      <c r="P30" s="76" t="str">
        <f t="shared" si="6"/>
        <v>,nyuin_ymd</v>
      </c>
      <c r="Q30" s="76" t="str">
        <f t="shared" si="7"/>
        <v>TEXT</v>
      </c>
      <c r="R30" s="76" t="str">
        <f t="shared" si="8"/>
        <v/>
      </c>
      <c r="S30" s="76" t="str">
        <f t="shared" si="9"/>
        <v/>
      </c>
      <c r="T30" s="76" t="str">
        <f t="shared" si="10"/>
        <v>-- 入院年月日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milscm_2023_009.sny_202310_backup_merge_receiptd_re.nyuin_ymd IS '入院年月日';</v>
      </c>
    </row>
    <row r="31" spans="1:45" s="25" customFormat="1">
      <c r="A31" s="4"/>
      <c r="B31" s="21">
        <f t="shared" si="2"/>
        <v>19</v>
      </c>
      <c r="C31" s="13" t="s">
        <v>953</v>
      </c>
      <c r="D31" s="13" t="s">
        <v>954</v>
      </c>
      <c r="E31" s="7"/>
      <c r="F31" s="7" t="s">
        <v>865</v>
      </c>
      <c r="G31" s="7" t="str">
        <f t="shared" si="5"/>
        <v>text</v>
      </c>
      <c r="H31" s="58"/>
      <c r="I31" s="23"/>
      <c r="J31" s="24" t="s">
        <v>1071</v>
      </c>
      <c r="M31" s="4"/>
      <c r="N31" s="76"/>
      <c r="O31" s="76"/>
      <c r="P31" s="76" t="str">
        <f t="shared" si="6"/>
        <v>,ward_kubun1</v>
      </c>
      <c r="Q31" s="76" t="str">
        <f t="shared" si="7"/>
        <v>TEXT</v>
      </c>
      <c r="R31" s="76" t="str">
        <f t="shared" si="8"/>
        <v/>
      </c>
      <c r="S31" s="76" t="str">
        <f t="shared" si="9"/>
        <v/>
      </c>
      <c r="T31" s="76" t="str">
        <f t="shared" si="10"/>
        <v>-- 病棟区分1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milscm_2023_009.sny_202310_backup_merge_receiptd_re.ward_kubun1 IS '病棟区分1';</v>
      </c>
    </row>
    <row r="32" spans="1:45" s="25" customFormat="1">
      <c r="A32" s="4"/>
      <c r="B32" s="21">
        <f t="shared" si="2"/>
        <v>20</v>
      </c>
      <c r="C32" s="13" t="s">
        <v>955</v>
      </c>
      <c r="D32" s="13" t="s">
        <v>956</v>
      </c>
      <c r="E32" s="7"/>
      <c r="F32" s="7" t="s">
        <v>865</v>
      </c>
      <c r="G32" s="7" t="str">
        <f t="shared" si="5"/>
        <v>text</v>
      </c>
      <c r="H32" s="58"/>
      <c r="I32" s="23"/>
      <c r="J32" s="24"/>
      <c r="M32" s="4"/>
      <c r="N32" s="76"/>
      <c r="O32" s="76"/>
      <c r="P32" s="76" t="str">
        <f t="shared" si="6"/>
        <v>,ward_kubun2</v>
      </c>
      <c r="Q32" s="76" t="str">
        <f t="shared" si="7"/>
        <v>TEXT</v>
      </c>
      <c r="R32" s="76" t="str">
        <f t="shared" si="8"/>
        <v/>
      </c>
      <c r="S32" s="76" t="str">
        <f t="shared" si="9"/>
        <v/>
      </c>
      <c r="T32" s="76" t="str">
        <f t="shared" si="10"/>
        <v>-- 病棟区分2</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milscm_2023_009.sny_202310_backup_merge_receiptd_re.ward_kubun2 IS '病棟区分2';</v>
      </c>
    </row>
    <row r="33" spans="1:45" s="25" customFormat="1">
      <c r="A33" s="4"/>
      <c r="B33" s="21">
        <f t="shared" si="2"/>
        <v>21</v>
      </c>
      <c r="C33" s="13" t="s">
        <v>957</v>
      </c>
      <c r="D33" s="13" t="s">
        <v>958</v>
      </c>
      <c r="E33" s="7"/>
      <c r="F33" s="7" t="s">
        <v>865</v>
      </c>
      <c r="G33" s="7" t="str">
        <f t="shared" si="5"/>
        <v>text</v>
      </c>
      <c r="H33" s="58"/>
      <c r="I33" s="23"/>
      <c r="J33" s="24"/>
      <c r="M33" s="4"/>
      <c r="N33" s="76"/>
      <c r="O33" s="76"/>
      <c r="P33" s="76" t="str">
        <f t="shared" si="6"/>
        <v>,ward_kubun3</v>
      </c>
      <c r="Q33" s="76" t="str">
        <f t="shared" si="7"/>
        <v>TEXT</v>
      </c>
      <c r="R33" s="76" t="str">
        <f t="shared" si="8"/>
        <v/>
      </c>
      <c r="S33" s="76" t="str">
        <f t="shared" si="9"/>
        <v/>
      </c>
      <c r="T33" s="76" t="str">
        <f t="shared" si="10"/>
        <v>-- 病棟区分3</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milscm_2023_009.sny_202310_backup_merge_receiptd_re.ward_kubun3 IS '病棟区分3';</v>
      </c>
    </row>
    <row r="34" spans="1:45" s="25" customFormat="1">
      <c r="A34" s="4"/>
      <c r="B34" s="21">
        <f t="shared" si="2"/>
        <v>22</v>
      </c>
      <c r="C34" s="13" t="s">
        <v>959</v>
      </c>
      <c r="D34" s="13" t="s">
        <v>960</v>
      </c>
      <c r="E34" s="7"/>
      <c r="F34" s="7" t="s">
        <v>865</v>
      </c>
      <c r="G34" s="7" t="str">
        <f t="shared" si="5"/>
        <v>text</v>
      </c>
      <c r="H34" s="58"/>
      <c r="I34" s="23"/>
      <c r="J34" s="24"/>
      <c r="M34" s="4"/>
      <c r="N34" s="76"/>
      <c r="O34" s="76"/>
      <c r="P34" s="76" t="str">
        <f t="shared" si="6"/>
        <v>,ward_kubun4</v>
      </c>
      <c r="Q34" s="76" t="str">
        <f t="shared" si="7"/>
        <v>TEXT</v>
      </c>
      <c r="R34" s="76" t="str">
        <f t="shared" si="8"/>
        <v/>
      </c>
      <c r="S34" s="76" t="str">
        <f t="shared" si="9"/>
        <v/>
      </c>
      <c r="T34" s="76" t="str">
        <f t="shared" si="10"/>
        <v>-- 病棟区分4</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milscm_2023_009.sny_202310_backup_merge_receiptd_re.ward_kubun4 IS '病棟区分4';</v>
      </c>
    </row>
    <row r="35" spans="1:45" s="25" customFormat="1" ht="30">
      <c r="A35" s="4"/>
      <c r="B35" s="21">
        <f t="shared" si="2"/>
        <v>23</v>
      </c>
      <c r="C35" s="13" t="s">
        <v>961</v>
      </c>
      <c r="D35" s="13" t="s">
        <v>962</v>
      </c>
      <c r="E35" s="7"/>
      <c r="F35" s="7" t="s">
        <v>865</v>
      </c>
      <c r="G35" s="7" t="str">
        <f t="shared" si="5"/>
        <v>text</v>
      </c>
      <c r="H35" s="58"/>
      <c r="I35" s="23"/>
      <c r="J35" s="24"/>
      <c r="M35" s="4"/>
      <c r="N35" s="76"/>
      <c r="O35" s="76"/>
      <c r="P35" s="76" t="str">
        <f t="shared" si="6"/>
        <v>,ichibu_futankin_kubun</v>
      </c>
      <c r="Q35" s="76" t="str">
        <f t="shared" si="7"/>
        <v>TEXT</v>
      </c>
      <c r="R35" s="76" t="str">
        <f t="shared" si="8"/>
        <v/>
      </c>
      <c r="S35" s="76" t="str">
        <f t="shared" si="9"/>
        <v/>
      </c>
      <c r="T35" s="76" t="str">
        <f t="shared" si="10"/>
        <v>-- 一部負担金・食事療養費・生活療養費標準負担額区分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milscm_2023_009.sny_202310_backup_merge_receiptd_re.ichibu_futankin_kubun IS '一部負担金・食事療養費・生活療養費標準負担額区分';</v>
      </c>
    </row>
    <row r="36" spans="1:45" s="25" customFormat="1">
      <c r="A36" s="4"/>
      <c r="B36" s="21">
        <f t="shared" si="2"/>
        <v>24</v>
      </c>
      <c r="C36" s="13" t="s">
        <v>963</v>
      </c>
      <c r="D36" s="13" t="s">
        <v>964</v>
      </c>
      <c r="E36" s="7"/>
      <c r="F36" s="7" t="s">
        <v>865</v>
      </c>
      <c r="G36" s="7" t="str">
        <f t="shared" si="5"/>
        <v>text</v>
      </c>
      <c r="H36" s="58"/>
      <c r="I36" s="23"/>
      <c r="J36" s="24" t="s">
        <v>1072</v>
      </c>
      <c r="M36" s="4"/>
      <c r="N36" s="76"/>
      <c r="O36" s="76"/>
      <c r="P36" s="76" t="str">
        <f t="shared" si="6"/>
        <v>,receipt_tokki_code1</v>
      </c>
      <c r="Q36" s="76" t="str">
        <f t="shared" si="7"/>
        <v>TEXT</v>
      </c>
      <c r="R36" s="76" t="str">
        <f t="shared" si="8"/>
        <v/>
      </c>
      <c r="S36" s="76" t="str">
        <f t="shared" si="9"/>
        <v/>
      </c>
      <c r="T36" s="76" t="str">
        <f t="shared" si="10"/>
        <v>-- レセプト特記事項1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milscm_2023_009.sny_202310_backup_merge_receiptd_re.receipt_tokki_code1 IS 'レセプト特記事項1';</v>
      </c>
    </row>
    <row r="37" spans="1:45" s="25" customFormat="1">
      <c r="A37" s="4"/>
      <c r="B37" s="21">
        <f t="shared" si="2"/>
        <v>25</v>
      </c>
      <c r="C37" s="13" t="s">
        <v>965</v>
      </c>
      <c r="D37" s="13" t="s">
        <v>966</v>
      </c>
      <c r="E37" s="7"/>
      <c r="F37" s="7" t="s">
        <v>865</v>
      </c>
      <c r="G37" s="7" t="str">
        <f t="shared" si="5"/>
        <v>text</v>
      </c>
      <c r="H37" s="58"/>
      <c r="I37" s="23"/>
      <c r="J37" s="24"/>
      <c r="M37" s="4"/>
      <c r="N37" s="76"/>
      <c r="O37" s="76"/>
      <c r="P37" s="76" t="str">
        <f t="shared" si="6"/>
        <v>,receipt_tokki_code2</v>
      </c>
      <c r="Q37" s="76" t="str">
        <f t="shared" si="7"/>
        <v>TEXT</v>
      </c>
      <c r="R37" s="76" t="str">
        <f t="shared" si="8"/>
        <v/>
      </c>
      <c r="S37" s="76" t="str">
        <f t="shared" si="9"/>
        <v/>
      </c>
      <c r="T37" s="76" t="str">
        <f t="shared" si="10"/>
        <v>-- レセプト特記事項2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milscm_2023_009.sny_202310_backup_merge_receiptd_re.receipt_tokki_code2 IS 'レセプト特記事項2';</v>
      </c>
    </row>
    <row r="38" spans="1:45" s="25" customFormat="1">
      <c r="A38" s="4"/>
      <c r="B38" s="21">
        <f t="shared" si="2"/>
        <v>26</v>
      </c>
      <c r="C38" s="13" t="s">
        <v>967</v>
      </c>
      <c r="D38" s="13" t="s">
        <v>968</v>
      </c>
      <c r="E38" s="7"/>
      <c r="F38" s="7" t="s">
        <v>865</v>
      </c>
      <c r="G38" s="7" t="str">
        <f t="shared" si="5"/>
        <v>text</v>
      </c>
      <c r="H38" s="58"/>
      <c r="I38" s="23"/>
      <c r="J38" s="24"/>
      <c r="M38" s="4"/>
      <c r="N38" s="76"/>
      <c r="O38" s="76"/>
      <c r="P38" s="76" t="str">
        <f t="shared" si="6"/>
        <v>,receipt_tokki_code3</v>
      </c>
      <c r="Q38" s="76" t="str">
        <f t="shared" si="7"/>
        <v>TEXT</v>
      </c>
      <c r="R38" s="76" t="str">
        <f t="shared" si="8"/>
        <v/>
      </c>
      <c r="S38" s="76" t="str">
        <f t="shared" si="9"/>
        <v/>
      </c>
      <c r="T38" s="76" t="str">
        <f t="shared" si="10"/>
        <v>-- レセプト特記事項3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milscm_2023_009.sny_202310_backup_merge_receiptd_re.receipt_tokki_code3 IS 'レセプト特記事項3';</v>
      </c>
    </row>
    <row r="39" spans="1:45" s="25" customFormat="1">
      <c r="A39" s="4"/>
      <c r="B39" s="21">
        <f t="shared" si="2"/>
        <v>27</v>
      </c>
      <c r="C39" s="13" t="s">
        <v>969</v>
      </c>
      <c r="D39" s="13" t="s">
        <v>970</v>
      </c>
      <c r="E39" s="7"/>
      <c r="F39" s="7" t="s">
        <v>865</v>
      </c>
      <c r="G39" s="7" t="str">
        <f t="shared" si="5"/>
        <v>text</v>
      </c>
      <c r="H39" s="58"/>
      <c r="I39" s="23"/>
      <c r="J39" s="24"/>
      <c r="M39" s="4"/>
      <c r="N39" s="76"/>
      <c r="O39" s="76"/>
      <c r="P39" s="76" t="str">
        <f t="shared" si="6"/>
        <v>,receipt_tokki_code4</v>
      </c>
      <c r="Q39" s="76" t="str">
        <f t="shared" si="7"/>
        <v>TEXT</v>
      </c>
      <c r="R39" s="76" t="str">
        <f t="shared" si="8"/>
        <v/>
      </c>
      <c r="S39" s="76" t="str">
        <f t="shared" si="9"/>
        <v/>
      </c>
      <c r="T39" s="76" t="str">
        <f t="shared" si="10"/>
        <v>-- レセプト特記事項4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milscm_2023_009.sny_202310_backup_merge_receiptd_re.receipt_tokki_code4 IS 'レセプト特記事項4';</v>
      </c>
    </row>
    <row r="40" spans="1:45" s="25" customFormat="1">
      <c r="A40" s="4"/>
      <c r="B40" s="21">
        <f t="shared" si="2"/>
        <v>28</v>
      </c>
      <c r="C40" s="13" t="s">
        <v>971</v>
      </c>
      <c r="D40" s="13" t="s">
        <v>972</v>
      </c>
      <c r="E40" s="7"/>
      <c r="F40" s="7" t="s">
        <v>865</v>
      </c>
      <c r="G40" s="7" t="str">
        <f t="shared" si="5"/>
        <v>text</v>
      </c>
      <c r="H40" s="58"/>
      <c r="I40" s="23"/>
      <c r="J40" s="24"/>
      <c r="M40" s="4"/>
      <c r="N40" s="76"/>
      <c r="O40" s="76"/>
      <c r="P40" s="76" t="str">
        <f t="shared" si="6"/>
        <v>,receipt_tokki_code5</v>
      </c>
      <c r="Q40" s="76" t="str">
        <f t="shared" si="7"/>
        <v>TEXT</v>
      </c>
      <c r="R40" s="76" t="str">
        <f t="shared" si="8"/>
        <v/>
      </c>
      <c r="S40" s="76" t="str">
        <f t="shared" si="9"/>
        <v/>
      </c>
      <c r="T40" s="76" t="str">
        <f t="shared" si="10"/>
        <v>-- レセプト特記事項5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milscm_2023_009.sny_202310_backup_merge_receiptd_re.receipt_tokki_code5 IS 'レセプト特記事項5';</v>
      </c>
    </row>
    <row r="41" spans="1:45" s="25" customFormat="1">
      <c r="A41" s="4"/>
      <c r="B41" s="21">
        <f t="shared" si="2"/>
        <v>29</v>
      </c>
      <c r="C41" s="13" t="s">
        <v>926</v>
      </c>
      <c r="D41" s="13" t="s">
        <v>927</v>
      </c>
      <c r="E41" s="7"/>
      <c r="F41" s="7" t="s">
        <v>865</v>
      </c>
      <c r="G41" s="7" t="str">
        <f t="shared" si="5"/>
        <v>text</v>
      </c>
      <c r="H41" s="58"/>
      <c r="I41" s="23"/>
      <c r="J41" s="24"/>
      <c r="M41" s="4"/>
      <c r="N41" s="76"/>
      <c r="O41" s="76"/>
      <c r="P41" s="76" t="str">
        <f t="shared" si="6"/>
        <v>,reserve1</v>
      </c>
      <c r="Q41" s="76" t="str">
        <f t="shared" si="7"/>
        <v>TEXT</v>
      </c>
      <c r="R41" s="76" t="str">
        <f t="shared" si="8"/>
        <v/>
      </c>
      <c r="S41" s="76" t="str">
        <f t="shared" si="9"/>
        <v/>
      </c>
      <c r="T41" s="76" t="str">
        <f t="shared" si="10"/>
        <v>-- 予備1</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milscm_2023_009.sny_202310_backup_merge_receiptd_re.reserve1 IS '予備1';</v>
      </c>
    </row>
    <row r="42" spans="1:45" s="25" customFormat="1">
      <c r="A42" s="4"/>
      <c r="B42" s="21">
        <f t="shared" si="2"/>
        <v>30</v>
      </c>
      <c r="C42" s="13" t="s">
        <v>975</v>
      </c>
      <c r="D42" s="13" t="s">
        <v>976</v>
      </c>
      <c r="E42" s="7"/>
      <c r="F42" s="7" t="s">
        <v>204</v>
      </c>
      <c r="G42" s="7" t="str">
        <f t="shared" si="5"/>
        <v>integer</v>
      </c>
      <c r="H42" s="58"/>
      <c r="I42" s="23"/>
      <c r="J42" s="24"/>
      <c r="M42" s="4"/>
      <c r="N42" s="76"/>
      <c r="O42" s="76"/>
      <c r="P42" s="76" t="str">
        <f t="shared" si="6"/>
        <v>,waribiki_tensu</v>
      </c>
      <c r="Q42" s="76" t="str">
        <f t="shared" si="7"/>
        <v>INTEGER</v>
      </c>
      <c r="R42" s="76" t="str">
        <f t="shared" si="8"/>
        <v/>
      </c>
      <c r="S42" s="76" t="str">
        <f t="shared" si="9"/>
        <v/>
      </c>
      <c r="T42" s="76" t="str">
        <f t="shared" si="10"/>
        <v>-- 割引点数単価</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milscm_2023_009.sny_202310_backup_merge_receiptd_re.waribiki_tensu IS '割引点数単価';</v>
      </c>
    </row>
    <row r="43" spans="1:45" s="25" customFormat="1">
      <c r="A43" s="4"/>
      <c r="B43" s="21">
        <f t="shared" si="2"/>
        <v>31</v>
      </c>
      <c r="C43" s="13" t="s">
        <v>977</v>
      </c>
      <c r="D43" s="13" t="s">
        <v>978</v>
      </c>
      <c r="E43" s="7"/>
      <c r="F43" s="7" t="s">
        <v>865</v>
      </c>
      <c r="G43" s="7" t="str">
        <f t="shared" si="5"/>
        <v>text</v>
      </c>
      <c r="H43" s="58"/>
      <c r="I43" s="23"/>
      <c r="J43" s="24"/>
      <c r="M43" s="4"/>
      <c r="N43" s="76"/>
      <c r="O43" s="76"/>
      <c r="P43" s="76" t="str">
        <f t="shared" si="6"/>
        <v>,reserve2</v>
      </c>
      <c r="Q43" s="76" t="str">
        <f t="shared" si="7"/>
        <v>TEXT</v>
      </c>
      <c r="R43" s="76" t="str">
        <f t="shared" si="8"/>
        <v/>
      </c>
      <c r="S43" s="76" t="str">
        <f t="shared" si="9"/>
        <v/>
      </c>
      <c r="T43" s="76" t="str">
        <f t="shared" si="10"/>
        <v>-- 予備2</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milscm_2023_009.sny_202310_backup_merge_receiptd_re.reserve2 IS '予備2';</v>
      </c>
    </row>
    <row r="44" spans="1:45" s="25" customFormat="1">
      <c r="A44" s="4"/>
      <c r="B44" s="21">
        <f t="shared" si="2"/>
        <v>32</v>
      </c>
      <c r="C44" s="13" t="s">
        <v>979</v>
      </c>
      <c r="D44" s="13" t="s">
        <v>980</v>
      </c>
      <c r="E44" s="7"/>
      <c r="F44" s="7" t="s">
        <v>865</v>
      </c>
      <c r="G44" s="7" t="str">
        <f t="shared" si="5"/>
        <v>text</v>
      </c>
      <c r="H44" s="58"/>
      <c r="I44" s="23"/>
      <c r="J44" s="24"/>
      <c r="M44" s="4"/>
      <c r="N44" s="76"/>
      <c r="O44" s="76"/>
      <c r="P44" s="76" t="str">
        <f t="shared" si="6"/>
        <v>,reserve3</v>
      </c>
      <c r="Q44" s="76" t="str">
        <f t="shared" si="7"/>
        <v>TEXT</v>
      </c>
      <c r="R44" s="76" t="str">
        <f t="shared" si="8"/>
        <v/>
      </c>
      <c r="S44" s="76" t="str">
        <f t="shared" si="9"/>
        <v/>
      </c>
      <c r="T44" s="76" t="str">
        <f t="shared" si="10"/>
        <v>-- 予備3</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milscm_2023_009.sny_202310_backup_merge_receiptd_re.reserve3 IS '予備3';</v>
      </c>
    </row>
    <row r="45" spans="1:45" s="25" customFormat="1">
      <c r="A45" s="4"/>
      <c r="B45" s="21">
        <f t="shared" si="2"/>
        <v>33</v>
      </c>
      <c r="C45" s="13" t="s">
        <v>1186</v>
      </c>
      <c r="D45" s="13" t="s">
        <v>1187</v>
      </c>
      <c r="E45" s="7"/>
      <c r="F45" s="7" t="s">
        <v>865</v>
      </c>
      <c r="G45" s="7" t="str">
        <f t="shared" si="5"/>
        <v>text</v>
      </c>
      <c r="H45" s="58"/>
      <c r="I45" s="23"/>
      <c r="J45" s="24"/>
      <c r="M45" s="4"/>
      <c r="N45" s="76"/>
      <c r="O45" s="76"/>
      <c r="P45" s="76" t="str">
        <f t="shared" si="6"/>
        <v>,reserve4</v>
      </c>
      <c r="Q45" s="76" t="str">
        <f t="shared" si="7"/>
        <v>TEXT</v>
      </c>
      <c r="R45" s="76" t="str">
        <f t="shared" si="8"/>
        <v/>
      </c>
      <c r="S45" s="76" t="str">
        <f t="shared" si="9"/>
        <v/>
      </c>
      <c r="T45" s="76" t="str">
        <f t="shared" si="10"/>
        <v>-- 予備4</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milscm_2023_009.sny_202310_backup_merge_receiptd_re.reserve4 IS '予備4';</v>
      </c>
    </row>
    <row r="46" spans="1:45" s="25" customFormat="1">
      <c r="A46" s="4"/>
      <c r="B46" s="21">
        <f t="shared" si="2"/>
        <v>34</v>
      </c>
      <c r="C46" s="13" t="s">
        <v>1207</v>
      </c>
      <c r="D46" s="13" t="s">
        <v>1208</v>
      </c>
      <c r="E46" s="7"/>
      <c r="F46" s="7" t="s">
        <v>204</v>
      </c>
      <c r="G46" s="7" t="str">
        <f t="shared" si="5"/>
        <v>integer</v>
      </c>
      <c r="H46" s="58"/>
      <c r="I46" s="23"/>
      <c r="J46" s="24"/>
      <c r="M46" s="4"/>
      <c r="N46" s="76"/>
      <c r="O46" s="76"/>
      <c r="P46" s="76" t="str">
        <f t="shared" si="6"/>
        <v>,meisai_su</v>
      </c>
      <c r="Q46" s="76" t="str">
        <f t="shared" si="7"/>
        <v>INTEGER</v>
      </c>
      <c r="R46" s="76" t="str">
        <f t="shared" si="8"/>
        <v/>
      </c>
      <c r="S46" s="76" t="str">
        <f t="shared" si="9"/>
        <v/>
      </c>
      <c r="T46" s="76" t="str">
        <f t="shared" si="10"/>
        <v>-- 明細情報数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milscm_2023_009.sny_202310_backup_merge_receiptd_re.meisai_su IS '明細情報数';</v>
      </c>
    </row>
    <row r="47" spans="1:45" s="25" customFormat="1">
      <c r="A47" s="4"/>
      <c r="B47" s="21">
        <f t="shared" si="2"/>
        <v>35</v>
      </c>
      <c r="C47" s="13" t="s">
        <v>981</v>
      </c>
      <c r="D47" s="13" t="s">
        <v>982</v>
      </c>
      <c r="E47" s="7"/>
      <c r="F47" s="7" t="s">
        <v>865</v>
      </c>
      <c r="G47" s="7" t="str">
        <f t="shared" si="5"/>
        <v>text</v>
      </c>
      <c r="H47" s="58"/>
      <c r="I47" s="23"/>
      <c r="J47" s="24"/>
      <c r="M47" s="4"/>
      <c r="N47" s="76"/>
      <c r="O47" s="76"/>
      <c r="P47" s="76" t="str">
        <f t="shared" si="6"/>
        <v>,kensaku_no</v>
      </c>
      <c r="Q47" s="76" t="str">
        <f t="shared" si="7"/>
        <v>TEXT</v>
      </c>
      <c r="R47" s="76" t="str">
        <f t="shared" si="8"/>
        <v/>
      </c>
      <c r="S47" s="76" t="str">
        <f t="shared" si="9"/>
        <v/>
      </c>
      <c r="T47" s="76" t="str">
        <f t="shared" si="10"/>
        <v>-- 検索番号</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milscm_2023_009.sny_202310_backup_merge_receiptd_re.kensaku_no IS '検索番号';</v>
      </c>
    </row>
    <row r="48" spans="1:45" s="25" customFormat="1" ht="52.2">
      <c r="A48" s="4"/>
      <c r="B48" s="21">
        <f t="shared" si="2"/>
        <v>36</v>
      </c>
      <c r="C48" s="13" t="s">
        <v>983</v>
      </c>
      <c r="D48" s="13" t="s">
        <v>984</v>
      </c>
      <c r="E48" s="7"/>
      <c r="F48" s="7" t="s">
        <v>865</v>
      </c>
      <c r="G48" s="7" t="str">
        <f t="shared" si="5"/>
        <v>text</v>
      </c>
      <c r="H48" s="58"/>
      <c r="I48" s="23"/>
      <c r="J48" s="24" t="s">
        <v>935</v>
      </c>
      <c r="M48" s="4"/>
      <c r="N48" s="76"/>
      <c r="O48" s="76"/>
      <c r="P48" s="76" t="str">
        <f t="shared" si="6"/>
        <v>,kiroku_ym</v>
      </c>
      <c r="Q48" s="76" t="str">
        <f t="shared" si="7"/>
        <v>TEXT</v>
      </c>
      <c r="R48" s="76" t="str">
        <f t="shared" si="8"/>
        <v/>
      </c>
      <c r="S48" s="76" t="str">
        <f t="shared" si="9"/>
        <v/>
      </c>
      <c r="T48" s="76" t="str">
        <f t="shared" si="10"/>
        <v>-- 記録条件仕様年月情報</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milscm_2023_009.sny_202310_backup_merge_receiptd_re.kiroku_ym IS '記録条件仕様年月情報';</v>
      </c>
    </row>
    <row r="49" spans="1:45" s="25" customFormat="1">
      <c r="A49" s="4"/>
      <c r="B49" s="21">
        <f t="shared" si="2"/>
        <v>37</v>
      </c>
      <c r="C49" s="13" t="s">
        <v>985</v>
      </c>
      <c r="D49" s="13" t="s">
        <v>986</v>
      </c>
      <c r="E49" s="7"/>
      <c r="F49" s="7" t="s">
        <v>865</v>
      </c>
      <c r="G49" s="7" t="str">
        <f t="shared" si="5"/>
        <v>text</v>
      </c>
      <c r="H49" s="58"/>
      <c r="I49" s="23"/>
      <c r="J49" s="24"/>
      <c r="M49" s="4"/>
      <c r="N49" s="76"/>
      <c r="O49" s="76"/>
      <c r="P49" s="76" t="str">
        <f t="shared" si="6"/>
        <v>,seikyu_info</v>
      </c>
      <c r="Q49" s="76" t="str">
        <f t="shared" si="7"/>
        <v>TEXT</v>
      </c>
      <c r="R49" s="76" t="str">
        <f t="shared" si="8"/>
        <v/>
      </c>
      <c r="S49" s="76" t="str">
        <f t="shared" si="9"/>
        <v/>
      </c>
      <c r="T49" s="76" t="str">
        <f t="shared" si="10"/>
        <v>-- 請求情報</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milscm_2023_009.sny_202310_backup_merge_receiptd_re.seikyu_info IS '請求情報';</v>
      </c>
    </row>
    <row r="50" spans="1:45" s="25" customFormat="1">
      <c r="A50" s="4"/>
      <c r="B50" s="21">
        <f t="shared" si="2"/>
        <v>38</v>
      </c>
      <c r="C50" s="13" t="s">
        <v>987</v>
      </c>
      <c r="D50" s="13" t="s">
        <v>988</v>
      </c>
      <c r="E50" s="7"/>
      <c r="F50" s="7" t="s">
        <v>865</v>
      </c>
      <c r="G50" s="7" t="str">
        <f t="shared" si="5"/>
        <v>text</v>
      </c>
      <c r="H50" s="58"/>
      <c r="I50" s="23"/>
      <c r="J50" s="24"/>
      <c r="M50" s="4"/>
      <c r="N50" s="76"/>
      <c r="O50" s="76"/>
      <c r="P50" s="76" t="str">
        <f t="shared" si="6"/>
        <v>,department1_name</v>
      </c>
      <c r="Q50" s="76" t="str">
        <f t="shared" si="7"/>
        <v>TEXT</v>
      </c>
      <c r="R50" s="76" t="str">
        <f t="shared" si="8"/>
        <v/>
      </c>
      <c r="S50" s="76" t="str">
        <f t="shared" si="9"/>
        <v/>
      </c>
      <c r="T50" s="76" t="str">
        <f t="shared" si="10"/>
        <v>-- 診療科1診療科名</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milscm_2023_009.sny_202310_backup_merge_receiptd_re.department1_name IS '診療科1診療科名';</v>
      </c>
    </row>
    <row r="51" spans="1:45" s="25" customFormat="1">
      <c r="A51" s="4"/>
      <c r="B51" s="21">
        <f t="shared" si="2"/>
        <v>39</v>
      </c>
      <c r="C51" s="13" t="s">
        <v>989</v>
      </c>
      <c r="D51" s="13" t="s">
        <v>990</v>
      </c>
      <c r="E51" s="7"/>
      <c r="F51" s="7" t="s">
        <v>865</v>
      </c>
      <c r="G51" s="7" t="str">
        <f t="shared" si="5"/>
        <v>text</v>
      </c>
      <c r="H51" s="58"/>
      <c r="I51" s="23"/>
      <c r="J51" s="24"/>
      <c r="M51" s="4"/>
      <c r="N51" s="76"/>
      <c r="O51" s="76"/>
      <c r="P51" s="76" t="str">
        <f t="shared" si="6"/>
        <v>,department1_jintai</v>
      </c>
      <c r="Q51" s="76" t="str">
        <f t="shared" si="7"/>
        <v>TEXT</v>
      </c>
      <c r="R51" s="76" t="str">
        <f t="shared" si="8"/>
        <v/>
      </c>
      <c r="S51" s="76" t="str">
        <f t="shared" si="9"/>
        <v/>
      </c>
      <c r="T51" s="76" t="str">
        <f t="shared" si="10"/>
        <v>-- 診療科1人体の部位等</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milscm_2023_009.sny_202310_backup_merge_receiptd_re.department1_jintai IS '診療科1人体の部位等';</v>
      </c>
    </row>
    <row r="52" spans="1:45" s="25" customFormat="1">
      <c r="A52" s="4"/>
      <c r="B52" s="21">
        <f t="shared" si="2"/>
        <v>40</v>
      </c>
      <c r="C52" s="13" t="s">
        <v>991</v>
      </c>
      <c r="D52" s="13" t="s">
        <v>992</v>
      </c>
      <c r="E52" s="7"/>
      <c r="F52" s="7" t="s">
        <v>865</v>
      </c>
      <c r="G52" s="7" t="str">
        <f t="shared" si="5"/>
        <v>text</v>
      </c>
      <c r="H52" s="58"/>
      <c r="I52" s="23"/>
      <c r="J52" s="24"/>
      <c r="M52" s="4"/>
      <c r="N52" s="76"/>
      <c r="O52" s="76"/>
      <c r="P52" s="76" t="str">
        <f t="shared" si="6"/>
        <v>,department1_sex</v>
      </c>
      <c r="Q52" s="76" t="str">
        <f t="shared" si="7"/>
        <v>TEXT</v>
      </c>
      <c r="R52" s="76" t="str">
        <f t="shared" si="8"/>
        <v/>
      </c>
      <c r="S52" s="76" t="str">
        <f t="shared" si="9"/>
        <v/>
      </c>
      <c r="T52" s="76" t="str">
        <f t="shared" si="10"/>
        <v>-- 診療科1性別等</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milscm_2023_009.sny_202310_backup_merge_receiptd_re.department1_sex IS '診療科1性別等';</v>
      </c>
    </row>
    <row r="53" spans="1:45" s="25" customFormat="1">
      <c r="A53" s="4"/>
      <c r="B53" s="21">
        <f t="shared" si="2"/>
        <v>41</v>
      </c>
      <c r="C53" s="13" t="s">
        <v>993</v>
      </c>
      <c r="D53" s="13" t="s">
        <v>994</v>
      </c>
      <c r="E53" s="7"/>
      <c r="F53" s="7" t="s">
        <v>865</v>
      </c>
      <c r="G53" s="7" t="str">
        <f t="shared" si="5"/>
        <v>text</v>
      </c>
      <c r="H53" s="58"/>
      <c r="I53" s="23"/>
      <c r="J53" s="24"/>
      <c r="M53" s="4"/>
      <c r="N53" s="76"/>
      <c r="O53" s="76"/>
      <c r="P53" s="76" t="str">
        <f t="shared" si="6"/>
        <v>,department1_igaku</v>
      </c>
      <c r="Q53" s="76" t="str">
        <f t="shared" si="7"/>
        <v>TEXT</v>
      </c>
      <c r="R53" s="76" t="str">
        <f t="shared" si="8"/>
        <v/>
      </c>
      <c r="S53" s="76" t="str">
        <f t="shared" si="9"/>
        <v/>
      </c>
      <c r="T53" s="76" t="str">
        <f t="shared" si="10"/>
        <v>-- 診療科1医学的処置</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milscm_2023_009.sny_202310_backup_merge_receiptd_re.department1_igaku IS '診療科1医学的処置';</v>
      </c>
    </row>
    <row r="54" spans="1:45" s="25" customFormat="1">
      <c r="A54" s="4"/>
      <c r="B54" s="21">
        <f t="shared" si="2"/>
        <v>42</v>
      </c>
      <c r="C54" s="13" t="s">
        <v>995</v>
      </c>
      <c r="D54" s="13" t="s">
        <v>996</v>
      </c>
      <c r="E54" s="7"/>
      <c r="F54" s="7" t="s">
        <v>865</v>
      </c>
      <c r="G54" s="7" t="str">
        <f t="shared" si="5"/>
        <v>text</v>
      </c>
      <c r="H54" s="58"/>
      <c r="I54" s="23"/>
      <c r="J54" s="24"/>
      <c r="M54" s="4"/>
      <c r="N54" s="76"/>
      <c r="O54" s="76"/>
      <c r="P54" s="76" t="str">
        <f t="shared" si="6"/>
        <v>,department1_shippei</v>
      </c>
      <c r="Q54" s="76" t="str">
        <f t="shared" si="7"/>
        <v>TEXT</v>
      </c>
      <c r="R54" s="76" t="str">
        <f t="shared" si="8"/>
        <v/>
      </c>
      <c r="S54" s="76" t="str">
        <f t="shared" si="9"/>
        <v/>
      </c>
      <c r="T54" s="76" t="str">
        <f t="shared" si="10"/>
        <v>-- 診療科1特定疾病</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milscm_2023_009.sny_202310_backup_merge_receiptd_re.department1_shippei IS '診療科1特定疾病';</v>
      </c>
    </row>
    <row r="55" spans="1:45" s="25" customFormat="1">
      <c r="A55" s="4"/>
      <c r="B55" s="21">
        <f t="shared" si="2"/>
        <v>43</v>
      </c>
      <c r="C55" s="13" t="s">
        <v>1017</v>
      </c>
      <c r="D55" s="13" t="s">
        <v>1018</v>
      </c>
      <c r="E55" s="7"/>
      <c r="F55" s="7" t="s">
        <v>865</v>
      </c>
      <c r="G55" s="7" t="str">
        <f t="shared" si="5"/>
        <v>text</v>
      </c>
      <c r="H55" s="58"/>
      <c r="I55" s="23"/>
      <c r="J55" s="24" t="s">
        <v>1067</v>
      </c>
      <c r="M55" s="4"/>
      <c r="N55" s="76"/>
      <c r="O55" s="76"/>
      <c r="P55" s="76" t="str">
        <f t="shared" si="6"/>
        <v>,kana_name</v>
      </c>
      <c r="Q55" s="76" t="str">
        <f t="shared" si="7"/>
        <v>TEXT</v>
      </c>
      <c r="R55" s="76" t="str">
        <f t="shared" si="8"/>
        <v/>
      </c>
      <c r="S55" s="76" t="str">
        <f t="shared" si="9"/>
        <v/>
      </c>
      <c r="T55" s="76" t="str">
        <f t="shared" si="10"/>
        <v>-- カタカナ（氏名）</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milscm_2023_009.sny_202310_backup_merge_receiptd_re.kana_name IS 'カタカナ（氏名）';</v>
      </c>
    </row>
    <row r="56" spans="1:45" s="25" customFormat="1">
      <c r="A56" s="4"/>
      <c r="B56" s="21">
        <f t="shared" si="2"/>
        <v>44</v>
      </c>
      <c r="C56" s="13" t="s">
        <v>1019</v>
      </c>
      <c r="D56" s="13" t="s">
        <v>1020</v>
      </c>
      <c r="E56" s="7"/>
      <c r="F56" s="7" t="s">
        <v>865</v>
      </c>
      <c r="G56" s="7" t="str">
        <f t="shared" si="5"/>
        <v>text</v>
      </c>
      <c r="H56" s="58"/>
      <c r="I56" s="23"/>
      <c r="J56" s="24" t="s">
        <v>1073</v>
      </c>
      <c r="M56" s="4"/>
      <c r="N56" s="76"/>
      <c r="O56" s="76"/>
      <c r="P56" s="76" t="str">
        <f t="shared" si="6"/>
        <v>,patient_state1</v>
      </c>
      <c r="Q56" s="76" t="str">
        <f t="shared" si="7"/>
        <v>TEXT</v>
      </c>
      <c r="R56" s="76" t="str">
        <f t="shared" si="8"/>
        <v/>
      </c>
      <c r="S56" s="76" t="str">
        <f t="shared" si="9"/>
        <v/>
      </c>
      <c r="T56" s="76" t="str">
        <f t="shared" si="10"/>
        <v>-- 患者の状態1</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milscm_2023_009.sny_202310_backup_merge_receiptd_re.patient_state1 IS '患者の状態1';</v>
      </c>
    </row>
    <row r="57" spans="1:45" s="25" customFormat="1">
      <c r="A57" s="4"/>
      <c r="B57" s="21">
        <f t="shared" si="2"/>
        <v>45</v>
      </c>
      <c r="C57" s="13" t="s">
        <v>1021</v>
      </c>
      <c r="D57" s="13" t="s">
        <v>1022</v>
      </c>
      <c r="E57" s="7"/>
      <c r="F57" s="7" t="s">
        <v>865</v>
      </c>
      <c r="G57" s="7" t="str">
        <f t="shared" si="5"/>
        <v>text</v>
      </c>
      <c r="H57" s="58"/>
      <c r="I57" s="23"/>
      <c r="J57" s="24"/>
      <c r="M57" s="4"/>
      <c r="N57" s="76"/>
      <c r="O57" s="76"/>
      <c r="P57" s="76" t="str">
        <f t="shared" si="6"/>
        <v>,patient_state2</v>
      </c>
      <c r="Q57" s="76" t="str">
        <f t="shared" si="7"/>
        <v>TEXT</v>
      </c>
      <c r="R57" s="76" t="str">
        <f t="shared" si="8"/>
        <v/>
      </c>
      <c r="S57" s="76" t="str">
        <f t="shared" si="9"/>
        <v/>
      </c>
      <c r="T57" s="76" t="str">
        <f t="shared" si="10"/>
        <v>-- 患者の状態2</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milscm_2023_009.sny_202310_backup_merge_receiptd_re.patient_state2 IS '患者の状態2';</v>
      </c>
    </row>
    <row r="58" spans="1:45" s="25" customFormat="1">
      <c r="A58" s="4"/>
      <c r="B58" s="21">
        <f t="shared" si="2"/>
        <v>46</v>
      </c>
      <c r="C58" s="13" t="s">
        <v>1023</v>
      </c>
      <c r="D58" s="13" t="s">
        <v>1024</v>
      </c>
      <c r="E58" s="7"/>
      <c r="F58" s="7" t="s">
        <v>865</v>
      </c>
      <c r="G58" s="7" t="str">
        <f t="shared" si="5"/>
        <v>text</v>
      </c>
      <c r="H58" s="58"/>
      <c r="I58" s="23"/>
      <c r="J58" s="24"/>
      <c r="M58" s="4"/>
      <c r="N58" s="76"/>
      <c r="O58" s="76"/>
      <c r="P58" s="76" t="str">
        <f t="shared" si="6"/>
        <v>,patient_state3</v>
      </c>
      <c r="Q58" s="76" t="str">
        <f t="shared" si="7"/>
        <v>TEXT</v>
      </c>
      <c r="R58" s="76" t="str">
        <f t="shared" si="8"/>
        <v/>
      </c>
      <c r="S58" s="76" t="str">
        <f t="shared" si="9"/>
        <v/>
      </c>
      <c r="T58" s="76" t="str">
        <f t="shared" si="10"/>
        <v>-- 患者の状態3</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milscm_2023_009.sny_202310_backup_merge_receiptd_re.patient_state3 IS '患者の状態3';</v>
      </c>
    </row>
    <row r="59" spans="1:45" s="25" customFormat="1">
      <c r="A59" s="4"/>
      <c r="B59" s="21">
        <f t="shared" si="2"/>
        <v>47</v>
      </c>
      <c r="C59" s="13" t="s">
        <v>1025</v>
      </c>
      <c r="D59" s="13" t="s">
        <v>1026</v>
      </c>
      <c r="E59" s="7"/>
      <c r="F59" s="7" t="s">
        <v>865</v>
      </c>
      <c r="G59" s="7" t="str">
        <f t="shared" si="5"/>
        <v>text</v>
      </c>
      <c r="H59" s="58"/>
      <c r="I59" s="23"/>
      <c r="J59" s="24"/>
      <c r="M59" s="4"/>
      <c r="N59" s="76"/>
      <c r="O59" s="76"/>
      <c r="P59" s="76" t="str">
        <f t="shared" si="6"/>
        <v>,patient_state4</v>
      </c>
      <c r="Q59" s="76" t="str">
        <f t="shared" si="7"/>
        <v>TEXT</v>
      </c>
      <c r="R59" s="76" t="str">
        <f t="shared" si="8"/>
        <v/>
      </c>
      <c r="S59" s="76" t="str">
        <f t="shared" si="9"/>
        <v/>
      </c>
      <c r="T59" s="76" t="str">
        <f t="shared" si="10"/>
        <v>-- 患者の状態4</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milscm_2023_009.sny_202310_backup_merge_receiptd_re.patient_state4 IS '患者の状態4';</v>
      </c>
    </row>
    <row r="60" spans="1:45" s="25" customFormat="1">
      <c r="A60" s="4"/>
      <c r="B60" s="21">
        <f t="shared" si="2"/>
        <v>48</v>
      </c>
      <c r="C60" s="13" t="s">
        <v>1027</v>
      </c>
      <c r="D60" s="13" t="s">
        <v>1028</v>
      </c>
      <c r="E60" s="7"/>
      <c r="F60" s="7" t="s">
        <v>865</v>
      </c>
      <c r="G60" s="7" t="str">
        <f t="shared" si="5"/>
        <v>text</v>
      </c>
      <c r="H60" s="58"/>
      <c r="I60" s="23"/>
      <c r="J60" s="24"/>
      <c r="M60" s="4"/>
      <c r="N60" s="76"/>
      <c r="O60" s="76"/>
      <c r="P60" s="76" t="str">
        <f t="shared" si="6"/>
        <v>,patient_state5</v>
      </c>
      <c r="Q60" s="76" t="str">
        <f t="shared" si="7"/>
        <v>TEXT</v>
      </c>
      <c r="R60" s="76" t="str">
        <f t="shared" si="8"/>
        <v/>
      </c>
      <c r="S60" s="76" t="str">
        <f t="shared" si="9"/>
        <v/>
      </c>
      <c r="T60" s="76" t="str">
        <f t="shared" si="10"/>
        <v>-- 患者の状態5</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milscm_2023_009.sny_202310_backup_merge_receiptd_re.patient_state5 IS '患者の状態5';</v>
      </c>
    </row>
    <row r="61" spans="1:45" s="25" customFormat="1">
      <c r="A61" s="4"/>
      <c r="B61" s="21">
        <f t="shared" si="2"/>
        <v>49</v>
      </c>
      <c r="C61" s="13" t="s">
        <v>1029</v>
      </c>
      <c r="D61" s="13" t="s">
        <v>1030</v>
      </c>
      <c r="E61" s="7"/>
      <c r="F61" s="7" t="s">
        <v>865</v>
      </c>
      <c r="G61" s="7" t="str">
        <f t="shared" si="5"/>
        <v>text</v>
      </c>
      <c r="H61" s="58"/>
      <c r="I61" s="23"/>
      <c r="J61" s="24"/>
      <c r="M61" s="4"/>
      <c r="N61" s="76"/>
      <c r="O61" s="76"/>
      <c r="P61" s="76" t="str">
        <f t="shared" si="6"/>
        <v>,patient_state6</v>
      </c>
      <c r="Q61" s="76" t="str">
        <f t="shared" si="7"/>
        <v>TEXT</v>
      </c>
      <c r="R61" s="76" t="str">
        <f t="shared" si="8"/>
        <v/>
      </c>
      <c r="S61" s="76" t="str">
        <f t="shared" si="9"/>
        <v/>
      </c>
      <c r="T61" s="76" t="str">
        <f t="shared" si="10"/>
        <v>-- 患者の状態6</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milscm_2023_009.sny_202310_backup_merge_receiptd_re.patient_state6 IS '患者の状態6';</v>
      </c>
    </row>
    <row r="62" spans="1:45" s="25" customFormat="1">
      <c r="A62" s="4"/>
      <c r="B62" s="21">
        <f t="shared" si="2"/>
        <v>50</v>
      </c>
      <c r="C62" s="13" t="s">
        <v>1031</v>
      </c>
      <c r="D62" s="13" t="s">
        <v>1032</v>
      </c>
      <c r="E62" s="7"/>
      <c r="F62" s="7" t="s">
        <v>865</v>
      </c>
      <c r="G62" s="7" t="str">
        <f t="shared" si="5"/>
        <v>text</v>
      </c>
      <c r="H62" s="58"/>
      <c r="I62" s="23"/>
      <c r="J62" s="24"/>
      <c r="M62" s="4"/>
      <c r="N62" s="76"/>
      <c r="O62" s="76"/>
      <c r="P62" s="76" t="str">
        <f t="shared" si="6"/>
        <v>,patient_state7</v>
      </c>
      <c r="Q62" s="76" t="str">
        <f t="shared" si="7"/>
        <v>TEXT</v>
      </c>
      <c r="R62" s="76" t="str">
        <f t="shared" si="8"/>
        <v/>
      </c>
      <c r="S62" s="76" t="str">
        <f t="shared" si="9"/>
        <v/>
      </c>
      <c r="T62" s="76" t="str">
        <f t="shared" si="10"/>
        <v>-- 患者の状態7</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milscm_2023_009.sny_202310_backup_merge_receiptd_re.patient_state7 IS '患者の状態7';</v>
      </c>
    </row>
    <row r="63" spans="1:45" s="25" customFormat="1">
      <c r="A63" s="4"/>
      <c r="B63" s="21">
        <f t="shared" si="2"/>
        <v>51</v>
      </c>
      <c r="C63" s="13" t="s">
        <v>1033</v>
      </c>
      <c r="D63" s="13" t="s">
        <v>1034</v>
      </c>
      <c r="E63" s="7"/>
      <c r="F63" s="7" t="s">
        <v>865</v>
      </c>
      <c r="G63" s="7" t="str">
        <f t="shared" si="5"/>
        <v>text</v>
      </c>
      <c r="H63" s="58"/>
      <c r="I63" s="23"/>
      <c r="J63" s="24"/>
      <c r="M63" s="4"/>
      <c r="N63" s="76"/>
      <c r="O63" s="76"/>
      <c r="P63" s="76" t="str">
        <f t="shared" si="6"/>
        <v>,patient_state8</v>
      </c>
      <c r="Q63" s="76" t="str">
        <f t="shared" si="7"/>
        <v>TEXT</v>
      </c>
      <c r="R63" s="76" t="str">
        <f t="shared" si="8"/>
        <v/>
      </c>
      <c r="S63" s="76" t="str">
        <f t="shared" si="9"/>
        <v/>
      </c>
      <c r="T63" s="76" t="str">
        <f t="shared" si="10"/>
        <v>-- 患者の状態8</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milscm_2023_009.sny_202310_backup_merge_receiptd_re.patient_state8 IS '患者の状態8';</v>
      </c>
    </row>
    <row r="64" spans="1:45" s="25" customFormat="1">
      <c r="A64" s="4"/>
      <c r="B64" s="21">
        <f t="shared" si="2"/>
        <v>52</v>
      </c>
      <c r="C64" s="13" t="s">
        <v>1035</v>
      </c>
      <c r="D64" s="13" t="s">
        <v>1036</v>
      </c>
      <c r="E64" s="7"/>
      <c r="F64" s="7" t="s">
        <v>865</v>
      </c>
      <c r="G64" s="7" t="str">
        <f t="shared" si="5"/>
        <v>text</v>
      </c>
      <c r="H64" s="58"/>
      <c r="I64" s="23"/>
      <c r="J64" s="24"/>
      <c r="M64" s="4"/>
      <c r="N64" s="76"/>
      <c r="O64" s="76"/>
      <c r="P64" s="76" t="str">
        <f t="shared" si="6"/>
        <v>,patient_state9</v>
      </c>
      <c r="Q64" s="76" t="str">
        <f t="shared" si="7"/>
        <v>TEXT</v>
      </c>
      <c r="R64" s="76" t="str">
        <f t="shared" si="8"/>
        <v/>
      </c>
      <c r="S64" s="76" t="str">
        <f t="shared" si="9"/>
        <v/>
      </c>
      <c r="T64" s="76" t="str">
        <f t="shared" si="10"/>
        <v>-- 患者の状態9</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milscm_2023_009.sny_202310_backup_merge_receiptd_re.patient_state9 IS '患者の状態9';</v>
      </c>
    </row>
    <row r="65" spans="1:52" s="25" customFormat="1">
      <c r="A65" s="4"/>
      <c r="B65" s="21">
        <f t="shared" si="2"/>
        <v>53</v>
      </c>
      <c r="C65" s="13" t="s">
        <v>1037</v>
      </c>
      <c r="D65" s="13" t="s">
        <v>1038</v>
      </c>
      <c r="E65" s="7"/>
      <c r="F65" s="7" t="s">
        <v>865</v>
      </c>
      <c r="G65" s="7" t="str">
        <f t="shared" si="5"/>
        <v>text</v>
      </c>
      <c r="H65" s="58"/>
      <c r="I65" s="23"/>
      <c r="J65" s="24"/>
      <c r="M65" s="4"/>
      <c r="N65" s="76"/>
      <c r="O65" s="76"/>
      <c r="P65" s="76" t="str">
        <f t="shared" si="6"/>
        <v>,patient_state10</v>
      </c>
      <c r="Q65" s="76" t="str">
        <f t="shared" si="7"/>
        <v>TEXT</v>
      </c>
      <c r="R65" s="76" t="str">
        <f t="shared" si="8"/>
        <v/>
      </c>
      <c r="S65" s="76" t="str">
        <f t="shared" si="9"/>
        <v/>
      </c>
      <c r="T65" s="76" t="str">
        <f t="shared" si="10"/>
        <v>-- 患者の状態10</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milscm_2023_009.sny_202310_backup_merge_receiptd_re.patient_state10 IS '患者の状態10';</v>
      </c>
    </row>
    <row r="66" spans="1:52" s="25" customFormat="1">
      <c r="A66" s="4"/>
      <c r="B66" s="21">
        <f t="shared" si="2"/>
        <v>54</v>
      </c>
      <c r="C66" s="13" t="s">
        <v>1039</v>
      </c>
      <c r="D66" s="13" t="s">
        <v>1040</v>
      </c>
      <c r="E66" s="7"/>
      <c r="F66" s="7" t="s">
        <v>865</v>
      </c>
      <c r="G66" s="7" t="str">
        <f t="shared" si="5"/>
        <v>text</v>
      </c>
      <c r="H66" s="58"/>
      <c r="I66" s="23"/>
      <c r="J66" s="24"/>
      <c r="M66" s="4"/>
      <c r="N66" s="76"/>
      <c r="O66" s="76"/>
      <c r="P66" s="76" t="str">
        <f t="shared" si="6"/>
        <v>,patient_state11</v>
      </c>
      <c r="Q66" s="76" t="str">
        <f t="shared" si="7"/>
        <v>TEXT</v>
      </c>
      <c r="R66" s="76" t="str">
        <f t="shared" si="8"/>
        <v/>
      </c>
      <c r="S66" s="76" t="str">
        <f t="shared" si="9"/>
        <v/>
      </c>
      <c r="T66" s="76" t="str">
        <f t="shared" si="10"/>
        <v>-- 患者の状態11</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milscm_2023_009.sny_202310_backup_merge_receiptd_re.patient_state11 IS '患者の状態11';</v>
      </c>
    </row>
    <row r="67" spans="1:52" s="25" customFormat="1">
      <c r="A67" s="4"/>
      <c r="B67" s="21">
        <f t="shared" si="2"/>
        <v>55</v>
      </c>
      <c r="C67" s="13" t="s">
        <v>1041</v>
      </c>
      <c r="D67" s="13" t="s">
        <v>1042</v>
      </c>
      <c r="E67" s="7"/>
      <c r="F67" s="7" t="s">
        <v>865</v>
      </c>
      <c r="G67" s="7" t="str">
        <f t="shared" si="5"/>
        <v>text</v>
      </c>
      <c r="H67" s="58"/>
      <c r="I67" s="23"/>
      <c r="J67" s="24"/>
      <c r="M67" s="4"/>
      <c r="N67" s="76"/>
      <c r="O67" s="76"/>
      <c r="P67" s="76" t="str">
        <f t="shared" si="6"/>
        <v>,patient_state12</v>
      </c>
      <c r="Q67" s="76" t="str">
        <f t="shared" si="7"/>
        <v>TEXT</v>
      </c>
      <c r="R67" s="76" t="str">
        <f t="shared" si="8"/>
        <v/>
      </c>
      <c r="S67" s="76" t="str">
        <f t="shared" si="9"/>
        <v/>
      </c>
      <c r="T67" s="76" t="str">
        <f t="shared" si="10"/>
        <v>-- 患者の状態12</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milscm_2023_009.sny_202310_backup_merge_receiptd_re.patient_state12 IS '患者の状態12';</v>
      </c>
    </row>
    <row r="68" spans="1:52" s="25" customFormat="1">
      <c r="A68" s="4"/>
      <c r="B68" s="21">
        <f t="shared" si="2"/>
        <v>56</v>
      </c>
      <c r="C68" s="13" t="s">
        <v>1043</v>
      </c>
      <c r="D68" s="13" t="s">
        <v>1044</v>
      </c>
      <c r="E68" s="7"/>
      <c r="F68" s="7" t="s">
        <v>865</v>
      </c>
      <c r="G68" s="7" t="str">
        <f t="shared" si="5"/>
        <v>text</v>
      </c>
      <c r="H68" s="58"/>
      <c r="I68" s="23"/>
      <c r="J68" s="24"/>
      <c r="M68" s="4"/>
      <c r="N68" s="76"/>
      <c r="O68" s="76"/>
      <c r="P68" s="76" t="str">
        <f t="shared" si="6"/>
        <v>,patient_state13</v>
      </c>
      <c r="Q68" s="76" t="str">
        <f t="shared" si="7"/>
        <v>TEXT</v>
      </c>
      <c r="R68" s="76" t="str">
        <f t="shared" si="8"/>
        <v/>
      </c>
      <c r="S68" s="76" t="str">
        <f t="shared" si="9"/>
        <v/>
      </c>
      <c r="T68" s="76" t="str">
        <f t="shared" si="10"/>
        <v>-- 患者の状態13</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milscm_2023_009.sny_202310_backup_merge_receiptd_re.patient_state13 IS '患者の状態13';</v>
      </c>
    </row>
    <row r="69" spans="1:52" s="25" customFormat="1">
      <c r="A69" s="4"/>
      <c r="B69" s="21">
        <f t="shared" si="2"/>
        <v>57</v>
      </c>
      <c r="C69" s="13" t="s">
        <v>1045</v>
      </c>
      <c r="D69" s="13" t="s">
        <v>1046</v>
      </c>
      <c r="E69" s="7"/>
      <c r="F69" s="7" t="s">
        <v>865</v>
      </c>
      <c r="G69" s="7" t="str">
        <f t="shared" si="5"/>
        <v>text</v>
      </c>
      <c r="H69" s="58"/>
      <c r="I69" s="23"/>
      <c r="J69" s="24"/>
      <c r="M69" s="4"/>
      <c r="N69" s="76"/>
      <c r="O69" s="76"/>
      <c r="P69" s="76" t="str">
        <f t="shared" si="6"/>
        <v>,patient_state14</v>
      </c>
      <c r="Q69" s="76" t="str">
        <f t="shared" si="7"/>
        <v>TEXT</v>
      </c>
      <c r="R69" s="76" t="str">
        <f t="shared" si="8"/>
        <v/>
      </c>
      <c r="S69" s="76" t="str">
        <f t="shared" si="9"/>
        <v/>
      </c>
      <c r="T69" s="76" t="str">
        <f t="shared" si="10"/>
        <v>-- 患者の状態14</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milscm_2023_009.sny_202310_backup_merge_receiptd_re.patient_state14 IS '患者の状態14';</v>
      </c>
    </row>
    <row r="70" spans="1:52" s="25" customFormat="1">
      <c r="A70" s="4"/>
      <c r="B70" s="21">
        <f t="shared" si="2"/>
        <v>58</v>
      </c>
      <c r="C70" s="13" t="s">
        <v>1047</v>
      </c>
      <c r="D70" s="13" t="s">
        <v>1048</v>
      </c>
      <c r="E70" s="7"/>
      <c r="F70" s="7" t="s">
        <v>865</v>
      </c>
      <c r="G70" s="7" t="str">
        <f t="shared" si="5"/>
        <v>text</v>
      </c>
      <c r="H70" s="58"/>
      <c r="I70" s="23"/>
      <c r="J70" s="24"/>
      <c r="M70" s="4"/>
      <c r="N70" s="76"/>
      <c r="O70" s="76"/>
      <c r="P70" s="76" t="str">
        <f t="shared" si="6"/>
        <v>,patient_state15</v>
      </c>
      <c r="Q70" s="76" t="str">
        <f t="shared" si="7"/>
        <v>TEXT</v>
      </c>
      <c r="R70" s="76" t="str">
        <f t="shared" si="8"/>
        <v/>
      </c>
      <c r="S70" s="76" t="str">
        <f t="shared" si="9"/>
        <v/>
      </c>
      <c r="T70" s="76" t="str">
        <f t="shared" si="10"/>
        <v>-- 患者の状態15</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milscm_2023_009.sny_202310_backup_merge_receiptd_re.patient_state15 IS '患者の状態15';</v>
      </c>
    </row>
    <row r="71" spans="1:52" s="25" customFormat="1">
      <c r="A71" s="4"/>
      <c r="B71" s="21">
        <f t="shared" si="2"/>
        <v>59</v>
      </c>
      <c r="C71" s="13" t="s">
        <v>1049</v>
      </c>
      <c r="D71" s="13" t="s">
        <v>1050</v>
      </c>
      <c r="E71" s="7"/>
      <c r="F71" s="7" t="s">
        <v>865</v>
      </c>
      <c r="G71" s="7" t="str">
        <f t="shared" si="5"/>
        <v>text</v>
      </c>
      <c r="H71" s="58"/>
      <c r="I71" s="23"/>
      <c r="J71" s="24"/>
      <c r="M71" s="4"/>
      <c r="N71" s="76"/>
      <c r="O71" s="76"/>
      <c r="P71" s="76" t="str">
        <f t="shared" si="6"/>
        <v>,patient_state16</v>
      </c>
      <c r="Q71" s="76" t="str">
        <f t="shared" si="7"/>
        <v>TEXT</v>
      </c>
      <c r="R71" s="76" t="str">
        <f t="shared" si="8"/>
        <v/>
      </c>
      <c r="S71" s="76" t="str">
        <f t="shared" si="9"/>
        <v/>
      </c>
      <c r="T71" s="76" t="str">
        <f t="shared" si="10"/>
        <v>-- 患者の状態16</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milscm_2023_009.sny_202310_backup_merge_receiptd_re.patient_state16 IS '患者の状態16';</v>
      </c>
    </row>
    <row r="72" spans="1:52" s="25" customFormat="1">
      <c r="A72" s="4"/>
      <c r="B72" s="21">
        <f t="shared" si="2"/>
        <v>60</v>
      </c>
      <c r="C72" s="13" t="s">
        <v>1051</v>
      </c>
      <c r="D72" s="13" t="s">
        <v>1052</v>
      </c>
      <c r="E72" s="7"/>
      <c r="F72" s="7" t="s">
        <v>865</v>
      </c>
      <c r="G72" s="7" t="str">
        <f t="shared" si="5"/>
        <v>text</v>
      </c>
      <c r="H72" s="58"/>
      <c r="I72" s="23"/>
      <c r="J72" s="24"/>
      <c r="M72" s="4"/>
      <c r="N72" s="76"/>
      <c r="O72" s="76"/>
      <c r="P72" s="76" t="str">
        <f t="shared" si="6"/>
        <v>,patient_state17</v>
      </c>
      <c r="Q72" s="76" t="str">
        <f t="shared" si="7"/>
        <v>TEXT</v>
      </c>
      <c r="R72" s="76" t="str">
        <f t="shared" si="8"/>
        <v/>
      </c>
      <c r="S72" s="76" t="str">
        <f t="shared" si="9"/>
        <v/>
      </c>
      <c r="T72" s="76" t="str">
        <f t="shared" si="10"/>
        <v>-- 患者の状態17</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milscm_2023_009.sny_202310_backup_merge_receiptd_re.patient_state17 IS '患者の状態17';</v>
      </c>
    </row>
    <row r="73" spans="1:52" s="25" customFormat="1">
      <c r="A73" s="4"/>
      <c r="B73" s="21">
        <f t="shared" si="2"/>
        <v>61</v>
      </c>
      <c r="C73" s="13" t="s">
        <v>1053</v>
      </c>
      <c r="D73" s="13" t="s">
        <v>1054</v>
      </c>
      <c r="E73" s="7"/>
      <c r="F73" s="7" t="s">
        <v>865</v>
      </c>
      <c r="G73" s="7" t="str">
        <f t="shared" si="5"/>
        <v>text</v>
      </c>
      <c r="H73" s="58"/>
      <c r="I73" s="23"/>
      <c r="J73" s="24"/>
      <c r="M73" s="4"/>
      <c r="N73" s="76"/>
      <c r="O73" s="76"/>
      <c r="P73" s="76" t="str">
        <f t="shared" si="6"/>
        <v>,patient_state18</v>
      </c>
      <c r="Q73" s="76" t="str">
        <f t="shared" si="7"/>
        <v>TEXT</v>
      </c>
      <c r="R73" s="76" t="str">
        <f t="shared" si="8"/>
        <v/>
      </c>
      <c r="S73" s="76" t="str">
        <f t="shared" si="9"/>
        <v/>
      </c>
      <c r="T73" s="76" t="str">
        <f t="shared" si="10"/>
        <v>-- 患者の状態18</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milscm_2023_009.sny_202310_backup_merge_receiptd_re.patient_state18 IS '患者の状態18';</v>
      </c>
    </row>
    <row r="74" spans="1:52" s="25" customFormat="1">
      <c r="A74" s="4"/>
      <c r="B74" s="21">
        <f t="shared" si="2"/>
        <v>62</v>
      </c>
      <c r="C74" s="13" t="s">
        <v>1055</v>
      </c>
      <c r="D74" s="13" t="s">
        <v>1056</v>
      </c>
      <c r="E74" s="7"/>
      <c r="F74" s="7" t="s">
        <v>865</v>
      </c>
      <c r="G74" s="7" t="str">
        <f t="shared" si="5"/>
        <v>text</v>
      </c>
      <c r="H74" s="58"/>
      <c r="I74" s="23"/>
      <c r="J74" s="24"/>
      <c r="M74" s="4"/>
      <c r="N74" s="76"/>
      <c r="O74" s="76"/>
      <c r="P74" s="76" t="str">
        <f t="shared" si="6"/>
        <v>,patient_state19</v>
      </c>
      <c r="Q74" s="76" t="str">
        <f t="shared" si="7"/>
        <v>TEXT</v>
      </c>
      <c r="R74" s="76" t="str">
        <f t="shared" si="8"/>
        <v/>
      </c>
      <c r="S74" s="76" t="str">
        <f t="shared" si="9"/>
        <v/>
      </c>
      <c r="T74" s="76" t="str">
        <f t="shared" si="10"/>
        <v>-- 患者の状態19</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milscm_2023_009.sny_202310_backup_merge_receiptd_re.patient_state19 IS '患者の状態19';</v>
      </c>
    </row>
    <row r="75" spans="1:52" s="25" customFormat="1" ht="18" thickBot="1">
      <c r="A75" s="4"/>
      <c r="B75" s="27">
        <f>ROW()-12</f>
        <v>63</v>
      </c>
      <c r="C75" s="57" t="s">
        <v>1057</v>
      </c>
      <c r="D75" s="57" t="s">
        <v>1058</v>
      </c>
      <c r="E75" s="56"/>
      <c r="F75" s="56" t="s">
        <v>865</v>
      </c>
      <c r="G75" s="56" t="str">
        <f t="shared" si="3"/>
        <v>text</v>
      </c>
      <c r="H75" s="59"/>
      <c r="I75" s="60"/>
      <c r="J75" s="64"/>
      <c r="N75" s="76"/>
      <c r="O75" s="76"/>
      <c r="P75" s="76" t="str">
        <f t="shared" si="4"/>
        <v>,patient_state20</v>
      </c>
      <c r="Q75" s="76" t="str">
        <f t="shared" si="0"/>
        <v>TEXT</v>
      </c>
      <c r="R75" s="76" t="str">
        <f t="shared" si="1"/>
        <v/>
      </c>
      <c r="S75" s="76" t="str">
        <f t="shared" ref="S75" si="11">IF(I75="○","NOT NULL","")</f>
        <v/>
      </c>
      <c r="T75" s="76" t="str">
        <f t="shared" ref="T75" si="12">"-- "&amp;C75</f>
        <v>-- 患者の状態20</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milscm_2023_009.sny_202310_backup_merge_receiptd_re.patient_state20 IS '患者の状態20';</v>
      </c>
    </row>
    <row r="76" spans="1:52">
      <c r="L76" s="25"/>
      <c r="M76" s="25"/>
      <c r="N76" s="76" t="s">
        <v>142</v>
      </c>
      <c r="O76" s="76"/>
      <c r="P76" s="76"/>
      <c r="Q76" s="76"/>
      <c r="R76" s="76"/>
      <c r="S76" s="76"/>
      <c r="T76" s="76"/>
      <c r="V76" s="25"/>
      <c r="W76" s="25"/>
      <c r="X76" s="25"/>
      <c r="Y76" s="25"/>
      <c r="Z76" s="25"/>
      <c r="AJ76" s="76"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ENT_01_C3-08</v>
      </c>
      <c r="E6" s="234"/>
      <c r="F6" s="234"/>
      <c r="G6" s="234"/>
      <c r="H6" s="234"/>
      <c r="I6" s="234"/>
      <c r="J6" s="235"/>
    </row>
    <row r="7" spans="1:45">
      <c r="B7" s="223" t="s">
        <v>115</v>
      </c>
      <c r="C7" s="224"/>
      <c r="D7" s="225" t="s">
        <v>1211</v>
      </c>
      <c r="E7" s="226"/>
      <c r="F7" s="226"/>
      <c r="G7" s="226"/>
      <c r="H7" s="226"/>
      <c r="I7" s="226"/>
      <c r="J7" s="227"/>
    </row>
    <row r="8" spans="1:45">
      <c r="B8" s="223" t="s">
        <v>116</v>
      </c>
      <c r="C8" s="224"/>
      <c r="D8" s="225" t="str">
        <f>エンティティ一覧!AE2&amp;"_"&amp;D5&amp;"_merge_receiptd_bu"</f>
        <v>sny_202310_backup_merge_receiptd_bu</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milscm_2023_009.sny_202310_backup_merge_receiptd_bu;</v>
      </c>
      <c r="O10" s="76"/>
      <c r="P10" s="76"/>
      <c r="Q10" s="76"/>
      <c r="R10" s="76"/>
      <c r="S10" s="76"/>
      <c r="T10" s="76"/>
      <c r="AJ10" s="76" t="str">
        <f>"ALTER TABLE ONLY "&amp;エンティティ一覧!$O$2&amp;"."&amp;D$8</f>
        <v>ALTER TABLE ONLY milscm_2023_009.sny_202310_backup_merge_receiptd_bu</v>
      </c>
      <c r="AS10" s="76" t="str">
        <f>"ALTER TABLE "&amp;エンティティ一覧!$O$2&amp;"."&amp;D$8&amp;" OWNER TO pgmisgrp1;"</f>
        <v>ALTER TABLE milscm_2023_009.sny_202310_backup_merge_receiptd_bu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milscm_2023_009.sny_202310_backup_merge_receiptd_bu</v>
      </c>
      <c r="O11" s="76"/>
      <c r="P11" s="76"/>
      <c r="Q11" s="76"/>
      <c r="R11" s="76"/>
      <c r="S11" s="76"/>
      <c r="T11" s="76"/>
      <c r="AJ11" s="76" t="str">
        <f>"ADD CONSTRAINT "&amp;D$8&amp;"_pkey PRIMARY KEY"</f>
        <v>ADD CONSTRAINT sny_202310_backup_merge_receiptd_bu_pkey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milscm_2023_009.sny_202310_backup_merge_receiptd_bu IS 'バックアップ_DPCレセプト_診断群分類レコード';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milscm_2023_009.sny_202310_backup_merge_receiptd_bu.torikomi_ym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257</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milscm_2023_009.sny_202310_backup_merge_receiptd_bu.mil_karute_id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milscm_2023_009.sny_202310_backup_merge_receiptd_bu.facility_id IS '施設ID';</v>
      </c>
    </row>
    <row r="16" spans="1:45" s="25" customFormat="1">
      <c r="B16" s="21">
        <f t="shared" si="2"/>
        <v>4</v>
      </c>
      <c r="C16" s="6" t="s">
        <v>908</v>
      </c>
      <c r="D16" s="6" t="s">
        <v>909</v>
      </c>
      <c r="E16" s="8" t="s">
        <v>127</v>
      </c>
      <c r="F16" s="7" t="s">
        <v>865</v>
      </c>
      <c r="G16" s="7" t="str">
        <f t="shared" si="3"/>
        <v>text</v>
      </c>
      <c r="H16" s="26"/>
      <c r="I16" s="10" t="s">
        <v>127</v>
      </c>
      <c r="J16" s="53" t="s">
        <v>1059</v>
      </c>
      <c r="M16" s="4"/>
      <c r="N16" s="76"/>
      <c r="O16" s="76"/>
      <c r="P16" s="76" t="str">
        <f t="shared" si="4"/>
        <v>,seikyu_ym</v>
      </c>
      <c r="Q16" s="76" t="str">
        <f t="shared" si="0"/>
        <v>TEXT</v>
      </c>
      <c r="R16" s="76" t="str">
        <f t="shared" si="1"/>
        <v/>
      </c>
      <c r="S16" s="76" t="str">
        <f t="shared" ref="S16:S29" si="5">IF(I16="○","NOT NULL","")</f>
        <v>NOT NULL</v>
      </c>
      <c r="T16" s="76" t="str">
        <f t="shared" ref="T16:T29" si="6">"-- "&amp;C16</f>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milscm_2023_009.sny_202310_backup_merge_receiptd_bu.seikyu_ym IS '請求年月';</v>
      </c>
    </row>
    <row r="17" spans="1:52" s="25" customFormat="1">
      <c r="B17" s="21">
        <f t="shared" si="2"/>
        <v>5</v>
      </c>
      <c r="C17" s="13" t="s">
        <v>866</v>
      </c>
      <c r="D17" s="13" t="s">
        <v>206</v>
      </c>
      <c r="E17" s="7" t="s">
        <v>127</v>
      </c>
      <c r="F17" s="7" t="s">
        <v>865</v>
      </c>
      <c r="G17" s="7" t="str">
        <f t="shared" si="3"/>
        <v>text</v>
      </c>
      <c r="H17" s="58"/>
      <c r="I17" s="23" t="s">
        <v>127</v>
      </c>
      <c r="J17" s="24" t="s">
        <v>1118</v>
      </c>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milscm_2023_009.sny_202310_backup_merge_receiptd_bu.shinryo_ym IS '診療年月';</v>
      </c>
    </row>
    <row r="18" spans="1:52" s="25" customFormat="1">
      <c r="B18" s="21">
        <f t="shared" si="2"/>
        <v>6</v>
      </c>
      <c r="C18" s="13" t="s">
        <v>319</v>
      </c>
      <c r="D18" s="13" t="s">
        <v>208</v>
      </c>
      <c r="E18" s="7"/>
      <c r="F18" s="7" t="s">
        <v>865</v>
      </c>
      <c r="G18" s="7" t="str">
        <f t="shared" si="3"/>
        <v>text</v>
      </c>
      <c r="H18" s="58" t="s">
        <v>936</v>
      </c>
      <c r="I18" s="23" t="s">
        <v>127</v>
      </c>
      <c r="J18" s="24" t="s">
        <v>937</v>
      </c>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milscm_2023_009.sny_202310_backup_merge_receiptd_bu.data_type IS 'データ種別';</v>
      </c>
    </row>
    <row r="19" spans="1:52" s="25" customFormat="1">
      <c r="B19" s="21">
        <f t="shared" si="2"/>
        <v>7</v>
      </c>
      <c r="C19" s="13" t="s">
        <v>910</v>
      </c>
      <c r="D19" s="13" t="s">
        <v>911</v>
      </c>
      <c r="E19" s="7" t="s">
        <v>127</v>
      </c>
      <c r="F19" s="7" t="s">
        <v>865</v>
      </c>
      <c r="G19" s="7" t="str">
        <f t="shared" si="3"/>
        <v>text</v>
      </c>
      <c r="H19" s="58"/>
      <c r="I19" s="23" t="s">
        <v>127</v>
      </c>
      <c r="J19" s="24" t="s">
        <v>1061</v>
      </c>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milscm_2023_009.sny_202310_backup_merge_receiptd_bu.shinsa_kikan IS '審査支払機関';</v>
      </c>
    </row>
    <row r="20" spans="1:52" s="25" customFormat="1">
      <c r="B20" s="21">
        <f t="shared" si="2"/>
        <v>8</v>
      </c>
      <c r="C20" s="13" t="s">
        <v>912</v>
      </c>
      <c r="D20" s="13" t="s">
        <v>913</v>
      </c>
      <c r="E20" s="7"/>
      <c r="F20" s="7" t="s">
        <v>865</v>
      </c>
      <c r="G20" s="7" t="str">
        <f t="shared" si="3"/>
        <v>text</v>
      </c>
      <c r="H20" s="58" t="s">
        <v>1222</v>
      </c>
      <c r="I20" s="23" t="s">
        <v>127</v>
      </c>
      <c r="J20" s="24" t="s">
        <v>1223</v>
      </c>
      <c r="N20" s="76"/>
      <c r="O20" s="76"/>
      <c r="P20" s="76" t="str">
        <f t="shared" si="4"/>
        <v>,record_shikibetsu</v>
      </c>
      <c r="Q20" s="76" t="str">
        <f t="shared" si="0"/>
        <v>TEXT</v>
      </c>
      <c r="R20" s="76" t="str">
        <f t="shared" si="1"/>
        <v>default 'BU'</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milscm_2023_009.sny_202310_backup_merge_receiptd_bu.record_shikibetsu IS 'レコード識別情報';</v>
      </c>
    </row>
    <row r="21" spans="1:52" s="25" customFormat="1">
      <c r="B21" s="21">
        <f t="shared" si="2"/>
        <v>9</v>
      </c>
      <c r="C21" s="13" t="s">
        <v>914</v>
      </c>
      <c r="D21" s="13" t="s">
        <v>915</v>
      </c>
      <c r="E21" s="7" t="s">
        <v>127</v>
      </c>
      <c r="F21" s="7" t="s">
        <v>204</v>
      </c>
      <c r="G21" s="7" t="str">
        <f t="shared" si="3"/>
        <v>integer</v>
      </c>
      <c r="H21" s="58"/>
      <c r="I21" s="23" t="s">
        <v>127</v>
      </c>
      <c r="J21" s="24" t="s">
        <v>1064</v>
      </c>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milscm_2023_009.sny_202310_backup_merge_receiptd_bu.receipt_no IS 'レセプト番号';</v>
      </c>
    </row>
    <row r="22" spans="1:52" s="25" customFormat="1">
      <c r="B22" s="21">
        <f t="shared" si="2"/>
        <v>10</v>
      </c>
      <c r="C22" s="13" t="s">
        <v>916</v>
      </c>
      <c r="D22" s="13" t="s">
        <v>917</v>
      </c>
      <c r="E22" s="7" t="s">
        <v>127</v>
      </c>
      <c r="F22" s="7" t="s">
        <v>204</v>
      </c>
      <c r="G22" s="7" t="str">
        <f t="shared" si="3"/>
        <v>integer</v>
      </c>
      <c r="H22" s="58"/>
      <c r="I22" s="23" t="s">
        <v>127</v>
      </c>
      <c r="J22" s="24" t="s">
        <v>1209</v>
      </c>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milscm_2023_009.sny_202310_backup_merge_receiptd_bu.gyo_no IS '行番号';</v>
      </c>
    </row>
    <row r="23" spans="1:52" s="25" customFormat="1">
      <c r="B23" s="21">
        <f t="shared" si="2"/>
        <v>11</v>
      </c>
      <c r="C23" s="13" t="s">
        <v>918</v>
      </c>
      <c r="D23" s="13" t="s">
        <v>919</v>
      </c>
      <c r="E23" s="7"/>
      <c r="F23" s="7" t="s">
        <v>865</v>
      </c>
      <c r="G23" s="7" t="str">
        <f t="shared" si="3"/>
        <v>text</v>
      </c>
      <c r="H23" s="58"/>
      <c r="I23" s="23"/>
      <c r="J23" s="24" t="s">
        <v>1066</v>
      </c>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milscm_2023_009.sny_202310_backup_merge_receiptd_bu.karute_no IS 'カルテ番号等';</v>
      </c>
    </row>
    <row r="24" spans="1:52" s="25" customFormat="1" ht="34.799999999999997">
      <c r="B24" s="21">
        <f t="shared" si="2"/>
        <v>12</v>
      </c>
      <c r="C24" s="13" t="s">
        <v>1202</v>
      </c>
      <c r="D24" s="13" t="s">
        <v>1203</v>
      </c>
      <c r="E24" s="7"/>
      <c r="F24" s="7" t="s">
        <v>865</v>
      </c>
      <c r="G24" s="7" t="str">
        <f t="shared" si="3"/>
        <v>text</v>
      </c>
      <c r="H24" s="58"/>
      <c r="I24" s="23"/>
      <c r="J24" s="24" t="s">
        <v>1224</v>
      </c>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milscm_2023_009.sny_202310_backup_merge_receiptd_bu.receipt_sokatsu_kubun IS 'レセプト総括区分';</v>
      </c>
    </row>
    <row r="25" spans="1:52" s="25" customFormat="1">
      <c r="B25" s="21">
        <f t="shared" si="2"/>
        <v>13</v>
      </c>
      <c r="C25" s="13" t="s">
        <v>1212</v>
      </c>
      <c r="D25" s="13" t="s">
        <v>1213</v>
      </c>
      <c r="E25" s="7"/>
      <c r="F25" s="7" t="s">
        <v>865</v>
      </c>
      <c r="G25" s="7" t="str">
        <f t="shared" si="3"/>
        <v>text</v>
      </c>
      <c r="H25" s="58"/>
      <c r="I25" s="23"/>
      <c r="J25" s="24"/>
      <c r="N25" s="76"/>
      <c r="O25" s="76"/>
      <c r="P25" s="76" t="str">
        <f t="shared" si="4"/>
        <v>,shindangun_no</v>
      </c>
      <c r="Q25" s="76" t="str">
        <f t="shared" si="0"/>
        <v>TEXT</v>
      </c>
      <c r="R25" s="76" t="str">
        <f t="shared" si="1"/>
        <v/>
      </c>
      <c r="S25" s="76" t="str">
        <f t="shared" si="5"/>
        <v/>
      </c>
      <c r="T25" s="76" t="str">
        <f t="shared" si="6"/>
        <v>-- 診断群分類番号</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milscm_2023_009.sny_202310_backup_merge_receiptd_bu.shindangun_no IS '診断群分類番号';</v>
      </c>
    </row>
    <row r="26" spans="1:52" s="25" customFormat="1" ht="69.599999999999994">
      <c r="B26" s="21">
        <f t="shared" si="2"/>
        <v>14</v>
      </c>
      <c r="C26" s="13" t="s">
        <v>1214</v>
      </c>
      <c r="D26" s="13" t="s">
        <v>1215</v>
      </c>
      <c r="E26" s="7"/>
      <c r="F26" s="7" t="s">
        <v>865</v>
      </c>
      <c r="G26" s="7" t="str">
        <f t="shared" si="3"/>
        <v>text</v>
      </c>
      <c r="H26" s="58"/>
      <c r="I26" s="23"/>
      <c r="J26" s="24" t="s">
        <v>1070</v>
      </c>
      <c r="N26" s="76"/>
      <c r="O26" s="76"/>
      <c r="P26" s="76" t="str">
        <f t="shared" si="4"/>
        <v>,konnyuin_ymd</v>
      </c>
      <c r="Q26" s="76" t="str">
        <f t="shared" si="0"/>
        <v>TEXT</v>
      </c>
      <c r="R26" s="76" t="str">
        <f t="shared" si="1"/>
        <v/>
      </c>
      <c r="S26" s="76" t="str">
        <f t="shared" si="5"/>
        <v/>
      </c>
      <c r="T26" s="76" t="str">
        <f t="shared" si="6"/>
        <v xml:space="preserve">-- 今回入院年月日 </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milscm_2023_009.sny_202310_backup_merge_receiptd_bu.konnyuin_ymd IS '今回入院年月日 ';</v>
      </c>
    </row>
    <row r="27" spans="1:52" s="25" customFormat="1" ht="69.599999999999994">
      <c r="B27" s="21">
        <f t="shared" si="2"/>
        <v>15</v>
      </c>
      <c r="C27" s="13" t="s">
        <v>1216</v>
      </c>
      <c r="D27" s="13" t="s">
        <v>1217</v>
      </c>
      <c r="E27" s="7"/>
      <c r="F27" s="7" t="s">
        <v>865</v>
      </c>
      <c r="G27" s="7" t="str">
        <f t="shared" si="3"/>
        <v>text</v>
      </c>
      <c r="H27" s="58"/>
      <c r="I27" s="23"/>
      <c r="J27" s="24" t="s">
        <v>1070</v>
      </c>
      <c r="N27" s="76"/>
      <c r="O27" s="76"/>
      <c r="P27" s="76" t="str">
        <f t="shared" si="4"/>
        <v>,kontaiin_ymd</v>
      </c>
      <c r="Q27" s="76" t="str">
        <f t="shared" si="0"/>
        <v>TEXT</v>
      </c>
      <c r="R27" s="76" t="str">
        <f t="shared" si="1"/>
        <v/>
      </c>
      <c r="S27" s="76" t="str">
        <f t="shared" si="5"/>
        <v/>
      </c>
      <c r="T27" s="76" t="str">
        <f t="shared" si="6"/>
        <v>-- 今回退院年月日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milscm_2023_009.sny_202310_backup_merge_receiptd_bu.kontaiin_ymd IS '今回退院年月日';</v>
      </c>
    </row>
    <row r="28" spans="1:52" s="25" customFormat="1">
      <c r="B28" s="21">
        <f t="shared" si="2"/>
        <v>16</v>
      </c>
      <c r="C28" s="13" t="s">
        <v>1218</v>
      </c>
      <c r="D28" s="13" t="s">
        <v>1219</v>
      </c>
      <c r="E28" s="7"/>
      <c r="F28" s="7" t="s">
        <v>865</v>
      </c>
      <c r="G28" s="7" t="str">
        <f t="shared" si="3"/>
        <v>text</v>
      </c>
      <c r="H28" s="58"/>
      <c r="I28" s="23"/>
      <c r="J28" s="24"/>
      <c r="N28" s="76"/>
      <c r="O28" s="76"/>
      <c r="P28" s="76" t="str">
        <f t="shared" si="4"/>
        <v>,dpc_tenki_code</v>
      </c>
      <c r="Q28" s="76" t="str">
        <f t="shared" si="0"/>
        <v>TEXT</v>
      </c>
      <c r="R28" s="76" t="str">
        <f t="shared" si="1"/>
        <v/>
      </c>
      <c r="S28" s="76" t="str">
        <f t="shared" si="5"/>
        <v/>
      </c>
      <c r="T28" s="76" t="str">
        <f t="shared" si="6"/>
        <v>-- DPC転帰区分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milscm_2023_009.sny_202310_backup_merge_receiptd_bu.dpc_tenki_code IS 'DPC転帰区分';</v>
      </c>
    </row>
    <row r="29" spans="1:52" s="25" customFormat="1" ht="18" thickBot="1">
      <c r="A29" s="4"/>
      <c r="B29" s="27">
        <f>ROW()-12</f>
        <v>17</v>
      </c>
      <c r="C29" s="57" t="s">
        <v>1220</v>
      </c>
      <c r="D29" s="57" t="s">
        <v>1221</v>
      </c>
      <c r="E29" s="56"/>
      <c r="F29" s="56" t="s">
        <v>865</v>
      </c>
      <c r="G29" s="56" t="str">
        <f t="shared" si="3"/>
        <v>text</v>
      </c>
      <c r="H29" s="59"/>
      <c r="I29" s="60"/>
      <c r="J29" s="64"/>
      <c r="N29" s="76"/>
      <c r="O29" s="76"/>
      <c r="P29" s="76" t="str">
        <f t="shared" si="4"/>
        <v>,death_cause</v>
      </c>
      <c r="Q29" s="76" t="str">
        <f t="shared" si="0"/>
        <v>TEXT</v>
      </c>
      <c r="R29" s="76" t="str">
        <f t="shared" si="1"/>
        <v/>
      </c>
      <c r="S29" s="76" t="str">
        <f t="shared" si="5"/>
        <v/>
      </c>
      <c r="T29" s="76" t="str">
        <f t="shared" si="6"/>
        <v>-- 死因</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milscm_2023_009.sny_202310_backup_merge_receiptd_bu.death_cause IS '死因';</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ENT_01_C3-09</v>
      </c>
      <c r="E6" s="234"/>
      <c r="F6" s="234"/>
      <c r="G6" s="234"/>
      <c r="H6" s="234"/>
      <c r="I6" s="234"/>
      <c r="J6" s="235"/>
    </row>
    <row r="7" spans="1:45">
      <c r="B7" s="223" t="s">
        <v>115</v>
      </c>
      <c r="C7" s="224"/>
      <c r="D7" s="225" t="s">
        <v>1226</v>
      </c>
      <c r="E7" s="226"/>
      <c r="F7" s="226"/>
      <c r="G7" s="226"/>
      <c r="H7" s="226"/>
      <c r="I7" s="226"/>
      <c r="J7" s="227"/>
    </row>
    <row r="8" spans="1:45">
      <c r="B8" s="223" t="s">
        <v>116</v>
      </c>
      <c r="C8" s="224"/>
      <c r="D8" s="225" t="str">
        <f>エンティティ一覧!AE2&amp;"_"&amp;D5&amp;"_merge_receiptd_sb"</f>
        <v>sny_202310_backup_merge_receiptd_sb</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milscm_2023_009.sny_202310_backup_merge_receiptd_sb;</v>
      </c>
      <c r="O10" s="76"/>
      <c r="P10" s="76"/>
      <c r="Q10" s="76"/>
      <c r="R10" s="76"/>
      <c r="S10" s="76"/>
      <c r="T10" s="76"/>
      <c r="AJ10" s="76" t="str">
        <f>"ALTER TABLE ONLY "&amp;エンティティ一覧!$O$2&amp;"."&amp;D$8</f>
        <v>ALTER TABLE ONLY milscm_2023_009.sny_202310_backup_merge_receiptd_sb</v>
      </c>
      <c r="AS10" s="76" t="str">
        <f>"ALTER TABLE "&amp;エンティティ一覧!$O$2&amp;"."&amp;D$8&amp;" OWNER TO pgmisgrp1;"</f>
        <v>ALTER TABLE milscm_2023_009.sny_202310_backup_merge_receiptd_sb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milscm_2023_009.sny_202310_backup_merge_receiptd_sb</v>
      </c>
      <c r="O11" s="76"/>
      <c r="P11" s="76"/>
      <c r="Q11" s="76"/>
      <c r="R11" s="76"/>
      <c r="S11" s="76"/>
      <c r="T11" s="76"/>
      <c r="AJ11" s="76" t="str">
        <f>"ADD CONSTRAINT "&amp;D$8&amp;"_pkey PRIMARY KEY"</f>
        <v>ADD CONSTRAINT sny_202310_backup_merge_receiptd_sb_pkey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milscm_2023_009.sny_202310_backup_merge_receiptd_sb IS 'バックアップ_DPCレセプト_傷病レコード';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milscm_2023_009.sny_202310_backup_merge_receiptd_sb.torikomi_ym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milscm_2023_009.sny_202310_backup_merge_receiptd_sb.mil_karute_id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milscm_2023_009.sny_202310_backup_merge_receiptd_sb.facility_id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milscm_2023_009.sny_202310_backup_merge_receiptd_sb.seikyu_ym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milscm_2023_009.sny_202310_backup_merge_receiptd_sb.shinryo_ym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milscm_2023_009.sny_202310_backup_merge_receiptd_sb.data_type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milscm_2023_009.sny_202310_backup_merge_receiptd_sb.shinsa_kikan IS '審査支払機関';</v>
      </c>
    </row>
    <row r="20" spans="1:45" s="25" customFormat="1">
      <c r="A20" s="4"/>
      <c r="B20" s="21">
        <f t="shared" si="2"/>
        <v>8</v>
      </c>
      <c r="C20" s="13" t="s">
        <v>912</v>
      </c>
      <c r="D20" s="13" t="s">
        <v>913</v>
      </c>
      <c r="E20" s="7"/>
      <c r="F20" s="7" t="s">
        <v>865</v>
      </c>
      <c r="G20" s="7" t="str">
        <f t="shared" si="3"/>
        <v>text</v>
      </c>
      <c r="H20" s="58" t="s">
        <v>1229</v>
      </c>
      <c r="I20" s="23" t="s">
        <v>127</v>
      </c>
      <c r="J20" s="24" t="s">
        <v>1230</v>
      </c>
      <c r="M20" s="4"/>
      <c r="N20" s="76"/>
      <c r="O20" s="76"/>
      <c r="P20" s="76" t="str">
        <f t="shared" si="4"/>
        <v>,record_shikibetsu</v>
      </c>
      <c r="Q20" s="76" t="str">
        <f t="shared" si="0"/>
        <v>TEXT</v>
      </c>
      <c r="R20" s="76" t="str">
        <f t="shared" si="1"/>
        <v>default 'SB'</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milscm_2023_009.sny_202310_backup_merge_receiptd_sb.record_shikibetsu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milscm_2023_009.sny_202310_backup_merge_receiptd_sb.receipt_no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milscm_2023_009.sny_202310_backup_merge_receiptd_sb.gyo_no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milscm_2023_009.sny_202310_backup_merge_receiptd_sb.karute_no IS 'カルテ番号等';</v>
      </c>
    </row>
    <row r="24" spans="1:45" s="25" customFormat="1" ht="34.799999999999997">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milscm_2023_009.sny_202310_backup_merge_receiptd_sb.receipt_sokatsu_kubun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milscm_2023_009.sny_202310_backup_merge_receiptd_sb.shobyo_code IS '傷病名コード';</v>
      </c>
    </row>
    <row r="26" spans="1:45" s="25" customFormat="1">
      <c r="A26" s="4"/>
      <c r="B26" s="21">
        <f t="shared" si="2"/>
        <v>14</v>
      </c>
      <c r="C26" s="13" t="s">
        <v>667</v>
      </c>
      <c r="D26" s="13" t="s">
        <v>873</v>
      </c>
      <c r="E26" s="7"/>
      <c r="F26" s="7" t="s">
        <v>865</v>
      </c>
      <c r="G26" s="7" t="str">
        <f t="shared" si="3"/>
        <v>text</v>
      </c>
      <c r="H26" s="58"/>
      <c r="I26" s="23"/>
      <c r="J26" s="24" t="s">
        <v>1122</v>
      </c>
      <c r="M26" s="4"/>
      <c r="N26" s="76"/>
      <c r="O26" s="76"/>
      <c r="P26" s="76" t="str">
        <f t="shared" si="4"/>
        <v>,shushoku_code1</v>
      </c>
      <c r="Q26" s="76" t="str">
        <f t="shared" si="0"/>
        <v>TEXT</v>
      </c>
      <c r="R26" s="76" t="str">
        <f t="shared" si="1"/>
        <v/>
      </c>
      <c r="S26" s="76" t="str">
        <f t="shared" si="5"/>
        <v/>
      </c>
      <c r="T26" s="76" t="str">
        <f t="shared" si="6"/>
        <v>-- 修飾語コード1</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milscm_2023_009.sny_202310_backup_merge_receiptd_sb.shushoku_code1 IS '修飾語コード1';</v>
      </c>
    </row>
    <row r="27" spans="1:45" s="25" customFormat="1">
      <c r="A27" s="4"/>
      <c r="B27" s="21">
        <f t="shared" si="2"/>
        <v>15</v>
      </c>
      <c r="C27" s="13" t="s">
        <v>669</v>
      </c>
      <c r="D27" s="13" t="s">
        <v>874</v>
      </c>
      <c r="E27" s="7"/>
      <c r="F27" s="7" t="s">
        <v>865</v>
      </c>
      <c r="G27" s="7" t="str">
        <f t="shared" si="3"/>
        <v>text</v>
      </c>
      <c r="H27" s="58"/>
      <c r="I27" s="23"/>
      <c r="J27" s="24"/>
      <c r="M27" s="4"/>
      <c r="N27" s="76"/>
      <c r="O27" s="76"/>
      <c r="P27" s="76" t="str">
        <f t="shared" si="4"/>
        <v>,shushoku_code2</v>
      </c>
      <c r="Q27" s="76" t="str">
        <f t="shared" si="0"/>
        <v>TEXT</v>
      </c>
      <c r="R27" s="76" t="str">
        <f t="shared" si="1"/>
        <v/>
      </c>
      <c r="S27" s="76" t="str">
        <f t="shared" si="5"/>
        <v/>
      </c>
      <c r="T27" s="76" t="str">
        <f t="shared" si="6"/>
        <v>-- 修飾語コード2</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milscm_2023_009.sny_202310_backup_merge_receiptd_sb.shushoku_code2 IS '修飾語コード2';</v>
      </c>
    </row>
    <row r="28" spans="1:45" s="25" customFormat="1">
      <c r="A28" s="4"/>
      <c r="B28" s="21">
        <f t="shared" si="2"/>
        <v>16</v>
      </c>
      <c r="C28" s="13" t="s">
        <v>671</v>
      </c>
      <c r="D28" s="13" t="s">
        <v>875</v>
      </c>
      <c r="E28" s="7"/>
      <c r="F28" s="7" t="s">
        <v>865</v>
      </c>
      <c r="G28" s="7" t="str">
        <f t="shared" si="3"/>
        <v>text</v>
      </c>
      <c r="H28" s="58"/>
      <c r="I28" s="23"/>
      <c r="J28" s="24"/>
      <c r="M28" s="4"/>
      <c r="N28" s="76"/>
      <c r="O28" s="76"/>
      <c r="P28" s="76" t="str">
        <f t="shared" si="4"/>
        <v>,shushoku_code3</v>
      </c>
      <c r="Q28" s="76" t="str">
        <f t="shared" si="0"/>
        <v>TEXT</v>
      </c>
      <c r="R28" s="76" t="str">
        <f t="shared" si="1"/>
        <v/>
      </c>
      <c r="S28" s="76" t="str">
        <f t="shared" si="5"/>
        <v/>
      </c>
      <c r="T28" s="76" t="str">
        <f t="shared" si="6"/>
        <v>-- 修飾語コード3</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milscm_2023_009.sny_202310_backup_merge_receiptd_sb.shushoku_code3 IS '修飾語コード3';</v>
      </c>
    </row>
    <row r="29" spans="1:45" s="25" customFormat="1">
      <c r="A29" s="4"/>
      <c r="B29" s="21">
        <f t="shared" si="2"/>
        <v>17</v>
      </c>
      <c r="C29" s="13" t="s">
        <v>673</v>
      </c>
      <c r="D29" s="13" t="s">
        <v>876</v>
      </c>
      <c r="E29" s="7"/>
      <c r="F29" s="7" t="s">
        <v>865</v>
      </c>
      <c r="G29" s="7" t="str">
        <f t="shared" si="3"/>
        <v>text</v>
      </c>
      <c r="H29" s="58"/>
      <c r="I29" s="23"/>
      <c r="J29" s="24"/>
      <c r="M29" s="4"/>
      <c r="N29" s="76"/>
      <c r="O29" s="76"/>
      <c r="P29" s="76" t="str">
        <f t="shared" si="4"/>
        <v>,shushoku_code4</v>
      </c>
      <c r="Q29" s="76" t="str">
        <f t="shared" si="0"/>
        <v>TEXT</v>
      </c>
      <c r="R29" s="76" t="str">
        <f t="shared" si="1"/>
        <v/>
      </c>
      <c r="S29" s="76" t="str">
        <f t="shared" si="5"/>
        <v/>
      </c>
      <c r="T29" s="76" t="str">
        <f t="shared" si="6"/>
        <v>-- 修飾語コード4</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milscm_2023_009.sny_202310_backup_merge_receiptd_sb.shushoku_code4 IS '修飾語コード4';</v>
      </c>
    </row>
    <row r="30" spans="1:45" s="25" customFormat="1">
      <c r="A30" s="4"/>
      <c r="B30" s="21">
        <f t="shared" si="2"/>
        <v>18</v>
      </c>
      <c r="C30" s="13" t="s">
        <v>1080</v>
      </c>
      <c r="D30" s="13" t="s">
        <v>1081</v>
      </c>
      <c r="E30" s="7"/>
      <c r="F30" s="7" t="s">
        <v>865</v>
      </c>
      <c r="G30" s="7" t="str">
        <f t="shared" si="3"/>
        <v>text</v>
      </c>
      <c r="H30" s="58"/>
      <c r="I30" s="23"/>
      <c r="J30" s="24"/>
      <c r="M30" s="4"/>
      <c r="N30" s="76"/>
      <c r="O30" s="76"/>
      <c r="P30" s="76" t="str">
        <f t="shared" si="4"/>
        <v>,shushoku_code5</v>
      </c>
      <c r="Q30" s="76" t="str">
        <f t="shared" si="0"/>
        <v>TEXT</v>
      </c>
      <c r="R30" s="76" t="str">
        <f t="shared" si="1"/>
        <v/>
      </c>
      <c r="S30" s="76" t="str">
        <f t="shared" si="5"/>
        <v/>
      </c>
      <c r="T30" s="76" t="str">
        <f t="shared" si="6"/>
        <v>-- 修飾語コード5</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milscm_2023_009.sny_202310_backup_merge_receiptd_sb.shushoku_code5 IS '修飾語コード5';</v>
      </c>
    </row>
    <row r="31" spans="1:45" s="25" customFormat="1">
      <c r="A31" s="4"/>
      <c r="B31" s="21">
        <f t="shared" si="2"/>
        <v>19</v>
      </c>
      <c r="C31" s="13" t="s">
        <v>1082</v>
      </c>
      <c r="D31" s="13" t="s">
        <v>1083</v>
      </c>
      <c r="E31" s="7"/>
      <c r="F31" s="7" t="s">
        <v>865</v>
      </c>
      <c r="G31" s="7" t="str">
        <f t="shared" si="3"/>
        <v>text</v>
      </c>
      <c r="H31" s="58"/>
      <c r="I31" s="23"/>
      <c r="J31" s="24"/>
      <c r="M31" s="4"/>
      <c r="N31" s="76"/>
      <c r="O31" s="76"/>
      <c r="P31" s="76" t="str">
        <f t="shared" si="4"/>
        <v>,shushoku_code6</v>
      </c>
      <c r="Q31" s="76" t="str">
        <f t="shared" si="0"/>
        <v>TEXT</v>
      </c>
      <c r="R31" s="76" t="str">
        <f t="shared" si="1"/>
        <v/>
      </c>
      <c r="S31" s="76" t="str">
        <f t="shared" si="5"/>
        <v/>
      </c>
      <c r="T31" s="76" t="str">
        <f t="shared" si="6"/>
        <v>-- 修飾語コード6</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milscm_2023_009.sny_202310_backup_merge_receiptd_sb.shushoku_code6 IS '修飾語コード6';</v>
      </c>
    </row>
    <row r="32" spans="1:45" s="25" customFormat="1">
      <c r="A32" s="4"/>
      <c r="B32" s="21">
        <f t="shared" si="2"/>
        <v>20</v>
      </c>
      <c r="C32" s="13" t="s">
        <v>1084</v>
      </c>
      <c r="D32" s="13" t="s">
        <v>1085</v>
      </c>
      <c r="E32" s="7"/>
      <c r="F32" s="7" t="s">
        <v>865</v>
      </c>
      <c r="G32" s="7" t="str">
        <f t="shared" si="3"/>
        <v>text</v>
      </c>
      <c r="H32" s="58"/>
      <c r="I32" s="23"/>
      <c r="J32" s="24"/>
      <c r="M32" s="4"/>
      <c r="N32" s="76"/>
      <c r="O32" s="76"/>
      <c r="P32" s="76" t="str">
        <f t="shared" si="4"/>
        <v>,shushoku_code7</v>
      </c>
      <c r="Q32" s="76" t="str">
        <f t="shared" si="0"/>
        <v>TEXT</v>
      </c>
      <c r="R32" s="76" t="str">
        <f t="shared" si="1"/>
        <v/>
      </c>
      <c r="S32" s="76" t="str">
        <f t="shared" si="5"/>
        <v/>
      </c>
      <c r="T32" s="76" t="str">
        <f t="shared" si="6"/>
        <v>-- 修飾語コード7</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milscm_2023_009.sny_202310_backup_merge_receiptd_sb.shushoku_code7 IS '修飾語コード7';</v>
      </c>
    </row>
    <row r="33" spans="1:45" s="25" customFormat="1">
      <c r="A33" s="4"/>
      <c r="B33" s="21">
        <f t="shared" si="2"/>
        <v>21</v>
      </c>
      <c r="C33" s="13" t="s">
        <v>1086</v>
      </c>
      <c r="D33" s="13" t="s">
        <v>1087</v>
      </c>
      <c r="E33" s="7"/>
      <c r="F33" s="7" t="s">
        <v>865</v>
      </c>
      <c r="G33" s="7" t="str">
        <f t="shared" si="3"/>
        <v>text</v>
      </c>
      <c r="H33" s="58"/>
      <c r="I33" s="23"/>
      <c r="J33" s="24"/>
      <c r="M33" s="4"/>
      <c r="N33" s="76"/>
      <c r="O33" s="76"/>
      <c r="P33" s="76" t="str">
        <f t="shared" si="4"/>
        <v>,shushoku_code8</v>
      </c>
      <c r="Q33" s="76" t="str">
        <f t="shared" si="0"/>
        <v>TEXT</v>
      </c>
      <c r="R33" s="76" t="str">
        <f t="shared" si="1"/>
        <v/>
      </c>
      <c r="S33" s="76" t="str">
        <f t="shared" si="5"/>
        <v/>
      </c>
      <c r="T33" s="76" t="str">
        <f t="shared" si="6"/>
        <v>-- 修飾語コード8</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milscm_2023_009.sny_202310_backup_merge_receiptd_sb.shushoku_code8 IS '修飾語コード8';</v>
      </c>
    </row>
    <row r="34" spans="1:45" s="25" customFormat="1">
      <c r="A34" s="4"/>
      <c r="B34" s="21">
        <f t="shared" si="2"/>
        <v>22</v>
      </c>
      <c r="C34" s="13" t="s">
        <v>1088</v>
      </c>
      <c r="D34" s="13" t="s">
        <v>1089</v>
      </c>
      <c r="E34" s="7"/>
      <c r="F34" s="7" t="s">
        <v>865</v>
      </c>
      <c r="G34" s="7" t="str">
        <f t="shared" si="3"/>
        <v>text</v>
      </c>
      <c r="H34" s="58"/>
      <c r="I34" s="23"/>
      <c r="J34" s="24"/>
      <c r="M34" s="4"/>
      <c r="N34" s="76"/>
      <c r="O34" s="76"/>
      <c r="P34" s="76" t="str">
        <f t="shared" si="4"/>
        <v>,shushoku_code9</v>
      </c>
      <c r="Q34" s="76" t="str">
        <f t="shared" si="0"/>
        <v>TEXT</v>
      </c>
      <c r="R34" s="76" t="str">
        <f t="shared" si="1"/>
        <v/>
      </c>
      <c r="S34" s="76" t="str">
        <f t="shared" si="5"/>
        <v/>
      </c>
      <c r="T34" s="76" t="str">
        <f t="shared" si="6"/>
        <v>-- 修飾語コード9</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milscm_2023_009.sny_202310_backup_merge_receiptd_sb.shushoku_code9 IS '修飾語コード9';</v>
      </c>
    </row>
    <row r="35" spans="1:45" s="25" customFormat="1">
      <c r="A35" s="4"/>
      <c r="B35" s="21">
        <f t="shared" si="2"/>
        <v>23</v>
      </c>
      <c r="C35" s="13" t="s">
        <v>1090</v>
      </c>
      <c r="D35" s="13" t="s">
        <v>1091</v>
      </c>
      <c r="E35" s="7"/>
      <c r="F35" s="7" t="s">
        <v>865</v>
      </c>
      <c r="G35" s="7" t="str">
        <f t="shared" si="3"/>
        <v>text</v>
      </c>
      <c r="H35" s="58"/>
      <c r="I35" s="23"/>
      <c r="J35" s="24"/>
      <c r="M35" s="4"/>
      <c r="N35" s="76"/>
      <c r="O35" s="76"/>
      <c r="P35" s="76" t="str">
        <f t="shared" si="4"/>
        <v>,shushoku_code10</v>
      </c>
      <c r="Q35" s="76" t="str">
        <f t="shared" si="0"/>
        <v>TEXT</v>
      </c>
      <c r="R35" s="76" t="str">
        <f t="shared" si="1"/>
        <v/>
      </c>
      <c r="S35" s="76" t="str">
        <f t="shared" si="5"/>
        <v/>
      </c>
      <c r="T35" s="76" t="str">
        <f t="shared" si="6"/>
        <v>-- 修飾語コード10</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milscm_2023_009.sny_202310_backup_merge_receiptd_sb.shushoku_code10 IS '修飾語コード10';</v>
      </c>
    </row>
    <row r="36" spans="1:45" s="25" customFormat="1">
      <c r="A36" s="4"/>
      <c r="B36" s="21">
        <f t="shared" si="2"/>
        <v>24</v>
      </c>
      <c r="C36" s="13" t="s">
        <v>1092</v>
      </c>
      <c r="D36" s="13" t="s">
        <v>1093</v>
      </c>
      <c r="E36" s="7"/>
      <c r="F36" s="7" t="s">
        <v>865</v>
      </c>
      <c r="G36" s="7" t="str">
        <f t="shared" si="3"/>
        <v>text</v>
      </c>
      <c r="H36" s="58"/>
      <c r="I36" s="23"/>
      <c r="J36" s="24"/>
      <c r="M36" s="4"/>
      <c r="N36" s="76"/>
      <c r="O36" s="76"/>
      <c r="P36" s="76" t="str">
        <f t="shared" si="4"/>
        <v>,shushoku_code11</v>
      </c>
      <c r="Q36" s="76" t="str">
        <f t="shared" si="0"/>
        <v>TEXT</v>
      </c>
      <c r="R36" s="76" t="str">
        <f t="shared" si="1"/>
        <v/>
      </c>
      <c r="S36" s="76" t="str">
        <f t="shared" si="5"/>
        <v/>
      </c>
      <c r="T36" s="76" t="str">
        <f t="shared" si="6"/>
        <v>-- 修飾語コード11</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milscm_2023_009.sny_202310_backup_merge_receiptd_sb.shushoku_code11 IS '修飾語コード11';</v>
      </c>
    </row>
    <row r="37" spans="1:45" s="25" customFormat="1">
      <c r="A37" s="4"/>
      <c r="B37" s="21">
        <f t="shared" si="2"/>
        <v>25</v>
      </c>
      <c r="C37" s="13" t="s">
        <v>1094</v>
      </c>
      <c r="D37" s="13" t="s">
        <v>1095</v>
      </c>
      <c r="E37" s="7"/>
      <c r="F37" s="7" t="s">
        <v>865</v>
      </c>
      <c r="G37" s="7" t="str">
        <f t="shared" si="3"/>
        <v>text</v>
      </c>
      <c r="H37" s="58"/>
      <c r="I37" s="23"/>
      <c r="J37" s="24"/>
      <c r="M37" s="4"/>
      <c r="N37" s="76"/>
      <c r="O37" s="76"/>
      <c r="P37" s="76" t="str">
        <f t="shared" si="4"/>
        <v>,shushoku_code12</v>
      </c>
      <c r="Q37" s="76" t="str">
        <f t="shared" si="0"/>
        <v>TEXT</v>
      </c>
      <c r="R37" s="76" t="str">
        <f t="shared" si="1"/>
        <v/>
      </c>
      <c r="S37" s="76" t="str">
        <f t="shared" si="5"/>
        <v/>
      </c>
      <c r="T37" s="76" t="str">
        <f t="shared" si="6"/>
        <v>-- 修飾語コード12</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milscm_2023_009.sny_202310_backup_merge_receiptd_sb.shushoku_code12 IS '修飾語コード12';</v>
      </c>
    </row>
    <row r="38" spans="1:45" s="25" customFormat="1">
      <c r="A38" s="4"/>
      <c r="B38" s="21">
        <f t="shared" si="2"/>
        <v>26</v>
      </c>
      <c r="C38" s="13" t="s">
        <v>1096</v>
      </c>
      <c r="D38" s="13" t="s">
        <v>1097</v>
      </c>
      <c r="E38" s="7"/>
      <c r="F38" s="7" t="s">
        <v>865</v>
      </c>
      <c r="G38" s="7" t="str">
        <f t="shared" si="3"/>
        <v>text</v>
      </c>
      <c r="H38" s="58"/>
      <c r="I38" s="23"/>
      <c r="J38" s="24"/>
      <c r="M38" s="4"/>
      <c r="N38" s="76"/>
      <c r="O38" s="76"/>
      <c r="P38" s="76" t="str">
        <f t="shared" si="4"/>
        <v>,shushoku_code13</v>
      </c>
      <c r="Q38" s="76" t="str">
        <f t="shared" si="0"/>
        <v>TEXT</v>
      </c>
      <c r="R38" s="76" t="str">
        <f t="shared" si="1"/>
        <v/>
      </c>
      <c r="S38" s="76" t="str">
        <f t="shared" si="5"/>
        <v/>
      </c>
      <c r="T38" s="76" t="str">
        <f t="shared" si="6"/>
        <v>-- 修飾語コード13</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milscm_2023_009.sny_202310_backup_merge_receiptd_sb.shushoku_code13 IS '修飾語コード13';</v>
      </c>
    </row>
    <row r="39" spans="1:45" s="25" customFormat="1">
      <c r="A39" s="4"/>
      <c r="B39" s="21">
        <f t="shared" si="2"/>
        <v>27</v>
      </c>
      <c r="C39" s="13" t="s">
        <v>1098</v>
      </c>
      <c r="D39" s="13" t="s">
        <v>1099</v>
      </c>
      <c r="E39" s="7"/>
      <c r="F39" s="7" t="s">
        <v>865</v>
      </c>
      <c r="G39" s="7" t="str">
        <f t="shared" si="3"/>
        <v>text</v>
      </c>
      <c r="H39" s="58"/>
      <c r="I39" s="23"/>
      <c r="J39" s="24"/>
      <c r="M39" s="4"/>
      <c r="N39" s="76"/>
      <c r="O39" s="76"/>
      <c r="P39" s="76" t="str">
        <f t="shared" si="4"/>
        <v>,shushoku_code14</v>
      </c>
      <c r="Q39" s="76" t="str">
        <f t="shared" si="0"/>
        <v>TEXT</v>
      </c>
      <c r="R39" s="76" t="str">
        <f t="shared" si="1"/>
        <v/>
      </c>
      <c r="S39" s="76" t="str">
        <f t="shared" si="5"/>
        <v/>
      </c>
      <c r="T39" s="76" t="str">
        <f t="shared" si="6"/>
        <v>-- 修飾語コード14</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milscm_2023_009.sny_202310_backup_merge_receiptd_sb.shushoku_code14 IS '修飾語コード14';</v>
      </c>
    </row>
    <row r="40" spans="1:45" s="25" customFormat="1">
      <c r="A40" s="4"/>
      <c r="B40" s="21">
        <f t="shared" si="2"/>
        <v>28</v>
      </c>
      <c r="C40" s="13" t="s">
        <v>1100</v>
      </c>
      <c r="D40" s="13" t="s">
        <v>1101</v>
      </c>
      <c r="E40" s="7"/>
      <c r="F40" s="7" t="s">
        <v>865</v>
      </c>
      <c r="G40" s="7" t="str">
        <f t="shared" si="3"/>
        <v>text</v>
      </c>
      <c r="H40" s="58"/>
      <c r="I40" s="23"/>
      <c r="J40" s="24"/>
      <c r="M40" s="4"/>
      <c r="N40" s="76"/>
      <c r="O40" s="76"/>
      <c r="P40" s="76" t="str">
        <f t="shared" si="4"/>
        <v>,shushoku_code15</v>
      </c>
      <c r="Q40" s="76" t="str">
        <f t="shared" si="0"/>
        <v>TEXT</v>
      </c>
      <c r="R40" s="76" t="str">
        <f t="shared" si="1"/>
        <v/>
      </c>
      <c r="S40" s="76" t="str">
        <f t="shared" si="5"/>
        <v/>
      </c>
      <c r="T40" s="76" t="str">
        <f t="shared" si="6"/>
        <v>-- 修飾語コード15</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milscm_2023_009.sny_202310_backup_merge_receiptd_sb.shushoku_code15 IS '修飾語コード15';</v>
      </c>
    </row>
    <row r="41" spans="1:45" s="25" customFormat="1">
      <c r="A41" s="4"/>
      <c r="B41" s="21">
        <f t="shared" si="2"/>
        <v>29</v>
      </c>
      <c r="C41" s="13" t="s">
        <v>1102</v>
      </c>
      <c r="D41" s="13" t="s">
        <v>1103</v>
      </c>
      <c r="E41" s="7"/>
      <c r="F41" s="7" t="s">
        <v>865</v>
      </c>
      <c r="G41" s="7" t="str">
        <f t="shared" si="3"/>
        <v>text</v>
      </c>
      <c r="H41" s="58"/>
      <c r="I41" s="23"/>
      <c r="J41" s="24"/>
      <c r="M41" s="4"/>
      <c r="N41" s="76"/>
      <c r="O41" s="76"/>
      <c r="P41" s="76" t="str">
        <f t="shared" si="4"/>
        <v>,shushoku_code16</v>
      </c>
      <c r="Q41" s="76" t="str">
        <f t="shared" si="0"/>
        <v>TEXT</v>
      </c>
      <c r="R41" s="76" t="str">
        <f t="shared" si="1"/>
        <v/>
      </c>
      <c r="S41" s="76" t="str">
        <f t="shared" si="5"/>
        <v/>
      </c>
      <c r="T41" s="76" t="str">
        <f t="shared" si="6"/>
        <v>-- 修飾語コード16</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milscm_2023_009.sny_202310_backup_merge_receiptd_sb.shushoku_code16 IS '修飾語コード16';</v>
      </c>
    </row>
    <row r="42" spans="1:45" s="25" customFormat="1">
      <c r="A42" s="4"/>
      <c r="B42" s="21">
        <f t="shared" si="2"/>
        <v>30</v>
      </c>
      <c r="C42" s="13" t="s">
        <v>1104</v>
      </c>
      <c r="D42" s="13" t="s">
        <v>1105</v>
      </c>
      <c r="E42" s="7"/>
      <c r="F42" s="7" t="s">
        <v>865</v>
      </c>
      <c r="G42" s="7" t="str">
        <f t="shared" si="3"/>
        <v>text</v>
      </c>
      <c r="H42" s="58"/>
      <c r="I42" s="23"/>
      <c r="J42" s="24"/>
      <c r="M42" s="4"/>
      <c r="N42" s="76"/>
      <c r="O42" s="76"/>
      <c r="P42" s="76" t="str">
        <f t="shared" si="4"/>
        <v>,shushoku_code17</v>
      </c>
      <c r="Q42" s="76" t="str">
        <f t="shared" si="0"/>
        <v>TEXT</v>
      </c>
      <c r="R42" s="76" t="str">
        <f t="shared" si="1"/>
        <v/>
      </c>
      <c r="S42" s="76" t="str">
        <f t="shared" si="5"/>
        <v/>
      </c>
      <c r="T42" s="76" t="str">
        <f t="shared" si="6"/>
        <v>-- 修飾語コード17</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milscm_2023_009.sny_202310_backup_merge_receiptd_sb.shushoku_code17 IS '修飾語コード17';</v>
      </c>
    </row>
    <row r="43" spans="1:45" s="25" customFormat="1">
      <c r="A43" s="4"/>
      <c r="B43" s="21">
        <f t="shared" si="2"/>
        <v>31</v>
      </c>
      <c r="C43" s="13" t="s">
        <v>1106</v>
      </c>
      <c r="D43" s="13" t="s">
        <v>1107</v>
      </c>
      <c r="E43" s="7"/>
      <c r="F43" s="7" t="s">
        <v>865</v>
      </c>
      <c r="G43" s="7" t="str">
        <f t="shared" si="3"/>
        <v>text</v>
      </c>
      <c r="H43" s="58"/>
      <c r="I43" s="23"/>
      <c r="J43" s="24"/>
      <c r="M43" s="4"/>
      <c r="N43" s="76"/>
      <c r="O43" s="76"/>
      <c r="P43" s="76" t="str">
        <f t="shared" si="4"/>
        <v>,shushoku_code18</v>
      </c>
      <c r="Q43" s="76" t="str">
        <f t="shared" si="0"/>
        <v>TEXT</v>
      </c>
      <c r="R43" s="76" t="str">
        <f t="shared" si="1"/>
        <v/>
      </c>
      <c r="S43" s="76" t="str">
        <f t="shared" si="5"/>
        <v/>
      </c>
      <c r="T43" s="76" t="str">
        <f t="shared" si="6"/>
        <v>-- 修飾語コード18</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milscm_2023_009.sny_202310_backup_merge_receiptd_sb.shushoku_code18 IS '修飾語コード18';</v>
      </c>
    </row>
    <row r="44" spans="1:45" s="25" customFormat="1">
      <c r="A44" s="4"/>
      <c r="B44" s="21">
        <f t="shared" si="2"/>
        <v>32</v>
      </c>
      <c r="C44" s="13" t="s">
        <v>1108</v>
      </c>
      <c r="D44" s="13" t="s">
        <v>1109</v>
      </c>
      <c r="E44" s="7"/>
      <c r="F44" s="7" t="s">
        <v>865</v>
      </c>
      <c r="G44" s="7" t="str">
        <f t="shared" si="3"/>
        <v>text</v>
      </c>
      <c r="H44" s="58"/>
      <c r="I44" s="23"/>
      <c r="J44" s="24"/>
      <c r="M44" s="4"/>
      <c r="N44" s="76"/>
      <c r="O44" s="76"/>
      <c r="P44" s="76" t="str">
        <f t="shared" si="4"/>
        <v>,shushoku_code19</v>
      </c>
      <c r="Q44" s="76" t="str">
        <f t="shared" si="0"/>
        <v>TEXT</v>
      </c>
      <c r="R44" s="76" t="str">
        <f t="shared" si="1"/>
        <v/>
      </c>
      <c r="S44" s="76" t="str">
        <f t="shared" si="5"/>
        <v/>
      </c>
      <c r="T44" s="76" t="str">
        <f t="shared" si="6"/>
        <v>-- 修飾語コード19</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milscm_2023_009.sny_202310_backup_merge_receiptd_sb.shushoku_code19 IS '修飾語コード19';</v>
      </c>
    </row>
    <row r="45" spans="1:45" s="25" customFormat="1">
      <c r="A45" s="4"/>
      <c r="B45" s="21">
        <f t="shared" si="2"/>
        <v>33</v>
      </c>
      <c r="C45" s="13" t="s">
        <v>1110</v>
      </c>
      <c r="D45" s="13" t="s">
        <v>1111</v>
      </c>
      <c r="E45" s="7"/>
      <c r="F45" s="7" t="s">
        <v>865</v>
      </c>
      <c r="G45" s="7" t="str">
        <f t="shared" si="3"/>
        <v>text</v>
      </c>
      <c r="H45" s="58"/>
      <c r="I45" s="23"/>
      <c r="J45" s="24"/>
      <c r="M45" s="4"/>
      <c r="N45" s="76"/>
      <c r="O45" s="76"/>
      <c r="P45" s="76" t="str">
        <f t="shared" si="4"/>
        <v>,shushoku_code20</v>
      </c>
      <c r="Q45" s="76" t="str">
        <f t="shared" si="0"/>
        <v>TEXT</v>
      </c>
      <c r="R45" s="76" t="str">
        <f t="shared" si="1"/>
        <v/>
      </c>
      <c r="S45" s="76" t="str">
        <f t="shared" si="5"/>
        <v/>
      </c>
      <c r="T45" s="76" t="str">
        <f t="shared" si="6"/>
        <v>-- 修飾語コード20</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milscm_2023_009.sny_202310_backup_merge_receiptd_sb.shushoku_code20 IS '修飾語コード20';</v>
      </c>
    </row>
    <row r="46" spans="1:45" s="25" customFormat="1">
      <c r="A46" s="4"/>
      <c r="B46" s="21">
        <f t="shared" si="2"/>
        <v>34</v>
      </c>
      <c r="C46" s="13" t="s">
        <v>1112</v>
      </c>
      <c r="D46" s="13" t="s">
        <v>1113</v>
      </c>
      <c r="E46" s="7"/>
      <c r="F46" s="7" t="s">
        <v>865</v>
      </c>
      <c r="G46" s="7" t="str">
        <f t="shared" si="3"/>
        <v>text</v>
      </c>
      <c r="H46" s="58"/>
      <c r="I46" s="23"/>
      <c r="J46" s="24"/>
      <c r="M46" s="4"/>
      <c r="N46" s="76"/>
      <c r="O46" s="76"/>
      <c r="P46" s="76" t="str">
        <f t="shared" si="4"/>
        <v>,shobyo_name</v>
      </c>
      <c r="Q46" s="76" t="str">
        <f t="shared" si="0"/>
        <v>TEXT</v>
      </c>
      <c r="R46" s="76" t="str">
        <f t="shared" si="1"/>
        <v/>
      </c>
      <c r="S46" s="76" t="str">
        <f t="shared" si="5"/>
        <v/>
      </c>
      <c r="T46" s="76" t="str">
        <f t="shared" si="6"/>
        <v>-- 傷病名称</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milscm_2023_009.sny_202310_backup_merge_receiptd_sb.shobyo_name IS '傷病名称';</v>
      </c>
    </row>
    <row r="47" spans="1:45" s="25" customFormat="1">
      <c r="A47" s="4"/>
      <c r="B47" s="21">
        <f t="shared" si="2"/>
        <v>35</v>
      </c>
      <c r="C47" s="13" t="s">
        <v>663</v>
      </c>
      <c r="D47" s="13" t="s">
        <v>871</v>
      </c>
      <c r="E47" s="7"/>
      <c r="F47" s="7" t="s">
        <v>865</v>
      </c>
      <c r="G47" s="7" t="str">
        <f t="shared" si="3"/>
        <v>text</v>
      </c>
      <c r="H47" s="58"/>
      <c r="I47" s="23"/>
      <c r="J47" s="24"/>
      <c r="M47" s="4"/>
      <c r="N47" s="76"/>
      <c r="O47" s="76"/>
      <c r="P47" s="76" t="str">
        <f t="shared" si="4"/>
        <v>,icd10_code</v>
      </c>
      <c r="Q47" s="76" t="str">
        <f t="shared" si="0"/>
        <v>TEXT</v>
      </c>
      <c r="R47" s="76" t="str">
        <f t="shared" si="1"/>
        <v/>
      </c>
      <c r="S47" s="76" t="str">
        <f t="shared" si="5"/>
        <v/>
      </c>
      <c r="T47" s="76" t="str">
        <f t="shared" si="6"/>
        <v>-- ICD10コード</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milscm_2023_009.sny_202310_backup_merge_receiptd_sb.icd10_code IS 'ICD10コード';</v>
      </c>
    </row>
    <row r="48" spans="1:45" s="25" customFormat="1">
      <c r="A48" s="4"/>
      <c r="B48" s="21">
        <f t="shared" si="2"/>
        <v>36</v>
      </c>
      <c r="C48" s="13" t="s">
        <v>1227</v>
      </c>
      <c r="D48" s="13" t="s">
        <v>1228</v>
      </c>
      <c r="E48" s="7"/>
      <c r="F48" s="7" t="s">
        <v>865</v>
      </c>
      <c r="G48" s="7" t="str">
        <f t="shared" si="3"/>
        <v>text</v>
      </c>
      <c r="H48" s="58"/>
      <c r="I48" s="23"/>
      <c r="J48" s="24"/>
      <c r="M48" s="4"/>
      <c r="N48" s="76"/>
      <c r="O48" s="76"/>
      <c r="P48" s="76" t="str">
        <f t="shared" si="4"/>
        <v>,shobyo_kubun</v>
      </c>
      <c r="Q48" s="76" t="str">
        <f t="shared" si="0"/>
        <v>TEXT</v>
      </c>
      <c r="R48" s="76" t="str">
        <f t="shared" si="1"/>
        <v/>
      </c>
      <c r="S48" s="76" t="str">
        <f t="shared" si="5"/>
        <v/>
      </c>
      <c r="T48" s="76" t="str">
        <f t="shared" si="6"/>
        <v>-- 傷病名区分</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milscm_2023_009.sny_202310_backup_merge_receiptd_sb.shobyo_kubun IS '傷病名区分';</v>
      </c>
    </row>
    <row r="49" spans="1:52" s="25" customFormat="1">
      <c r="A49" s="4"/>
      <c r="B49" s="21">
        <f t="shared" si="2"/>
        <v>37</v>
      </c>
      <c r="C49" s="13" t="s">
        <v>1220</v>
      </c>
      <c r="D49" s="13" t="s">
        <v>1221</v>
      </c>
      <c r="E49" s="7"/>
      <c r="F49" s="7" t="s">
        <v>865</v>
      </c>
      <c r="G49" s="7" t="str">
        <f t="shared" si="3"/>
        <v>text</v>
      </c>
      <c r="H49" s="58"/>
      <c r="I49" s="23"/>
      <c r="J49" s="24"/>
      <c r="M49" s="4"/>
      <c r="N49" s="76"/>
      <c r="O49" s="76"/>
      <c r="P49" s="76" t="str">
        <f t="shared" si="4"/>
        <v>,death_cause</v>
      </c>
      <c r="Q49" s="76" t="str">
        <f t="shared" si="0"/>
        <v>TEXT</v>
      </c>
      <c r="R49" s="76" t="str">
        <f t="shared" si="1"/>
        <v/>
      </c>
      <c r="S49" s="76" t="str">
        <f t="shared" si="5"/>
        <v/>
      </c>
      <c r="T49" s="76" t="str">
        <f t="shared" si="6"/>
        <v>-- 死因</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milscm_2023_009.sny_202310_backup_merge_receiptd_sb.death_cause IS '死因';</v>
      </c>
    </row>
    <row r="50" spans="1:52" s="25" customFormat="1" ht="18" thickBot="1">
      <c r="A50" s="4"/>
      <c r="B50" s="27">
        <f>ROW()-12</f>
        <v>38</v>
      </c>
      <c r="C50" s="57" t="s">
        <v>1116</v>
      </c>
      <c r="D50" s="57" t="s">
        <v>1117</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milscm_2023_009.sny_202310_backup_merge_receiptd_sb.hosoku_comment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ENT_01_C3-10</v>
      </c>
      <c r="E6" s="234"/>
      <c r="F6" s="234"/>
      <c r="G6" s="234"/>
      <c r="H6" s="234"/>
      <c r="I6" s="234"/>
      <c r="J6" s="235"/>
    </row>
    <row r="7" spans="1:45">
      <c r="B7" s="223" t="s">
        <v>115</v>
      </c>
      <c r="C7" s="224"/>
      <c r="D7" s="225" t="s">
        <v>1232</v>
      </c>
      <c r="E7" s="226"/>
      <c r="F7" s="226"/>
      <c r="G7" s="226"/>
      <c r="H7" s="226"/>
      <c r="I7" s="226"/>
      <c r="J7" s="227"/>
    </row>
    <row r="8" spans="1:45">
      <c r="B8" s="223" t="s">
        <v>116</v>
      </c>
      <c r="C8" s="224"/>
      <c r="D8" s="225" t="str">
        <f>エンティティ一覧!AE2&amp;"_"&amp;D5&amp;"_merge_receiptd_sy"</f>
        <v>sny_202310_backup_merge_receiptd_sy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milscm_2023_009.sny_202310_backup_merge_receiptd_sy;</v>
      </c>
      <c r="O10" s="76"/>
      <c r="P10" s="76"/>
      <c r="Q10" s="76"/>
      <c r="R10" s="76"/>
      <c r="S10" s="76"/>
      <c r="T10" s="76"/>
      <c r="AJ10" s="76" t="str">
        <f>"ALTER TABLE ONLY "&amp;エンティティ一覧!$O$2&amp;"."&amp;D$8</f>
        <v>ALTER TABLE ONLY milscm_2023_009.sny_202310_backup_merge_receiptd_sy</v>
      </c>
      <c r="AS10" s="76" t="str">
        <f>"ALTER TABLE "&amp;エンティティ一覧!$O$2&amp;"."&amp;D$8&amp;" OWNER TO pgmisgrp1;"</f>
        <v>ALTER TABLE milscm_2023_009.sny_202310_backup_merge_receiptd_sy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milscm_2023_009.sny_202310_backup_merge_receiptd_sy</v>
      </c>
      <c r="O11" s="76"/>
      <c r="P11" s="76"/>
      <c r="Q11" s="76"/>
      <c r="R11" s="76"/>
      <c r="S11" s="76"/>
      <c r="T11" s="76"/>
      <c r="AJ11" s="76" t="str">
        <f>"ADD CONSTRAINT "&amp;D$8&amp;"_pkey PRIMARY KEY"</f>
        <v>ADD CONSTRAINT sny_202310_backup_merge_receiptd_sy_pkey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milscm_2023_009.sny_202310_backup_merge_receiptd_sy IS 'バックアップ_DPCレセプト_傷病名レコード';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50" si="0">UPPER(G13)</f>
        <v>TEXT</v>
      </c>
      <c r="R13" s="76" t="str">
        <f t="shared" ref="R13:R5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milscm_2023_009.sny_202310_backup_merge_receiptd_sy.torikomi_ym IS '取込年月';</v>
      </c>
    </row>
    <row r="14" spans="1:45" s="25" customFormat="1">
      <c r="A14" s="4"/>
      <c r="B14" s="21">
        <f t="shared" ref="B14:B49" si="2">ROW()-12</f>
        <v>2</v>
      </c>
      <c r="C14" s="6" t="s">
        <v>202</v>
      </c>
      <c r="D14" s="6" t="s">
        <v>203</v>
      </c>
      <c r="E14" s="8"/>
      <c r="F14" s="7" t="s">
        <v>204</v>
      </c>
      <c r="G14" s="7" t="str">
        <f t="shared" ref="G14:G50" si="3">IF(F14="フラグ","boolean",IF(F14="文字列","text",IF(F14="整数","integer",IF(F14="実数","numeric",""))))</f>
        <v>integer</v>
      </c>
      <c r="H14" s="26"/>
      <c r="I14" s="10"/>
      <c r="J14" s="11" t="s">
        <v>257</v>
      </c>
      <c r="M14" s="4"/>
      <c r="N14" s="76"/>
      <c r="O14" s="76"/>
      <c r="P14" s="76" t="str">
        <f t="shared" ref="P14:P5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50" si="5">IF(I15="○","NOT NULL","")</f>
        <v>NOT NULL</v>
      </c>
      <c r="T15" s="76" t="str">
        <f t="shared" ref="T15:T5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milscm_2023_009.sny_202310_backup_merge_receiptd_sy.shinryo_ym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milscm_2023_009.sny_202310_backup_merge_receiptd_sy.data_type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milscm_2023_009.sny_202310_backup_merge_receiptd_sy.shinsa_kikan IS '審査支払機関';</v>
      </c>
    </row>
    <row r="20" spans="1:45" s="25" customFormat="1">
      <c r="A20" s="4"/>
      <c r="B20" s="21">
        <f t="shared" si="2"/>
        <v>8</v>
      </c>
      <c r="C20" s="13" t="s">
        <v>912</v>
      </c>
      <c r="D20" s="13" t="s">
        <v>913</v>
      </c>
      <c r="E20" s="7"/>
      <c r="F20" s="7" t="s">
        <v>865</v>
      </c>
      <c r="G20" s="7" t="str">
        <f t="shared" si="3"/>
        <v>text</v>
      </c>
      <c r="H20" s="58" t="s">
        <v>1119</v>
      </c>
      <c r="I20" s="23" t="s">
        <v>127</v>
      </c>
      <c r="J20" s="24" t="s">
        <v>1120</v>
      </c>
      <c r="M20" s="4"/>
      <c r="N20" s="76"/>
      <c r="O20" s="76"/>
      <c r="P20" s="76" t="str">
        <f t="shared" si="4"/>
        <v>,record_shikibetsu</v>
      </c>
      <c r="Q20" s="76" t="str">
        <f t="shared" si="0"/>
        <v>TEXT</v>
      </c>
      <c r="R20" s="76" t="str">
        <f t="shared" si="1"/>
        <v>default 'SY'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milscm_2023_009.sny_202310_backup_merge_receiptd_sy.record_shikibetsu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milscm_2023_009.sny_202310_backup_merge_receiptd_sy.receipt_no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milscm_2023_009.sny_202310_backup_merge_receiptd_sy.gyo_no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milscm_2023_009.sny_202310_backup_merge_receiptd_sy.karute_no IS 'カルテ番号等';</v>
      </c>
    </row>
    <row r="24" spans="1:45" s="25" customFormat="1" ht="34.799999999999997">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milscm_2023_009.sny_202310_backup_merge_receiptd_sy.receipt_sokatsu_kubun IS 'レセプト総括区分';</v>
      </c>
    </row>
    <row r="25" spans="1:45" s="25" customFormat="1">
      <c r="A25" s="4"/>
      <c r="B25" s="21">
        <f t="shared" si="2"/>
        <v>13</v>
      </c>
      <c r="C25" s="13" t="s">
        <v>665</v>
      </c>
      <c r="D25" s="13" t="s">
        <v>872</v>
      </c>
      <c r="E25" s="7"/>
      <c r="F25" s="7" t="s">
        <v>865</v>
      </c>
      <c r="G25" s="7" t="str">
        <f t="shared" si="3"/>
        <v>text</v>
      </c>
      <c r="H25" s="58"/>
      <c r="I25" s="23"/>
      <c r="J25" s="24"/>
      <c r="M25" s="4"/>
      <c r="N25" s="76"/>
      <c r="O25" s="76"/>
      <c r="P25" s="76" t="str">
        <f t="shared" si="4"/>
        <v>,shobyo_code</v>
      </c>
      <c r="Q25" s="76" t="str">
        <f t="shared" si="0"/>
        <v>TEXT</v>
      </c>
      <c r="R25" s="76" t="str">
        <f t="shared" si="1"/>
        <v/>
      </c>
      <c r="S25" s="76" t="str">
        <f t="shared" si="5"/>
        <v/>
      </c>
      <c r="T25" s="76" t="str">
        <f t="shared" si="6"/>
        <v>-- 傷病名コード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milscm_2023_009.sny_202310_backup_merge_receiptd_sy.shobyo_code IS '傷病名コード';</v>
      </c>
    </row>
    <row r="26" spans="1:45" s="25" customFormat="1" ht="69.599999999999994">
      <c r="A26" s="4"/>
      <c r="B26" s="21">
        <f t="shared" si="2"/>
        <v>14</v>
      </c>
      <c r="C26" s="13" t="s">
        <v>1076</v>
      </c>
      <c r="D26" s="13" t="s">
        <v>1077</v>
      </c>
      <c r="E26" s="7"/>
      <c r="F26" s="7" t="s">
        <v>865</v>
      </c>
      <c r="G26" s="7" t="str">
        <f t="shared" si="3"/>
        <v>text</v>
      </c>
      <c r="H26" s="58"/>
      <c r="I26" s="23"/>
      <c r="J26" s="24" t="s">
        <v>1070</v>
      </c>
      <c r="M26" s="4"/>
      <c r="N26" s="76"/>
      <c r="O26" s="76"/>
      <c r="P26" s="76" t="str">
        <f t="shared" si="4"/>
        <v>,shinryo_start_date</v>
      </c>
      <c r="Q26" s="76" t="str">
        <f t="shared" si="0"/>
        <v>TEXT</v>
      </c>
      <c r="R26" s="76" t="str">
        <f t="shared" si="1"/>
        <v/>
      </c>
      <c r="S26" s="76" t="str">
        <f t="shared" si="5"/>
        <v/>
      </c>
      <c r="T26" s="76" t="str">
        <f t="shared" si="6"/>
        <v>-- 診療開始日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milscm_2023_009.sny_202310_backup_merge_receiptd_sy.shinryo_start_date IS '診療開始日';</v>
      </c>
    </row>
    <row r="27" spans="1:45" s="25" customFormat="1">
      <c r="A27" s="4"/>
      <c r="B27" s="21">
        <f t="shared" si="2"/>
        <v>15</v>
      </c>
      <c r="C27" s="13" t="s">
        <v>1078</v>
      </c>
      <c r="D27" s="13" t="s">
        <v>1079</v>
      </c>
      <c r="E27" s="7"/>
      <c r="F27" s="7" t="s">
        <v>865</v>
      </c>
      <c r="G27" s="7" t="str">
        <f t="shared" si="3"/>
        <v>text</v>
      </c>
      <c r="H27" s="58"/>
      <c r="I27" s="23"/>
      <c r="J27" s="24"/>
      <c r="M27" s="4"/>
      <c r="N27" s="76"/>
      <c r="O27" s="76"/>
      <c r="P27" s="76" t="str">
        <f t="shared" si="4"/>
        <v>,tenki_kubun</v>
      </c>
      <c r="Q27" s="76" t="str">
        <f t="shared" si="0"/>
        <v>TEXT</v>
      </c>
      <c r="R27" s="76" t="str">
        <f t="shared" si="1"/>
        <v/>
      </c>
      <c r="S27" s="76" t="str">
        <f t="shared" si="5"/>
        <v/>
      </c>
      <c r="T27" s="76" t="str">
        <f t="shared" si="6"/>
        <v>-- 転帰区分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milscm_2023_009.sny_202310_backup_merge_receiptd_sy.tenki_kubun IS '転帰区分';</v>
      </c>
    </row>
    <row r="28" spans="1:45" s="25" customFormat="1">
      <c r="A28" s="4"/>
      <c r="B28" s="21">
        <f t="shared" si="2"/>
        <v>16</v>
      </c>
      <c r="C28" s="13" t="s">
        <v>667</v>
      </c>
      <c r="D28" s="13" t="s">
        <v>873</v>
      </c>
      <c r="E28" s="7"/>
      <c r="F28" s="7" t="s">
        <v>865</v>
      </c>
      <c r="G28" s="7" t="str">
        <f t="shared" si="3"/>
        <v>text</v>
      </c>
      <c r="H28" s="58"/>
      <c r="I28" s="23"/>
      <c r="J28" s="24" t="s">
        <v>1122</v>
      </c>
      <c r="M28" s="4"/>
      <c r="N28" s="76"/>
      <c r="O28" s="76"/>
      <c r="P28" s="76" t="str">
        <f t="shared" si="4"/>
        <v>,shushoku_code1</v>
      </c>
      <c r="Q28" s="76" t="str">
        <f t="shared" si="0"/>
        <v>TEXT</v>
      </c>
      <c r="R28" s="76" t="str">
        <f t="shared" si="1"/>
        <v/>
      </c>
      <c r="S28" s="76" t="str">
        <f t="shared" si="5"/>
        <v/>
      </c>
      <c r="T28" s="76" t="str">
        <f t="shared" si="6"/>
        <v>-- 修飾語コード1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milscm_2023_009.sny_202310_backup_merge_receiptd_sy.shushoku_code1 IS '修飾語コード1';</v>
      </c>
    </row>
    <row r="29" spans="1:45" s="25" customFormat="1">
      <c r="A29" s="4"/>
      <c r="B29" s="21">
        <f t="shared" si="2"/>
        <v>17</v>
      </c>
      <c r="C29" s="13" t="s">
        <v>669</v>
      </c>
      <c r="D29" s="13" t="s">
        <v>874</v>
      </c>
      <c r="E29" s="7"/>
      <c r="F29" s="7" t="s">
        <v>865</v>
      </c>
      <c r="G29" s="7" t="str">
        <f t="shared" si="3"/>
        <v>text</v>
      </c>
      <c r="H29" s="58"/>
      <c r="I29" s="23"/>
      <c r="J29" s="24"/>
      <c r="M29" s="4"/>
      <c r="N29" s="76"/>
      <c r="O29" s="76"/>
      <c r="P29" s="76" t="str">
        <f t="shared" si="4"/>
        <v>,shushoku_code2</v>
      </c>
      <c r="Q29" s="76" t="str">
        <f t="shared" si="0"/>
        <v>TEXT</v>
      </c>
      <c r="R29" s="76" t="str">
        <f t="shared" si="1"/>
        <v/>
      </c>
      <c r="S29" s="76" t="str">
        <f t="shared" si="5"/>
        <v/>
      </c>
      <c r="T29" s="76" t="str">
        <f t="shared" si="6"/>
        <v>-- 修飾語コード2</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milscm_2023_009.sny_202310_backup_merge_receiptd_sy.shushoku_code2 IS '修飾語コード2';</v>
      </c>
    </row>
    <row r="30" spans="1:45" s="25" customFormat="1">
      <c r="A30" s="4"/>
      <c r="B30" s="21">
        <f t="shared" si="2"/>
        <v>18</v>
      </c>
      <c r="C30" s="13" t="s">
        <v>671</v>
      </c>
      <c r="D30" s="13" t="s">
        <v>875</v>
      </c>
      <c r="E30" s="7"/>
      <c r="F30" s="7" t="s">
        <v>865</v>
      </c>
      <c r="G30" s="7" t="str">
        <f t="shared" si="3"/>
        <v>text</v>
      </c>
      <c r="H30" s="58"/>
      <c r="I30" s="23"/>
      <c r="J30" s="24"/>
      <c r="M30" s="4"/>
      <c r="N30" s="76"/>
      <c r="O30" s="76"/>
      <c r="P30" s="76" t="str">
        <f t="shared" si="4"/>
        <v>,shushoku_code3</v>
      </c>
      <c r="Q30" s="76" t="str">
        <f t="shared" si="0"/>
        <v>TEXT</v>
      </c>
      <c r="R30" s="76" t="str">
        <f t="shared" si="1"/>
        <v/>
      </c>
      <c r="S30" s="76" t="str">
        <f t="shared" si="5"/>
        <v/>
      </c>
      <c r="T30" s="76" t="str">
        <f t="shared" si="6"/>
        <v>-- 修飾語コード3</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milscm_2023_009.sny_202310_backup_merge_receiptd_sy.shushoku_code3 IS '修飾語コード3';</v>
      </c>
    </row>
    <row r="31" spans="1:45" s="25" customFormat="1">
      <c r="A31" s="4"/>
      <c r="B31" s="21">
        <f t="shared" si="2"/>
        <v>19</v>
      </c>
      <c r="C31" s="13" t="s">
        <v>673</v>
      </c>
      <c r="D31" s="13" t="s">
        <v>876</v>
      </c>
      <c r="E31" s="7"/>
      <c r="F31" s="7" t="s">
        <v>865</v>
      </c>
      <c r="G31" s="7" t="str">
        <f t="shared" si="3"/>
        <v>text</v>
      </c>
      <c r="H31" s="58"/>
      <c r="I31" s="23"/>
      <c r="J31" s="24"/>
      <c r="M31" s="4"/>
      <c r="N31" s="76"/>
      <c r="O31" s="76"/>
      <c r="P31" s="76" t="str">
        <f t="shared" si="4"/>
        <v>,shushoku_code4</v>
      </c>
      <c r="Q31" s="76" t="str">
        <f t="shared" si="0"/>
        <v>TEXT</v>
      </c>
      <c r="R31" s="76" t="str">
        <f t="shared" si="1"/>
        <v/>
      </c>
      <c r="S31" s="76" t="str">
        <f t="shared" si="5"/>
        <v/>
      </c>
      <c r="T31" s="76" t="str">
        <f t="shared" si="6"/>
        <v>-- 修飾語コード4</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milscm_2023_009.sny_202310_backup_merge_receiptd_sy.shushoku_code4 IS '修飾語コード4';</v>
      </c>
    </row>
    <row r="32" spans="1:45" s="25" customFormat="1">
      <c r="A32" s="4"/>
      <c r="B32" s="21">
        <f t="shared" si="2"/>
        <v>20</v>
      </c>
      <c r="C32" s="13" t="s">
        <v>1080</v>
      </c>
      <c r="D32" s="13" t="s">
        <v>1081</v>
      </c>
      <c r="E32" s="7"/>
      <c r="F32" s="7" t="s">
        <v>865</v>
      </c>
      <c r="G32" s="7" t="str">
        <f t="shared" si="3"/>
        <v>text</v>
      </c>
      <c r="H32" s="58"/>
      <c r="I32" s="23"/>
      <c r="J32" s="24"/>
      <c r="M32" s="4"/>
      <c r="N32" s="76"/>
      <c r="O32" s="76"/>
      <c r="P32" s="76" t="str">
        <f t="shared" si="4"/>
        <v>,shushoku_code5</v>
      </c>
      <c r="Q32" s="76" t="str">
        <f t="shared" si="0"/>
        <v>TEXT</v>
      </c>
      <c r="R32" s="76" t="str">
        <f t="shared" si="1"/>
        <v/>
      </c>
      <c r="S32" s="76" t="str">
        <f t="shared" si="5"/>
        <v/>
      </c>
      <c r="T32" s="76" t="str">
        <f t="shared" si="6"/>
        <v>-- 修飾語コード5</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milscm_2023_009.sny_202310_backup_merge_receiptd_sy.shushoku_code5 IS '修飾語コード5';</v>
      </c>
    </row>
    <row r="33" spans="1:45" s="25" customFormat="1">
      <c r="A33" s="4"/>
      <c r="B33" s="21">
        <f t="shared" si="2"/>
        <v>21</v>
      </c>
      <c r="C33" s="13" t="s">
        <v>1082</v>
      </c>
      <c r="D33" s="13" t="s">
        <v>1083</v>
      </c>
      <c r="E33" s="7"/>
      <c r="F33" s="7" t="s">
        <v>865</v>
      </c>
      <c r="G33" s="7" t="str">
        <f t="shared" si="3"/>
        <v>text</v>
      </c>
      <c r="H33" s="58"/>
      <c r="I33" s="23"/>
      <c r="J33" s="24"/>
      <c r="M33" s="4"/>
      <c r="N33" s="76"/>
      <c r="O33" s="76"/>
      <c r="P33" s="76" t="str">
        <f t="shared" si="4"/>
        <v>,shushoku_code6</v>
      </c>
      <c r="Q33" s="76" t="str">
        <f t="shared" si="0"/>
        <v>TEXT</v>
      </c>
      <c r="R33" s="76" t="str">
        <f t="shared" si="1"/>
        <v/>
      </c>
      <c r="S33" s="76" t="str">
        <f t="shared" si="5"/>
        <v/>
      </c>
      <c r="T33" s="76" t="str">
        <f t="shared" si="6"/>
        <v>-- 修飾語コード6</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milscm_2023_009.sny_202310_backup_merge_receiptd_sy.shushoku_code6 IS '修飾語コード6';</v>
      </c>
    </row>
    <row r="34" spans="1:45" s="25" customFormat="1">
      <c r="A34" s="4"/>
      <c r="B34" s="21">
        <f t="shared" si="2"/>
        <v>22</v>
      </c>
      <c r="C34" s="13" t="s">
        <v>1084</v>
      </c>
      <c r="D34" s="13" t="s">
        <v>1085</v>
      </c>
      <c r="E34" s="7"/>
      <c r="F34" s="7" t="s">
        <v>865</v>
      </c>
      <c r="G34" s="7" t="str">
        <f t="shared" si="3"/>
        <v>text</v>
      </c>
      <c r="H34" s="58"/>
      <c r="I34" s="23"/>
      <c r="J34" s="24"/>
      <c r="M34" s="4"/>
      <c r="N34" s="76"/>
      <c r="O34" s="76"/>
      <c r="P34" s="76" t="str">
        <f t="shared" si="4"/>
        <v>,shushoku_code7</v>
      </c>
      <c r="Q34" s="76" t="str">
        <f t="shared" si="0"/>
        <v>TEXT</v>
      </c>
      <c r="R34" s="76" t="str">
        <f t="shared" si="1"/>
        <v/>
      </c>
      <c r="S34" s="76" t="str">
        <f t="shared" si="5"/>
        <v/>
      </c>
      <c r="T34" s="76" t="str">
        <f t="shared" si="6"/>
        <v>-- 修飾語コード7</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milscm_2023_009.sny_202310_backup_merge_receiptd_sy.shushoku_code7 IS '修飾語コード7';</v>
      </c>
    </row>
    <row r="35" spans="1:45" s="25" customFormat="1">
      <c r="A35" s="4"/>
      <c r="B35" s="21">
        <f t="shared" si="2"/>
        <v>23</v>
      </c>
      <c r="C35" s="13" t="s">
        <v>1086</v>
      </c>
      <c r="D35" s="13" t="s">
        <v>1087</v>
      </c>
      <c r="E35" s="7"/>
      <c r="F35" s="7" t="s">
        <v>865</v>
      </c>
      <c r="G35" s="7" t="str">
        <f t="shared" si="3"/>
        <v>text</v>
      </c>
      <c r="H35" s="58"/>
      <c r="I35" s="23"/>
      <c r="J35" s="24"/>
      <c r="M35" s="4"/>
      <c r="N35" s="76"/>
      <c r="O35" s="76"/>
      <c r="P35" s="76" t="str">
        <f t="shared" si="4"/>
        <v>,shushoku_code8</v>
      </c>
      <c r="Q35" s="76" t="str">
        <f t="shared" si="0"/>
        <v>TEXT</v>
      </c>
      <c r="R35" s="76" t="str">
        <f t="shared" si="1"/>
        <v/>
      </c>
      <c r="S35" s="76" t="str">
        <f t="shared" si="5"/>
        <v/>
      </c>
      <c r="T35" s="76" t="str">
        <f t="shared" si="6"/>
        <v>-- 修飾語コード8</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milscm_2023_009.sny_202310_backup_merge_receiptd_sy.shushoku_code8 IS '修飾語コード8';</v>
      </c>
    </row>
    <row r="36" spans="1:45" s="25" customFormat="1">
      <c r="A36" s="4"/>
      <c r="B36" s="21">
        <f t="shared" si="2"/>
        <v>24</v>
      </c>
      <c r="C36" s="13" t="s">
        <v>1088</v>
      </c>
      <c r="D36" s="13" t="s">
        <v>1089</v>
      </c>
      <c r="E36" s="7"/>
      <c r="F36" s="7" t="s">
        <v>865</v>
      </c>
      <c r="G36" s="7" t="str">
        <f t="shared" si="3"/>
        <v>text</v>
      </c>
      <c r="H36" s="58"/>
      <c r="I36" s="23"/>
      <c r="J36" s="24"/>
      <c r="M36" s="4"/>
      <c r="N36" s="76"/>
      <c r="O36" s="76"/>
      <c r="P36" s="76" t="str">
        <f t="shared" si="4"/>
        <v>,shushoku_code9</v>
      </c>
      <c r="Q36" s="76" t="str">
        <f t="shared" si="0"/>
        <v>TEXT</v>
      </c>
      <c r="R36" s="76" t="str">
        <f t="shared" si="1"/>
        <v/>
      </c>
      <c r="S36" s="76" t="str">
        <f t="shared" si="5"/>
        <v/>
      </c>
      <c r="T36" s="76" t="str">
        <f t="shared" si="6"/>
        <v>-- 修飾語コード9</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milscm_2023_009.sny_202310_backup_merge_receiptd_sy.shushoku_code9 IS '修飾語コード9';</v>
      </c>
    </row>
    <row r="37" spans="1:45" s="25" customFormat="1">
      <c r="A37" s="4"/>
      <c r="B37" s="21">
        <f t="shared" si="2"/>
        <v>25</v>
      </c>
      <c r="C37" s="13" t="s">
        <v>1090</v>
      </c>
      <c r="D37" s="13" t="s">
        <v>1091</v>
      </c>
      <c r="E37" s="7"/>
      <c r="F37" s="7" t="s">
        <v>865</v>
      </c>
      <c r="G37" s="7" t="str">
        <f t="shared" si="3"/>
        <v>text</v>
      </c>
      <c r="H37" s="58"/>
      <c r="I37" s="23"/>
      <c r="J37" s="24"/>
      <c r="M37" s="4"/>
      <c r="N37" s="76"/>
      <c r="O37" s="76"/>
      <c r="P37" s="76" t="str">
        <f t="shared" si="4"/>
        <v>,shushoku_code10</v>
      </c>
      <c r="Q37" s="76" t="str">
        <f t="shared" si="0"/>
        <v>TEXT</v>
      </c>
      <c r="R37" s="76" t="str">
        <f t="shared" si="1"/>
        <v/>
      </c>
      <c r="S37" s="76" t="str">
        <f t="shared" si="5"/>
        <v/>
      </c>
      <c r="T37" s="76" t="str">
        <f t="shared" si="6"/>
        <v>-- 修飾語コード10</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milscm_2023_009.sny_202310_backup_merge_receiptd_sy.shushoku_code10 IS '修飾語コード10';</v>
      </c>
    </row>
    <row r="38" spans="1:45" s="25" customFormat="1">
      <c r="A38" s="4"/>
      <c r="B38" s="21">
        <f t="shared" si="2"/>
        <v>26</v>
      </c>
      <c r="C38" s="13" t="s">
        <v>1092</v>
      </c>
      <c r="D38" s="13" t="s">
        <v>1093</v>
      </c>
      <c r="E38" s="7"/>
      <c r="F38" s="7" t="s">
        <v>865</v>
      </c>
      <c r="G38" s="7" t="str">
        <f t="shared" si="3"/>
        <v>text</v>
      </c>
      <c r="H38" s="58"/>
      <c r="I38" s="23"/>
      <c r="J38" s="24"/>
      <c r="M38" s="4"/>
      <c r="N38" s="76"/>
      <c r="O38" s="76"/>
      <c r="P38" s="76" t="str">
        <f t="shared" si="4"/>
        <v>,shushoku_code11</v>
      </c>
      <c r="Q38" s="76" t="str">
        <f t="shared" si="0"/>
        <v>TEXT</v>
      </c>
      <c r="R38" s="76" t="str">
        <f t="shared" si="1"/>
        <v/>
      </c>
      <c r="S38" s="76" t="str">
        <f t="shared" si="5"/>
        <v/>
      </c>
      <c r="T38" s="76" t="str">
        <f t="shared" si="6"/>
        <v>-- 修飾語コード11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milscm_2023_009.sny_202310_backup_merge_receiptd_sy.shushoku_code11 IS '修飾語コード11';</v>
      </c>
    </row>
    <row r="39" spans="1:45" s="25" customFormat="1">
      <c r="A39" s="4"/>
      <c r="B39" s="21">
        <f t="shared" si="2"/>
        <v>27</v>
      </c>
      <c r="C39" s="13" t="s">
        <v>1094</v>
      </c>
      <c r="D39" s="13" t="s">
        <v>1095</v>
      </c>
      <c r="E39" s="7"/>
      <c r="F39" s="7" t="s">
        <v>865</v>
      </c>
      <c r="G39" s="7" t="str">
        <f t="shared" si="3"/>
        <v>text</v>
      </c>
      <c r="H39" s="58"/>
      <c r="I39" s="23"/>
      <c r="J39" s="24"/>
      <c r="M39" s="4"/>
      <c r="N39" s="76"/>
      <c r="O39" s="76"/>
      <c r="P39" s="76" t="str">
        <f t="shared" si="4"/>
        <v>,shushoku_code12</v>
      </c>
      <c r="Q39" s="76" t="str">
        <f t="shared" si="0"/>
        <v>TEXT</v>
      </c>
      <c r="R39" s="76" t="str">
        <f t="shared" si="1"/>
        <v/>
      </c>
      <c r="S39" s="76" t="str">
        <f t="shared" si="5"/>
        <v/>
      </c>
      <c r="T39" s="76" t="str">
        <f t="shared" si="6"/>
        <v>-- 修飾語コード12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milscm_2023_009.sny_202310_backup_merge_receiptd_sy.shushoku_code12 IS '修飾語コード12';</v>
      </c>
    </row>
    <row r="40" spans="1:45" s="25" customFormat="1">
      <c r="A40" s="4"/>
      <c r="B40" s="21">
        <f t="shared" si="2"/>
        <v>28</v>
      </c>
      <c r="C40" s="13" t="s">
        <v>1096</v>
      </c>
      <c r="D40" s="13" t="s">
        <v>1097</v>
      </c>
      <c r="E40" s="7"/>
      <c r="F40" s="7" t="s">
        <v>865</v>
      </c>
      <c r="G40" s="7" t="str">
        <f t="shared" si="3"/>
        <v>text</v>
      </c>
      <c r="H40" s="58"/>
      <c r="I40" s="23"/>
      <c r="J40" s="24"/>
      <c r="M40" s="4"/>
      <c r="N40" s="76"/>
      <c r="O40" s="76"/>
      <c r="P40" s="76" t="str">
        <f t="shared" si="4"/>
        <v>,shushoku_code13</v>
      </c>
      <c r="Q40" s="76" t="str">
        <f t="shared" si="0"/>
        <v>TEXT</v>
      </c>
      <c r="R40" s="76" t="str">
        <f t="shared" si="1"/>
        <v/>
      </c>
      <c r="S40" s="76" t="str">
        <f t="shared" si="5"/>
        <v/>
      </c>
      <c r="T40" s="76" t="str">
        <f t="shared" si="6"/>
        <v>-- 修飾語コード13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milscm_2023_009.sny_202310_backup_merge_receiptd_sy.shushoku_code13 IS '修飾語コード13';</v>
      </c>
    </row>
    <row r="41" spans="1:45" s="25" customFormat="1">
      <c r="A41" s="4"/>
      <c r="B41" s="21">
        <f t="shared" si="2"/>
        <v>29</v>
      </c>
      <c r="C41" s="13" t="s">
        <v>1098</v>
      </c>
      <c r="D41" s="13" t="s">
        <v>1099</v>
      </c>
      <c r="E41" s="7"/>
      <c r="F41" s="7" t="s">
        <v>865</v>
      </c>
      <c r="G41" s="7" t="str">
        <f t="shared" si="3"/>
        <v>text</v>
      </c>
      <c r="H41" s="58"/>
      <c r="I41" s="23"/>
      <c r="J41" s="24"/>
      <c r="M41" s="4"/>
      <c r="N41" s="76"/>
      <c r="O41" s="76"/>
      <c r="P41" s="76" t="str">
        <f t="shared" si="4"/>
        <v>,shushoku_code14</v>
      </c>
      <c r="Q41" s="76" t="str">
        <f t="shared" si="0"/>
        <v>TEXT</v>
      </c>
      <c r="R41" s="76" t="str">
        <f t="shared" si="1"/>
        <v/>
      </c>
      <c r="S41" s="76" t="str">
        <f t="shared" si="5"/>
        <v/>
      </c>
      <c r="T41" s="76" t="str">
        <f t="shared" si="6"/>
        <v>-- 修飾語コード14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milscm_2023_009.sny_202310_backup_merge_receiptd_sy.shushoku_code14 IS '修飾語コード14';</v>
      </c>
    </row>
    <row r="42" spans="1:45" s="25" customFormat="1">
      <c r="A42" s="4"/>
      <c r="B42" s="21">
        <f t="shared" si="2"/>
        <v>30</v>
      </c>
      <c r="C42" s="13" t="s">
        <v>1100</v>
      </c>
      <c r="D42" s="13" t="s">
        <v>1101</v>
      </c>
      <c r="E42" s="7"/>
      <c r="F42" s="7" t="s">
        <v>865</v>
      </c>
      <c r="G42" s="7" t="str">
        <f t="shared" si="3"/>
        <v>text</v>
      </c>
      <c r="H42" s="58"/>
      <c r="I42" s="23"/>
      <c r="J42" s="24"/>
      <c r="M42" s="4"/>
      <c r="N42" s="76"/>
      <c r="O42" s="76"/>
      <c r="P42" s="76" t="str">
        <f t="shared" si="4"/>
        <v>,shushoku_code15</v>
      </c>
      <c r="Q42" s="76" t="str">
        <f t="shared" si="0"/>
        <v>TEXT</v>
      </c>
      <c r="R42" s="76" t="str">
        <f t="shared" si="1"/>
        <v/>
      </c>
      <c r="S42" s="76" t="str">
        <f t="shared" si="5"/>
        <v/>
      </c>
      <c r="T42" s="76" t="str">
        <f t="shared" si="6"/>
        <v>-- 修飾語コード15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milscm_2023_009.sny_202310_backup_merge_receiptd_sy.shushoku_code15 IS '修飾語コード15';</v>
      </c>
    </row>
    <row r="43" spans="1:45" s="25" customFormat="1">
      <c r="A43" s="4"/>
      <c r="B43" s="21">
        <f t="shared" si="2"/>
        <v>31</v>
      </c>
      <c r="C43" s="13" t="s">
        <v>1102</v>
      </c>
      <c r="D43" s="13" t="s">
        <v>1103</v>
      </c>
      <c r="E43" s="7"/>
      <c r="F43" s="7" t="s">
        <v>865</v>
      </c>
      <c r="G43" s="7" t="str">
        <f t="shared" si="3"/>
        <v>text</v>
      </c>
      <c r="H43" s="58"/>
      <c r="I43" s="23"/>
      <c r="J43" s="24"/>
      <c r="M43" s="4"/>
      <c r="N43" s="76"/>
      <c r="O43" s="76"/>
      <c r="P43" s="76" t="str">
        <f t="shared" si="4"/>
        <v>,shushoku_code16</v>
      </c>
      <c r="Q43" s="76" t="str">
        <f t="shared" si="0"/>
        <v>TEXT</v>
      </c>
      <c r="R43" s="76" t="str">
        <f t="shared" si="1"/>
        <v/>
      </c>
      <c r="S43" s="76" t="str">
        <f t="shared" si="5"/>
        <v/>
      </c>
      <c r="T43" s="76" t="str">
        <f t="shared" si="6"/>
        <v>-- 修飾語コード16</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milscm_2023_009.sny_202310_backup_merge_receiptd_sy.shushoku_code16 IS '修飾語コード16';</v>
      </c>
    </row>
    <row r="44" spans="1:45" s="25" customFormat="1">
      <c r="A44" s="4"/>
      <c r="B44" s="21">
        <f t="shared" si="2"/>
        <v>32</v>
      </c>
      <c r="C44" s="13" t="s">
        <v>1104</v>
      </c>
      <c r="D44" s="13" t="s">
        <v>1105</v>
      </c>
      <c r="E44" s="7"/>
      <c r="F44" s="7" t="s">
        <v>865</v>
      </c>
      <c r="G44" s="7" t="str">
        <f t="shared" si="3"/>
        <v>text</v>
      </c>
      <c r="H44" s="58"/>
      <c r="I44" s="23"/>
      <c r="J44" s="24"/>
      <c r="M44" s="4"/>
      <c r="N44" s="76"/>
      <c r="O44" s="76"/>
      <c r="P44" s="76" t="str">
        <f t="shared" si="4"/>
        <v>,shushoku_code17</v>
      </c>
      <c r="Q44" s="76" t="str">
        <f t="shared" si="0"/>
        <v>TEXT</v>
      </c>
      <c r="R44" s="76" t="str">
        <f t="shared" si="1"/>
        <v/>
      </c>
      <c r="S44" s="76" t="str">
        <f t="shared" si="5"/>
        <v/>
      </c>
      <c r="T44" s="76" t="str">
        <f t="shared" si="6"/>
        <v>-- 修飾語コード17</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milscm_2023_009.sny_202310_backup_merge_receiptd_sy.shushoku_code17 IS '修飾語コード17';</v>
      </c>
    </row>
    <row r="45" spans="1:45" s="25" customFormat="1">
      <c r="A45" s="4"/>
      <c r="B45" s="21">
        <f t="shared" si="2"/>
        <v>33</v>
      </c>
      <c r="C45" s="13" t="s">
        <v>1106</v>
      </c>
      <c r="D45" s="13" t="s">
        <v>1107</v>
      </c>
      <c r="E45" s="7"/>
      <c r="F45" s="7" t="s">
        <v>865</v>
      </c>
      <c r="G45" s="7" t="str">
        <f t="shared" si="3"/>
        <v>text</v>
      </c>
      <c r="H45" s="58"/>
      <c r="I45" s="23"/>
      <c r="J45" s="24"/>
      <c r="M45" s="4"/>
      <c r="N45" s="76"/>
      <c r="O45" s="76"/>
      <c r="P45" s="76" t="str">
        <f t="shared" si="4"/>
        <v>,shushoku_code18</v>
      </c>
      <c r="Q45" s="76" t="str">
        <f t="shared" si="0"/>
        <v>TEXT</v>
      </c>
      <c r="R45" s="76" t="str">
        <f t="shared" si="1"/>
        <v/>
      </c>
      <c r="S45" s="76" t="str">
        <f t="shared" si="5"/>
        <v/>
      </c>
      <c r="T45" s="76" t="str">
        <f t="shared" si="6"/>
        <v>-- 修飾語コード18</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milscm_2023_009.sny_202310_backup_merge_receiptd_sy.shushoku_code18 IS '修飾語コード18';</v>
      </c>
    </row>
    <row r="46" spans="1:45" s="25" customFormat="1">
      <c r="A46" s="4"/>
      <c r="B46" s="21">
        <f t="shared" si="2"/>
        <v>34</v>
      </c>
      <c r="C46" s="13" t="s">
        <v>1108</v>
      </c>
      <c r="D46" s="13" t="s">
        <v>1109</v>
      </c>
      <c r="E46" s="7"/>
      <c r="F46" s="7" t="s">
        <v>865</v>
      </c>
      <c r="G46" s="7" t="str">
        <f t="shared" si="3"/>
        <v>text</v>
      </c>
      <c r="H46" s="58"/>
      <c r="I46" s="23"/>
      <c r="J46" s="24"/>
      <c r="M46" s="4"/>
      <c r="N46" s="76"/>
      <c r="O46" s="76"/>
      <c r="P46" s="76" t="str">
        <f t="shared" si="4"/>
        <v>,shushoku_code19</v>
      </c>
      <c r="Q46" s="76" t="str">
        <f t="shared" si="0"/>
        <v>TEXT</v>
      </c>
      <c r="R46" s="76" t="str">
        <f t="shared" si="1"/>
        <v/>
      </c>
      <c r="S46" s="76" t="str">
        <f t="shared" si="5"/>
        <v/>
      </c>
      <c r="T46" s="76" t="str">
        <f t="shared" si="6"/>
        <v>-- 修飾語コード19</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milscm_2023_009.sny_202310_backup_merge_receiptd_sy.shushoku_code19 IS '修飾語コード19';</v>
      </c>
    </row>
    <row r="47" spans="1:45" s="25" customFormat="1">
      <c r="A47" s="4"/>
      <c r="B47" s="21">
        <f t="shared" si="2"/>
        <v>35</v>
      </c>
      <c r="C47" s="13" t="s">
        <v>1110</v>
      </c>
      <c r="D47" s="13" t="s">
        <v>1111</v>
      </c>
      <c r="E47" s="7"/>
      <c r="F47" s="7" t="s">
        <v>865</v>
      </c>
      <c r="G47" s="7" t="str">
        <f t="shared" si="3"/>
        <v>text</v>
      </c>
      <c r="H47" s="58"/>
      <c r="I47" s="23"/>
      <c r="J47" s="24"/>
      <c r="M47" s="4"/>
      <c r="N47" s="76"/>
      <c r="O47" s="76"/>
      <c r="P47" s="76" t="str">
        <f t="shared" si="4"/>
        <v>,shushoku_code20</v>
      </c>
      <c r="Q47" s="76" t="str">
        <f t="shared" si="0"/>
        <v>TEXT</v>
      </c>
      <c r="R47" s="76" t="str">
        <f t="shared" si="1"/>
        <v/>
      </c>
      <c r="S47" s="76" t="str">
        <f t="shared" si="5"/>
        <v/>
      </c>
      <c r="T47" s="76" t="str">
        <f t="shared" si="6"/>
        <v>-- 修飾語コード20</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milscm_2023_009.sny_202310_backup_merge_receiptd_sy.shushoku_code20 IS '修飾語コード20';</v>
      </c>
    </row>
    <row r="48" spans="1:45" s="25" customFormat="1">
      <c r="A48" s="4"/>
      <c r="B48" s="21">
        <f t="shared" si="2"/>
        <v>36</v>
      </c>
      <c r="C48" s="13" t="s">
        <v>1112</v>
      </c>
      <c r="D48" s="13" t="s">
        <v>1113</v>
      </c>
      <c r="E48" s="7"/>
      <c r="F48" s="7" t="s">
        <v>865</v>
      </c>
      <c r="G48" s="7" t="str">
        <f t="shared" si="3"/>
        <v>text</v>
      </c>
      <c r="H48" s="58"/>
      <c r="I48" s="23"/>
      <c r="J48" s="24"/>
      <c r="M48" s="4"/>
      <c r="N48" s="76"/>
      <c r="O48" s="76"/>
      <c r="P48" s="76" t="str">
        <f t="shared" si="4"/>
        <v>,shobyo_name</v>
      </c>
      <c r="Q48" s="76" t="str">
        <f t="shared" si="0"/>
        <v>TEXT</v>
      </c>
      <c r="R48" s="76" t="str">
        <f t="shared" si="1"/>
        <v/>
      </c>
      <c r="S48" s="76" t="str">
        <f t="shared" si="5"/>
        <v/>
      </c>
      <c r="T48" s="76" t="str">
        <f t="shared" si="6"/>
        <v>-- 傷病名称</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milscm_2023_009.sny_202310_backup_merge_receiptd_sy.shobyo_name IS '傷病名称';</v>
      </c>
    </row>
    <row r="49" spans="1:52" s="25" customFormat="1">
      <c r="A49" s="4"/>
      <c r="B49" s="21">
        <f t="shared" si="2"/>
        <v>37</v>
      </c>
      <c r="C49" s="13" t="s">
        <v>1114</v>
      </c>
      <c r="D49" s="13" t="s">
        <v>1115</v>
      </c>
      <c r="E49" s="7"/>
      <c r="F49" s="7" t="s">
        <v>865</v>
      </c>
      <c r="G49" s="7" t="str">
        <f t="shared" si="3"/>
        <v>text</v>
      </c>
      <c r="H49" s="58"/>
      <c r="I49" s="23"/>
      <c r="J49" s="24"/>
      <c r="M49" s="4"/>
      <c r="N49" s="76"/>
      <c r="O49" s="76"/>
      <c r="P49" s="76" t="str">
        <f t="shared" si="4"/>
        <v>,main_shobyo_code</v>
      </c>
      <c r="Q49" s="76" t="str">
        <f t="shared" si="0"/>
        <v>TEXT</v>
      </c>
      <c r="R49" s="76" t="str">
        <f t="shared" si="1"/>
        <v/>
      </c>
      <c r="S49" s="76" t="str">
        <f t="shared" si="5"/>
        <v/>
      </c>
      <c r="T49" s="76" t="str">
        <f t="shared" si="6"/>
        <v>-- 主傷病</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milscm_2023_009.sny_202310_backup_merge_receiptd_sy.main_shobyo_code IS '主傷病';</v>
      </c>
    </row>
    <row r="50" spans="1:52" s="25" customFormat="1" ht="18" thickBot="1">
      <c r="A50" s="4"/>
      <c r="B50" s="27">
        <f>ROW()-12</f>
        <v>38</v>
      </c>
      <c r="C50" s="57" t="s">
        <v>1116</v>
      </c>
      <c r="D50" s="57" t="s">
        <v>1117</v>
      </c>
      <c r="E50" s="56"/>
      <c r="F50" s="56" t="s">
        <v>865</v>
      </c>
      <c r="G50" s="56" t="str">
        <f t="shared" si="3"/>
        <v>text</v>
      </c>
      <c r="H50" s="59"/>
      <c r="I50" s="60"/>
      <c r="J50" s="64"/>
      <c r="N50" s="76"/>
      <c r="O50" s="76"/>
      <c r="P50" s="76" t="str">
        <f t="shared" si="4"/>
        <v>,hosoku_comment</v>
      </c>
      <c r="Q50" s="76" t="str">
        <f t="shared" si="0"/>
        <v>TEXT</v>
      </c>
      <c r="R50" s="76" t="str">
        <f t="shared" si="1"/>
        <v/>
      </c>
      <c r="S50" s="76" t="str">
        <f t="shared" si="5"/>
        <v/>
      </c>
      <c r="T50" s="76" t="str">
        <f t="shared" si="6"/>
        <v>-- 補足コメント</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milscm_2023_009.sny_202310_backup_merge_receiptd_sy.hosoku_comment IS '補足コメント';</v>
      </c>
    </row>
    <row r="51" spans="1:52">
      <c r="L51" s="25"/>
      <c r="M51" s="25"/>
      <c r="N51" s="76" t="s">
        <v>142</v>
      </c>
      <c r="O51" s="76"/>
      <c r="P51" s="76"/>
      <c r="Q51" s="76"/>
      <c r="R51" s="76"/>
      <c r="S51" s="76"/>
      <c r="T51" s="76"/>
      <c r="V51" s="25"/>
      <c r="W51" s="25"/>
      <c r="X51" s="25"/>
      <c r="Y51" s="25"/>
      <c r="Z51" s="25"/>
      <c r="AJ51" s="76"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ENT_01_C3-16</v>
      </c>
      <c r="E6" s="234"/>
      <c r="F6" s="234"/>
      <c r="G6" s="234"/>
      <c r="H6" s="234"/>
      <c r="I6" s="234"/>
      <c r="J6" s="235"/>
    </row>
    <row r="7" spans="1:45">
      <c r="B7" s="223" t="s">
        <v>115</v>
      </c>
      <c r="C7" s="224"/>
      <c r="D7" s="225" t="s">
        <v>1234</v>
      </c>
      <c r="E7" s="226"/>
      <c r="F7" s="226"/>
      <c r="G7" s="226"/>
      <c r="H7" s="226"/>
      <c r="I7" s="226"/>
      <c r="J7" s="227"/>
    </row>
    <row r="8" spans="1:45">
      <c r="B8" s="223" t="s">
        <v>116</v>
      </c>
      <c r="C8" s="224"/>
      <c r="D8" s="225" t="str">
        <f>エンティティ一覧!AE2&amp;"_"&amp;D5&amp;"_merge_receiptd_si"</f>
        <v>sny_202310_backup_merge_receiptd_si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milscm_2023_009.sny_202310_backup_merge_receiptd_si;</v>
      </c>
      <c r="O10" s="76"/>
      <c r="P10" s="76"/>
      <c r="Q10" s="76"/>
      <c r="R10" s="76"/>
      <c r="S10" s="76"/>
      <c r="T10" s="76"/>
      <c r="AJ10" s="76" t="str">
        <f>"ALTER TABLE ONLY "&amp;エンティティ一覧!$O$2&amp;"."&amp;D$8</f>
        <v>ALTER TABLE ONLY milscm_2023_009.sny_202310_backup_merge_receiptd_si</v>
      </c>
      <c r="AS10" s="76" t="str">
        <f>"ALTER TABLE "&amp;エンティティ一覧!$O$2&amp;"."&amp;D$8&amp;" OWNER TO pgmisgrp1;"</f>
        <v>ALTER TABLE milscm_2023_009.sny_202310_backup_merge_receiptd_si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milscm_2023_009.sny_202310_backup_merge_receiptd_si</v>
      </c>
      <c r="O11" s="76"/>
      <c r="P11" s="76"/>
      <c r="Q11" s="76"/>
      <c r="R11" s="76"/>
      <c r="S11" s="76"/>
      <c r="T11" s="76"/>
      <c r="AJ11" s="76" t="str">
        <f>"ADD CONSTRAINT "&amp;D$8&amp;"_pkey PRIMARY KEY"</f>
        <v>ADD CONSTRAINT sny_202310_backup_merge_receiptd_si_pkey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 IS 'バックアップ_DPCレセプト_診療行為レコード';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milscm_2023_009.sny_202310_backup_merge_receiptd_si.shinsa_kikan IS '審査支払機関';</v>
      </c>
    </row>
    <row r="20" spans="1:45" s="25" customFormat="1">
      <c r="A20" s="4"/>
      <c r="B20" s="21">
        <f t="shared" si="2"/>
        <v>8</v>
      </c>
      <c r="C20" s="13" t="s">
        <v>912</v>
      </c>
      <c r="D20" s="13" t="s">
        <v>913</v>
      </c>
      <c r="E20" s="7"/>
      <c r="F20" s="7" t="s">
        <v>865</v>
      </c>
      <c r="G20" s="7" t="str">
        <f t="shared" si="3"/>
        <v>text</v>
      </c>
      <c r="H20" s="58" t="s">
        <v>1149</v>
      </c>
      <c r="I20" s="23" t="s">
        <v>127</v>
      </c>
      <c r="J20" s="24" t="s">
        <v>1150</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milscm_2023_009.sny_202310_backup_merge_receiptd_si.karute_no IS 'カルテ番号等';</v>
      </c>
    </row>
    <row r="24" spans="1:45" s="25" customFormat="1" ht="34.799999999999997">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milscm_2023_009.sny_202310_backup_merge_receiptd_si.receipt_sokatsu_kubun IS 'レセプト総括区分';</v>
      </c>
    </row>
    <row r="25" spans="1:45" s="25" customFormat="1">
      <c r="A25" s="4"/>
      <c r="B25" s="21">
        <f t="shared" si="2"/>
        <v>13</v>
      </c>
      <c r="C25" s="13" t="s">
        <v>1125</v>
      </c>
      <c r="D25" s="13" t="s">
        <v>1126</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milscm_2023_009.sny_202310_backup_merge_receiptd_si.shinryo_shikibetsu IS '診療識別';</v>
      </c>
    </row>
    <row r="26" spans="1:45" s="25" customFormat="1">
      <c r="A26" s="4"/>
      <c r="B26" s="21">
        <f t="shared" si="2"/>
        <v>14</v>
      </c>
      <c r="C26" s="13" t="s">
        <v>1127</v>
      </c>
      <c r="D26" s="13" t="s">
        <v>1128</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milscm_2023_009.sny_202310_backup_merge_receiptd_si.futan_kubun IS '負担区分';</v>
      </c>
    </row>
    <row r="27" spans="1:45" s="25" customFormat="1">
      <c r="A27" s="4"/>
      <c r="B27" s="21">
        <f t="shared" si="2"/>
        <v>15</v>
      </c>
      <c r="C27" s="13" t="s">
        <v>1129</v>
      </c>
      <c r="D27" s="13" t="s">
        <v>1130</v>
      </c>
      <c r="E27" s="7"/>
      <c r="F27" s="7" t="s">
        <v>865</v>
      </c>
      <c r="G27" s="7" t="str">
        <f t="shared" si="3"/>
        <v>text</v>
      </c>
      <c r="H27" s="58"/>
      <c r="I27" s="23"/>
      <c r="J27" s="24"/>
      <c r="M27" s="4"/>
      <c r="N27" s="76"/>
      <c r="O27" s="76"/>
      <c r="P27" s="76" t="str">
        <f t="shared" si="4"/>
        <v>,shinryo_koi_code</v>
      </c>
      <c r="Q27" s="76" t="str">
        <f t="shared" si="0"/>
        <v>TEXT</v>
      </c>
      <c r="R27" s="76" t="str">
        <f t="shared" si="1"/>
        <v/>
      </c>
      <c r="S27" s="76" t="str">
        <f t="shared" si="5"/>
        <v/>
      </c>
      <c r="T27" s="76" t="str">
        <f t="shared" si="6"/>
        <v>-- 診療行為コード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milscm_2023_009.sny_202310_backup_merge_receiptd_si.shinryo_koi_code IS '診療行為コード';</v>
      </c>
    </row>
    <row r="28" spans="1:45" s="25" customFormat="1">
      <c r="A28" s="4"/>
      <c r="B28" s="21">
        <f t="shared" si="2"/>
        <v>16</v>
      </c>
      <c r="C28" s="13" t="s">
        <v>1131</v>
      </c>
      <c r="D28" s="13" t="s">
        <v>1132</v>
      </c>
      <c r="E28" s="7"/>
      <c r="F28" s="7" t="s">
        <v>204</v>
      </c>
      <c r="G28" s="7" t="str">
        <f t="shared" si="3"/>
        <v>integer</v>
      </c>
      <c r="H28" s="58"/>
      <c r="I28" s="23"/>
      <c r="J28" s="24"/>
      <c r="M28" s="4"/>
      <c r="N28" s="76"/>
      <c r="O28" s="76"/>
      <c r="P28" s="76" t="str">
        <f t="shared" si="4"/>
        <v>,suryo_data</v>
      </c>
      <c r="Q28" s="76" t="str">
        <f t="shared" si="0"/>
        <v>INTEGER</v>
      </c>
      <c r="R28" s="76" t="str">
        <f t="shared" si="1"/>
        <v/>
      </c>
      <c r="S28" s="76" t="str">
        <f t="shared" si="5"/>
        <v/>
      </c>
      <c r="T28" s="76" t="str">
        <f t="shared" si="6"/>
        <v>-- 数量データ</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milscm_2023_009.sny_202310_backup_merge_receiptd_si.suryo_data IS '数量データ';</v>
      </c>
    </row>
    <row r="29" spans="1:45" s="25" customFormat="1">
      <c r="A29" s="4"/>
      <c r="B29" s="21">
        <f t="shared" si="2"/>
        <v>17</v>
      </c>
      <c r="C29" s="13" t="s">
        <v>1133</v>
      </c>
      <c r="D29" s="13" t="s">
        <v>1134</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milscm_2023_009.sny_202310_backup_merge_receiptd_si.tensu IS '点数';</v>
      </c>
    </row>
    <row r="30" spans="1:45" s="25" customFormat="1">
      <c r="A30" s="4"/>
      <c r="B30" s="21">
        <f t="shared" si="2"/>
        <v>18</v>
      </c>
      <c r="C30" s="13" t="s">
        <v>1135</v>
      </c>
      <c r="D30" s="13" t="s">
        <v>1136</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milscm_2023_009.sny_202310_backup_merge_receiptd_si.times IS '回数';</v>
      </c>
    </row>
    <row r="31" spans="1:45" s="25" customFormat="1">
      <c r="A31" s="4"/>
      <c r="B31" s="21">
        <f t="shared" si="2"/>
        <v>19</v>
      </c>
      <c r="C31" s="13" t="s">
        <v>1137</v>
      </c>
      <c r="D31" s="13" t="s">
        <v>1138</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milscm_2023_009.sny_202310_backup_merge_receiptd_si.comment_code1 IS 'コメントコード1';</v>
      </c>
    </row>
    <row r="32" spans="1:45" s="25" customFormat="1">
      <c r="A32" s="4"/>
      <c r="B32" s="21">
        <f t="shared" si="2"/>
        <v>20</v>
      </c>
      <c r="C32" s="13" t="s">
        <v>1139</v>
      </c>
      <c r="D32" s="13" t="s">
        <v>1140</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milscm_2023_009.sny_202310_backup_merge_receiptd_si.comment_data1 IS '文字データ1';</v>
      </c>
    </row>
    <row r="33" spans="1:52" s="25" customFormat="1">
      <c r="A33" s="4"/>
      <c r="B33" s="21">
        <f t="shared" si="2"/>
        <v>21</v>
      </c>
      <c r="C33" s="13" t="s">
        <v>1141</v>
      </c>
      <c r="D33" s="13" t="s">
        <v>1142</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milscm_2023_009.sny_202310_backup_merge_receiptd_si.comment_code2 IS 'コメントコード2';</v>
      </c>
    </row>
    <row r="34" spans="1:52" s="25" customFormat="1">
      <c r="A34" s="4"/>
      <c r="B34" s="21">
        <f t="shared" si="2"/>
        <v>22</v>
      </c>
      <c r="C34" s="13" t="s">
        <v>1143</v>
      </c>
      <c r="D34" s="13" t="s">
        <v>1144</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milscm_2023_009.sny_202310_backup_merge_receiptd_si.comment_data2 IS '文字データ2';</v>
      </c>
    </row>
    <row r="35" spans="1:52" s="25" customFormat="1">
      <c r="A35" s="4"/>
      <c r="B35" s="21">
        <f t="shared" si="2"/>
        <v>23</v>
      </c>
      <c r="C35" s="13" t="s">
        <v>1145</v>
      </c>
      <c r="D35" s="13" t="s">
        <v>1146</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milscm_2023_009.sny_202310_backup_merge_receiptd_si.comment_code3 IS 'コメントコード3';</v>
      </c>
    </row>
    <row r="36" spans="1:52" s="25" customFormat="1" ht="18" thickBot="1">
      <c r="A36" s="4"/>
      <c r="B36" s="27">
        <f>ROW()-12</f>
        <v>24</v>
      </c>
      <c r="C36" s="57" t="s">
        <v>1147</v>
      </c>
      <c r="D36" s="57" t="s">
        <v>1148</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milscm_2023_009.sny_202310_backup_merge_receiptd_si.comment_data3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ENT_01_C3-17</v>
      </c>
      <c r="E6" s="234"/>
      <c r="F6" s="234"/>
      <c r="G6" s="234"/>
      <c r="H6" s="234"/>
      <c r="I6" s="234"/>
      <c r="J6" s="235"/>
    </row>
    <row r="7" spans="1:45">
      <c r="B7" s="223" t="s">
        <v>115</v>
      </c>
      <c r="C7" s="224"/>
      <c r="D7" s="225" t="s">
        <v>1236</v>
      </c>
      <c r="E7" s="226"/>
      <c r="F7" s="226"/>
      <c r="G7" s="226"/>
      <c r="H7" s="226"/>
      <c r="I7" s="226"/>
      <c r="J7" s="227"/>
    </row>
    <row r="8" spans="1:45">
      <c r="B8" s="223" t="s">
        <v>116</v>
      </c>
      <c r="C8" s="224"/>
      <c r="D8" s="225" t="str">
        <f>エンティティ一覧!AE2&amp;"_"&amp;D5&amp;"_merge_receiptd_si_day"</f>
        <v>sny_202310_backup_merge_receiptd_si_day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milscm_2023_009.sny_202310_backup_merge_receiptd_si_day;</v>
      </c>
      <c r="O10" s="76"/>
      <c r="P10" s="76"/>
      <c r="Q10" s="76"/>
      <c r="R10" s="76"/>
      <c r="S10" s="76"/>
      <c r="T10" s="76"/>
      <c r="AJ10" s="76" t="str">
        <f>"ALTER TABLE ONLY "&amp;エンティティ一覧!$O$2&amp;"."&amp;D$8</f>
        <v>ALTER TABLE ONLY milscm_2023_009.sny_202310_backup_merge_receiptd_si_day</v>
      </c>
      <c r="AS10" s="76" t="str">
        <f>"ALTER TABLE "&amp;エンティティ一覧!$O$2&amp;"."&amp;D$8&amp;" OWNER TO pgmisgrp1;"</f>
        <v>ALTER TABLE milscm_2023_009.sny_202310_backup_merge_receiptd_si_day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milscm_2023_009.sny_202310_backup_merge_receiptd_si_day</v>
      </c>
      <c r="O11" s="76"/>
      <c r="P11" s="76"/>
      <c r="Q11" s="76"/>
      <c r="R11" s="76"/>
      <c r="S11" s="76"/>
      <c r="T11" s="76"/>
      <c r="AJ11" s="76" t="str">
        <f>"ADD CONSTRAINT "&amp;D$8&amp;"_pkey PRIMARY KEY"</f>
        <v>ADD CONSTRAINT sny_202310_backup_merge_receiptd_si_day_pkey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milscm_2023_009.sny_202310_backup_merge_receiptd_si_day IS 'バックアップ_DPCレセプト_診療行為レコード_算定日情報';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milscm_2023_009.sny_202310_backup_merge_receiptd_si_day.torikomi_ym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milscm_2023_009.sny_202310_backup_merge_receiptd_si_day.mil_karute_id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milscm_2023_009.sny_202310_backup_merge_receiptd_si_day.facility_id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milscm_2023_009.sny_202310_backup_merge_receiptd_si_day.seikyu_ym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milscm_2023_009.sny_202310_backup_merge_receiptd_si_day.shinryo_ym IS '診療年月';</v>
      </c>
    </row>
    <row r="18" spans="1:52"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milscm_2023_009.sny_202310_backup_merge_receiptd_si_day.data_type IS 'データ種別';</v>
      </c>
    </row>
    <row r="19" spans="1:52"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milscm_2023_009.sny_202310_backup_merge_receiptd_si_day.shinsa_kikan IS '審査支払機関';</v>
      </c>
    </row>
    <row r="20" spans="1:52" s="25" customFormat="1">
      <c r="A20" s="4"/>
      <c r="B20" s="21">
        <f t="shared" si="2"/>
        <v>8</v>
      </c>
      <c r="C20" s="13" t="s">
        <v>912</v>
      </c>
      <c r="D20" s="13" t="s">
        <v>913</v>
      </c>
      <c r="E20" s="7"/>
      <c r="F20" s="7" t="s">
        <v>865</v>
      </c>
      <c r="G20" s="7" t="str">
        <f t="shared" si="3"/>
        <v>text</v>
      </c>
      <c r="H20" s="58" t="s">
        <v>1149</v>
      </c>
      <c r="I20" s="23" t="s">
        <v>127</v>
      </c>
      <c r="J20" s="24" t="s">
        <v>1150</v>
      </c>
      <c r="M20" s="4"/>
      <c r="N20" s="76"/>
      <c r="O20" s="76"/>
      <c r="P20" s="76" t="str">
        <f t="shared" si="4"/>
        <v>,record_shikibetsu</v>
      </c>
      <c r="Q20" s="76" t="str">
        <f t="shared" si="0"/>
        <v>TEXT</v>
      </c>
      <c r="R20" s="76" t="str">
        <f t="shared" si="1"/>
        <v>default 'SI'</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milscm_2023_009.sny_202310_backup_merge_receiptd_si_day.record_shikibetsu IS 'レコード識別情報';</v>
      </c>
    </row>
    <row r="21" spans="1:52"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milscm_2023_009.sny_202310_backup_merge_receiptd_si_day.receipt_no IS 'レセプト番号';</v>
      </c>
    </row>
    <row r="22" spans="1:52" s="25" customFormat="1" ht="34.799999999999997">
      <c r="A22" s="4"/>
      <c r="B22" s="21">
        <f t="shared" si="2"/>
        <v>10</v>
      </c>
      <c r="C22" s="13" t="s">
        <v>916</v>
      </c>
      <c r="D22" s="13" t="s">
        <v>917</v>
      </c>
      <c r="E22" s="7" t="s">
        <v>127</v>
      </c>
      <c r="F22" s="7" t="s">
        <v>204</v>
      </c>
      <c r="G22" s="7" t="str">
        <f t="shared" si="3"/>
        <v>integer</v>
      </c>
      <c r="H22" s="58"/>
      <c r="I22" s="23" t="s">
        <v>127</v>
      </c>
      <c r="J22" s="24" t="s">
        <v>1121</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milscm_2023_009.sny_202310_backup_merge_receiptd_si_day.gyo_no IS '行番号';</v>
      </c>
    </row>
    <row r="23" spans="1:52"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milscm_2023_009.sny_202310_backup_merge_receiptd_si_day.karute_no IS 'カルテ番号等';</v>
      </c>
    </row>
    <row r="24" spans="1:52" s="25" customFormat="1" ht="34.799999999999997">
      <c r="A24" s="4"/>
      <c r="B24" s="21">
        <f t="shared" si="2"/>
        <v>12</v>
      </c>
      <c r="C24" s="13" t="s">
        <v>1202</v>
      </c>
      <c r="D24" s="13" t="s">
        <v>1203</v>
      </c>
      <c r="E24" s="7"/>
      <c r="F24" s="7" t="s">
        <v>865</v>
      </c>
      <c r="G24" s="7" t="str">
        <f t="shared" si="3"/>
        <v>text</v>
      </c>
      <c r="H24" s="58"/>
      <c r="I24" s="23"/>
      <c r="J24" s="24" t="s">
        <v>1237</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milscm_2023_009.sny_202310_backup_merge_receiptd_si_day.receipt_sokatsu_kubun IS 'レセプト総括区分';</v>
      </c>
    </row>
    <row r="25" spans="1:52" s="25" customFormat="1">
      <c r="A25" s="4"/>
      <c r="B25" s="21">
        <f t="shared" si="2"/>
        <v>13</v>
      </c>
      <c r="C25" s="13" t="s">
        <v>1153</v>
      </c>
      <c r="D25" s="13" t="s">
        <v>1154</v>
      </c>
      <c r="E25" s="7" t="s">
        <v>127</v>
      </c>
      <c r="F25" s="7" t="s">
        <v>865</v>
      </c>
      <c r="G25" s="7" t="str">
        <f t="shared" si="3"/>
        <v>text</v>
      </c>
      <c r="H25" s="58"/>
      <c r="I25" s="23" t="s">
        <v>127</v>
      </c>
      <c r="J25" s="24" t="s">
        <v>1156</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milscm_2023_009.sny_202310_backup_merge_receiptd_si_day.santei_ymd IS '算定日';</v>
      </c>
    </row>
    <row r="26" spans="1:52" s="25" customFormat="1" ht="18" thickBot="1">
      <c r="A26" s="4"/>
      <c r="B26" s="27">
        <f>ROW()-12</f>
        <v>14</v>
      </c>
      <c r="C26" s="57" t="s">
        <v>1155</v>
      </c>
      <c r="D26" s="57" t="s">
        <v>1136</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milscm_2023_009.sny_202310_backup_merge_receiptd_si_day.times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ENT_01_C3-18</v>
      </c>
      <c r="E6" s="234"/>
      <c r="F6" s="234"/>
      <c r="G6" s="234"/>
      <c r="H6" s="234"/>
      <c r="I6" s="234"/>
      <c r="J6" s="235"/>
    </row>
    <row r="7" spans="1:45">
      <c r="B7" s="223" t="s">
        <v>115</v>
      </c>
      <c r="C7" s="224"/>
      <c r="D7" s="225" t="s">
        <v>1239</v>
      </c>
      <c r="E7" s="226"/>
      <c r="F7" s="226"/>
      <c r="G7" s="226"/>
      <c r="H7" s="226"/>
      <c r="I7" s="226"/>
      <c r="J7" s="227"/>
    </row>
    <row r="8" spans="1:45">
      <c r="B8" s="223" t="s">
        <v>116</v>
      </c>
      <c r="C8" s="224"/>
      <c r="D8" s="225" t="str">
        <f>エンティティ一覧!AE2&amp;"_"&amp;D5&amp;"_merge_receiptd_iy"</f>
        <v>sny_202310_backup_merge_receiptd_iy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milscm_2023_009.sny_202310_backup_merge_receiptd_iy;</v>
      </c>
      <c r="O10" s="76"/>
      <c r="P10" s="76"/>
      <c r="Q10" s="76"/>
      <c r="R10" s="76"/>
      <c r="S10" s="76"/>
      <c r="T10" s="76"/>
      <c r="AJ10" s="76" t="str">
        <f>"ALTER TABLE ONLY "&amp;エンティティ一覧!$O$2&amp;"."&amp;D$8</f>
        <v>ALTER TABLE ONLY milscm_2023_009.sny_202310_backup_merge_receiptd_iy</v>
      </c>
      <c r="AS10" s="76" t="str">
        <f>"ALTER TABLE "&amp;エンティティ一覧!$O$2&amp;"."&amp;D$8&amp;" OWNER TO pgmisgrp1;"</f>
        <v>ALTER TABLE milscm_2023_009.sny_202310_backup_merge_receiptd_iy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milscm_2023_009.sny_202310_backup_merge_receiptd_iy</v>
      </c>
      <c r="O11" s="76"/>
      <c r="P11" s="76"/>
      <c r="Q11" s="76"/>
      <c r="R11" s="76"/>
      <c r="S11" s="76"/>
      <c r="T11" s="76"/>
      <c r="AJ11" s="76" t="str">
        <f>"ADD CONSTRAINT "&amp;D$8&amp;"_pkey PRIMARY KEY"</f>
        <v>ADD CONSTRAINT sny_202310_backup_merge_receiptd_iy_pkey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 IS 'バックアップ_DPCレセプト_医薬品レコード';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6" si="0">UPPER(G13)</f>
        <v>TEXT</v>
      </c>
      <c r="R13" s="76" t="str">
        <f t="shared" ref="R13:R3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milscm_2023_009.sny_202310_backup_merge_receiptd_iy.torikomi_ym IS '取込年月';</v>
      </c>
    </row>
    <row r="14" spans="1:45" s="25" customFormat="1">
      <c r="A14" s="4"/>
      <c r="B14" s="21">
        <f t="shared" ref="B14:B35" si="2">ROW()-12</f>
        <v>2</v>
      </c>
      <c r="C14" s="6" t="s">
        <v>202</v>
      </c>
      <c r="D14" s="6" t="s">
        <v>203</v>
      </c>
      <c r="E14" s="8"/>
      <c r="F14" s="7" t="s">
        <v>204</v>
      </c>
      <c r="G14" s="7" t="str">
        <f t="shared" ref="G14:G36" si="3">IF(F14="フラグ","boolean",IF(F14="文字列","text",IF(F14="整数","integer",IF(F14="実数","numeric",""))))</f>
        <v>integer</v>
      </c>
      <c r="H14" s="26"/>
      <c r="I14" s="10"/>
      <c r="J14" s="11" t="s">
        <v>257</v>
      </c>
      <c r="M14" s="4"/>
      <c r="N14" s="76"/>
      <c r="O14" s="76"/>
      <c r="P14" s="76" t="str">
        <f t="shared" ref="P14:P3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36" si="5">IF(I15="○","NOT NULL","")</f>
        <v>NOT NULL</v>
      </c>
      <c r="T15" s="76" t="str">
        <f t="shared" ref="T15:T3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milscm_2023_009.sny_202310_backup_merge_receiptd_iy.shinsa_kikan IS '審査支払機関';</v>
      </c>
    </row>
    <row r="20" spans="1:45" s="25" customFormat="1">
      <c r="A20" s="4"/>
      <c r="B20" s="21">
        <f t="shared" si="2"/>
        <v>8</v>
      </c>
      <c r="C20" s="13" t="s">
        <v>912</v>
      </c>
      <c r="D20" s="13" t="s">
        <v>913</v>
      </c>
      <c r="E20" s="7"/>
      <c r="F20" s="7" t="s">
        <v>865</v>
      </c>
      <c r="G20" s="7" t="str">
        <f t="shared" si="3"/>
        <v>text</v>
      </c>
      <c r="H20" s="58" t="s">
        <v>1165</v>
      </c>
      <c r="I20" s="23" t="s">
        <v>127</v>
      </c>
      <c r="J20" s="24" t="s">
        <v>1166</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milscm_2023_009.sny_202310_backup_merge_receiptd_iy.karute_no IS 'カルテ番号等';</v>
      </c>
    </row>
    <row r="24" spans="1:45" s="25" customFormat="1" ht="34.799999999999997">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milscm_2023_009.sny_202310_backup_merge_receiptd_iy.receipt_sokatsu_kubun IS 'レセプト総括区分';</v>
      </c>
    </row>
    <row r="25" spans="1:45" s="25" customFormat="1">
      <c r="A25" s="4"/>
      <c r="B25" s="21">
        <f t="shared" si="2"/>
        <v>13</v>
      </c>
      <c r="C25" s="13" t="s">
        <v>1125</v>
      </c>
      <c r="D25" s="13" t="s">
        <v>1126</v>
      </c>
      <c r="E25" s="7"/>
      <c r="F25" s="7" t="s">
        <v>865</v>
      </c>
      <c r="G25" s="7" t="str">
        <f t="shared" si="3"/>
        <v>text</v>
      </c>
      <c r="H25" s="58"/>
      <c r="I25" s="23"/>
      <c r="J25" s="24"/>
      <c r="M25" s="4"/>
      <c r="N25" s="76"/>
      <c r="O25" s="76"/>
      <c r="P25" s="76" t="str">
        <f t="shared" si="4"/>
        <v>,shinryo_shikibetsu</v>
      </c>
      <c r="Q25" s="76" t="str">
        <f t="shared" si="0"/>
        <v>TEXT</v>
      </c>
      <c r="R25" s="76" t="str">
        <f t="shared" si="1"/>
        <v/>
      </c>
      <c r="S25" s="76" t="str">
        <f t="shared" si="5"/>
        <v/>
      </c>
      <c r="T25" s="76" t="str">
        <f t="shared" si="6"/>
        <v>-- 診療識別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milscm_2023_009.sny_202310_backup_merge_receiptd_iy.shinryo_shikibetsu IS '診療識別';</v>
      </c>
    </row>
    <row r="26" spans="1:45" s="25" customFormat="1">
      <c r="A26" s="4"/>
      <c r="B26" s="21">
        <f t="shared" si="2"/>
        <v>14</v>
      </c>
      <c r="C26" s="13" t="s">
        <v>1127</v>
      </c>
      <c r="D26" s="13" t="s">
        <v>1128</v>
      </c>
      <c r="E26" s="7"/>
      <c r="F26" s="7" t="s">
        <v>865</v>
      </c>
      <c r="G26" s="7" t="str">
        <f t="shared" si="3"/>
        <v>text</v>
      </c>
      <c r="H26" s="58"/>
      <c r="I26" s="23"/>
      <c r="J26" s="24"/>
      <c r="M26" s="4"/>
      <c r="N26" s="76"/>
      <c r="O26" s="76"/>
      <c r="P26" s="76" t="str">
        <f t="shared" si="4"/>
        <v>,futan_kubun</v>
      </c>
      <c r="Q26" s="76" t="str">
        <f t="shared" si="0"/>
        <v>TEXT</v>
      </c>
      <c r="R26" s="76" t="str">
        <f t="shared" si="1"/>
        <v/>
      </c>
      <c r="S26" s="76" t="str">
        <f t="shared" si="5"/>
        <v/>
      </c>
      <c r="T26" s="76" t="str">
        <f t="shared" si="6"/>
        <v>-- 負担区分</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milscm_2023_009.sny_202310_backup_merge_receiptd_iy.futan_kubun IS '負担区分';</v>
      </c>
    </row>
    <row r="27" spans="1:45" s="25" customFormat="1">
      <c r="A27" s="4"/>
      <c r="B27" s="21">
        <f t="shared" si="2"/>
        <v>15</v>
      </c>
      <c r="C27" s="13" t="s">
        <v>1161</v>
      </c>
      <c r="D27" s="13" t="s">
        <v>1162</v>
      </c>
      <c r="E27" s="7"/>
      <c r="F27" s="7" t="s">
        <v>865</v>
      </c>
      <c r="G27" s="7" t="str">
        <f t="shared" si="3"/>
        <v>text</v>
      </c>
      <c r="H27" s="58"/>
      <c r="I27" s="23"/>
      <c r="J27" s="24"/>
      <c r="M27" s="4"/>
      <c r="N27" s="76"/>
      <c r="O27" s="76"/>
      <c r="P27" s="76" t="str">
        <f t="shared" si="4"/>
        <v>,iyakuhin_code</v>
      </c>
      <c r="Q27" s="76" t="str">
        <f t="shared" si="0"/>
        <v>TEXT</v>
      </c>
      <c r="R27" s="76" t="str">
        <f t="shared" si="1"/>
        <v/>
      </c>
      <c r="S27" s="76" t="str">
        <f t="shared" si="5"/>
        <v/>
      </c>
      <c r="T27" s="76" t="str">
        <f t="shared" si="6"/>
        <v>-- 医薬品コード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milscm_2023_009.sny_202310_backup_merge_receiptd_iy.shiyoryo IS '使用量';</v>
      </c>
    </row>
    <row r="29" spans="1:45" s="25" customFormat="1">
      <c r="A29" s="4"/>
      <c r="B29" s="21">
        <f t="shared" si="2"/>
        <v>17</v>
      </c>
      <c r="C29" s="13" t="s">
        <v>1133</v>
      </c>
      <c r="D29" s="13" t="s">
        <v>1134</v>
      </c>
      <c r="E29" s="7"/>
      <c r="F29" s="7" t="s">
        <v>204</v>
      </c>
      <c r="G29" s="7" t="str">
        <f t="shared" si="3"/>
        <v>integer</v>
      </c>
      <c r="H29" s="58"/>
      <c r="I29" s="23"/>
      <c r="J29" s="24"/>
      <c r="M29" s="4"/>
      <c r="N29" s="76"/>
      <c r="O29" s="76"/>
      <c r="P29" s="76" t="str">
        <f t="shared" si="4"/>
        <v>,tensu</v>
      </c>
      <c r="Q29" s="76" t="str">
        <f t="shared" si="0"/>
        <v>INTEGER</v>
      </c>
      <c r="R29" s="76" t="str">
        <f t="shared" si="1"/>
        <v/>
      </c>
      <c r="S29" s="76" t="str">
        <f t="shared" si="5"/>
        <v/>
      </c>
      <c r="T29" s="76" t="str">
        <f t="shared" si="6"/>
        <v>-- 点数</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milscm_2023_009.sny_202310_backup_merge_receiptd_iy.tensu IS '点数';</v>
      </c>
    </row>
    <row r="30" spans="1:45" s="25" customFormat="1">
      <c r="A30" s="4"/>
      <c r="B30" s="21">
        <f t="shared" si="2"/>
        <v>18</v>
      </c>
      <c r="C30" s="13" t="s">
        <v>1135</v>
      </c>
      <c r="D30" s="13" t="s">
        <v>1136</v>
      </c>
      <c r="E30" s="7"/>
      <c r="F30" s="7" t="s">
        <v>204</v>
      </c>
      <c r="G30" s="7" t="str">
        <f t="shared" si="3"/>
        <v>integer</v>
      </c>
      <c r="H30" s="58"/>
      <c r="I30" s="23"/>
      <c r="J30" s="24"/>
      <c r="M30" s="4"/>
      <c r="N30" s="76"/>
      <c r="O30" s="76"/>
      <c r="P30" s="76" t="str">
        <f t="shared" si="4"/>
        <v>,times</v>
      </c>
      <c r="Q30" s="76" t="str">
        <f t="shared" si="0"/>
        <v>INTEGER</v>
      </c>
      <c r="R30" s="76" t="str">
        <f t="shared" si="1"/>
        <v/>
      </c>
      <c r="S30" s="76" t="str">
        <f t="shared" si="5"/>
        <v/>
      </c>
      <c r="T30" s="76" t="str">
        <f t="shared" si="6"/>
        <v>-- 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milscm_2023_009.sny_202310_backup_merge_receiptd_iy.times IS '回数';</v>
      </c>
    </row>
    <row r="31" spans="1:45" s="25" customFormat="1">
      <c r="A31" s="4"/>
      <c r="B31" s="21">
        <f t="shared" si="2"/>
        <v>19</v>
      </c>
      <c r="C31" s="13" t="s">
        <v>1137</v>
      </c>
      <c r="D31" s="13" t="s">
        <v>1138</v>
      </c>
      <c r="E31" s="7"/>
      <c r="F31" s="7" t="s">
        <v>865</v>
      </c>
      <c r="G31" s="7" t="str">
        <f t="shared" si="3"/>
        <v>text</v>
      </c>
      <c r="H31" s="58"/>
      <c r="I31" s="23"/>
      <c r="J31" s="24"/>
      <c r="M31" s="4"/>
      <c r="N31" s="76"/>
      <c r="O31" s="76"/>
      <c r="P31" s="76" t="str">
        <f t="shared" si="4"/>
        <v>,comment_code1</v>
      </c>
      <c r="Q31" s="76" t="str">
        <f t="shared" si="0"/>
        <v>TEXT</v>
      </c>
      <c r="R31" s="76" t="str">
        <f t="shared" si="1"/>
        <v/>
      </c>
      <c r="S31" s="76" t="str">
        <f t="shared" si="5"/>
        <v/>
      </c>
      <c r="T31" s="76" t="str">
        <f t="shared" si="6"/>
        <v>-- コメントコード1</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milscm_2023_009.sny_202310_backup_merge_receiptd_iy.comment_code1 IS 'コメントコード1';</v>
      </c>
    </row>
    <row r="32" spans="1:45" s="25" customFormat="1">
      <c r="A32" s="4"/>
      <c r="B32" s="21">
        <f t="shared" si="2"/>
        <v>20</v>
      </c>
      <c r="C32" s="13" t="s">
        <v>1139</v>
      </c>
      <c r="D32" s="13" t="s">
        <v>1140</v>
      </c>
      <c r="E32" s="7"/>
      <c r="F32" s="7" t="s">
        <v>865</v>
      </c>
      <c r="G32" s="7" t="str">
        <f t="shared" si="3"/>
        <v>text</v>
      </c>
      <c r="H32" s="58"/>
      <c r="I32" s="23"/>
      <c r="J32" s="24"/>
      <c r="M32" s="4"/>
      <c r="N32" s="76"/>
      <c r="O32" s="76"/>
      <c r="P32" s="76" t="str">
        <f t="shared" si="4"/>
        <v>,comment_data1</v>
      </c>
      <c r="Q32" s="76" t="str">
        <f t="shared" si="0"/>
        <v>TEXT</v>
      </c>
      <c r="R32" s="76" t="str">
        <f t="shared" si="1"/>
        <v/>
      </c>
      <c r="S32" s="76" t="str">
        <f t="shared" si="5"/>
        <v/>
      </c>
      <c r="T32" s="76" t="str">
        <f t="shared" si="6"/>
        <v>-- 文字データ1</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milscm_2023_009.sny_202310_backup_merge_receiptd_iy.comment_data1 IS '文字データ1';</v>
      </c>
    </row>
    <row r="33" spans="1:52" s="25" customFormat="1">
      <c r="A33" s="4"/>
      <c r="B33" s="21">
        <f t="shared" si="2"/>
        <v>21</v>
      </c>
      <c r="C33" s="13" t="s">
        <v>1141</v>
      </c>
      <c r="D33" s="13" t="s">
        <v>1142</v>
      </c>
      <c r="E33" s="7"/>
      <c r="F33" s="7" t="s">
        <v>865</v>
      </c>
      <c r="G33" s="7" t="str">
        <f t="shared" si="3"/>
        <v>text</v>
      </c>
      <c r="H33" s="58"/>
      <c r="I33" s="23"/>
      <c r="J33" s="24"/>
      <c r="M33" s="4"/>
      <c r="N33" s="76"/>
      <c r="O33" s="76"/>
      <c r="P33" s="76" t="str">
        <f t="shared" si="4"/>
        <v>,comment_code2</v>
      </c>
      <c r="Q33" s="76" t="str">
        <f t="shared" si="0"/>
        <v>TEXT</v>
      </c>
      <c r="R33" s="76" t="str">
        <f t="shared" si="1"/>
        <v/>
      </c>
      <c r="S33" s="76" t="str">
        <f t="shared" si="5"/>
        <v/>
      </c>
      <c r="T33" s="76" t="str">
        <f t="shared" si="6"/>
        <v>-- コメントコード2</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milscm_2023_009.sny_202310_backup_merge_receiptd_iy.comment_code2 IS 'コメントコード2';</v>
      </c>
    </row>
    <row r="34" spans="1:52" s="25" customFormat="1">
      <c r="A34" s="4"/>
      <c r="B34" s="21">
        <f t="shared" si="2"/>
        <v>22</v>
      </c>
      <c r="C34" s="13" t="s">
        <v>1143</v>
      </c>
      <c r="D34" s="13" t="s">
        <v>1144</v>
      </c>
      <c r="E34" s="7"/>
      <c r="F34" s="7" t="s">
        <v>865</v>
      </c>
      <c r="G34" s="7" t="str">
        <f t="shared" si="3"/>
        <v>text</v>
      </c>
      <c r="H34" s="58"/>
      <c r="I34" s="23"/>
      <c r="J34" s="24"/>
      <c r="M34" s="4"/>
      <c r="N34" s="76"/>
      <c r="O34" s="76"/>
      <c r="P34" s="76" t="str">
        <f t="shared" si="4"/>
        <v>,comment_data2</v>
      </c>
      <c r="Q34" s="76" t="str">
        <f t="shared" si="0"/>
        <v>TEXT</v>
      </c>
      <c r="R34" s="76" t="str">
        <f t="shared" si="1"/>
        <v/>
      </c>
      <c r="S34" s="76" t="str">
        <f t="shared" si="5"/>
        <v/>
      </c>
      <c r="T34" s="76" t="str">
        <f t="shared" si="6"/>
        <v>-- 文字データ2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milscm_2023_009.sny_202310_backup_merge_receiptd_iy.comment_data2 IS '文字データ2';</v>
      </c>
    </row>
    <row r="35" spans="1:52" s="25" customFormat="1">
      <c r="A35" s="4"/>
      <c r="B35" s="21">
        <f t="shared" si="2"/>
        <v>23</v>
      </c>
      <c r="C35" s="13" t="s">
        <v>1145</v>
      </c>
      <c r="D35" s="13" t="s">
        <v>1146</v>
      </c>
      <c r="E35" s="7"/>
      <c r="F35" s="7" t="s">
        <v>865</v>
      </c>
      <c r="G35" s="7" t="str">
        <f t="shared" si="3"/>
        <v>text</v>
      </c>
      <c r="H35" s="58"/>
      <c r="I35" s="23"/>
      <c r="J35" s="24"/>
      <c r="M35" s="4"/>
      <c r="N35" s="76"/>
      <c r="O35" s="76"/>
      <c r="P35" s="76" t="str">
        <f t="shared" si="4"/>
        <v>,comment_code3</v>
      </c>
      <c r="Q35" s="76" t="str">
        <f t="shared" si="0"/>
        <v>TEXT</v>
      </c>
      <c r="R35" s="76" t="str">
        <f t="shared" si="1"/>
        <v/>
      </c>
      <c r="S35" s="76" t="str">
        <f t="shared" si="5"/>
        <v/>
      </c>
      <c r="T35" s="76" t="str">
        <f t="shared" si="6"/>
        <v>-- コメントコード3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milscm_2023_009.sny_202310_backup_merge_receiptd_iy.comment_code3 IS 'コメントコード3';</v>
      </c>
    </row>
    <row r="36" spans="1:52" s="25" customFormat="1" ht="18" thickBot="1">
      <c r="A36" s="4"/>
      <c r="B36" s="27">
        <f>ROW()-12</f>
        <v>24</v>
      </c>
      <c r="C36" s="57" t="s">
        <v>1147</v>
      </c>
      <c r="D36" s="57" t="s">
        <v>1148</v>
      </c>
      <c r="E36" s="56"/>
      <c r="F36" s="56" t="s">
        <v>865</v>
      </c>
      <c r="G36" s="56" t="str">
        <f t="shared" si="3"/>
        <v>text</v>
      </c>
      <c r="H36" s="59"/>
      <c r="I36" s="60"/>
      <c r="J36" s="64"/>
      <c r="N36" s="76"/>
      <c r="O36" s="76"/>
      <c r="P36" s="76" t="str">
        <f t="shared" si="4"/>
        <v>,comment_data3</v>
      </c>
      <c r="Q36" s="76" t="str">
        <f t="shared" si="0"/>
        <v>TEXT</v>
      </c>
      <c r="R36" s="76" t="str">
        <f t="shared" si="1"/>
        <v/>
      </c>
      <c r="S36" s="76" t="str">
        <f t="shared" si="5"/>
        <v/>
      </c>
      <c r="T36" s="76" t="str">
        <f t="shared" si="6"/>
        <v>-- 文字データ3</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milscm_2023_009.sny_202310_backup_merge_receiptd_iy.comment_data3 IS '文字データ3';</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ENT_01_C3-19</v>
      </c>
      <c r="E6" s="234"/>
      <c r="F6" s="234"/>
      <c r="G6" s="234"/>
      <c r="H6" s="234"/>
      <c r="I6" s="234"/>
      <c r="J6" s="235"/>
    </row>
    <row r="7" spans="1:45">
      <c r="B7" s="223" t="s">
        <v>115</v>
      </c>
      <c r="C7" s="224"/>
      <c r="D7" s="225" t="s">
        <v>1241</v>
      </c>
      <c r="E7" s="226"/>
      <c r="F7" s="226"/>
      <c r="G7" s="226"/>
      <c r="H7" s="226"/>
      <c r="I7" s="226"/>
      <c r="J7" s="227"/>
    </row>
    <row r="8" spans="1:45">
      <c r="B8" s="223" t="s">
        <v>116</v>
      </c>
      <c r="C8" s="224"/>
      <c r="D8" s="225" t="str">
        <f>エンティティ一覧!AE2&amp;"_"&amp;D5&amp;"_merge_receiptd_iy_day"</f>
        <v>sny_202310_backup_merge_receiptd_iy_day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milscm_2023_009.sny_202310_backup_merge_receiptd_iy_day;</v>
      </c>
      <c r="O10" s="76"/>
      <c r="P10" s="76"/>
      <c r="Q10" s="76"/>
      <c r="R10" s="76"/>
      <c r="S10" s="76"/>
      <c r="T10" s="76"/>
      <c r="AJ10" s="76" t="str">
        <f>"ALTER TABLE ONLY "&amp;エンティティ一覧!$O$2&amp;"."&amp;D$8</f>
        <v>ALTER TABLE ONLY milscm_2023_009.sny_202310_backup_merge_receiptd_iy_day</v>
      </c>
      <c r="AS10" s="76" t="str">
        <f>"ALTER TABLE "&amp;エンティティ一覧!$O$2&amp;"."&amp;D$8&amp;" OWNER TO pgmisgrp1;"</f>
        <v>ALTER TABLE milscm_2023_009.sny_202310_backup_merge_receiptd_iy_day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milscm_2023_009.sny_202310_backup_merge_receiptd_iy_day</v>
      </c>
      <c r="O11" s="76"/>
      <c r="P11" s="76"/>
      <c r="Q11" s="76"/>
      <c r="R11" s="76"/>
      <c r="S11" s="76"/>
      <c r="T11" s="76"/>
      <c r="AJ11" s="76" t="str">
        <f>"ADD CONSTRAINT "&amp;D$8&amp;"_pkey PRIMARY KEY"</f>
        <v>ADD CONSTRAINT sny_202310_backup_merge_receiptd_iy_day_pkey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milscm_2023_009.sny_202310_backup_merge_receiptd_iy_day IS 'バックアップ_DPCレセプト_医薬品レコード_算定日情報';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milscm_2023_009.sny_202310_backup_merge_receiptd_iy_day.torikomi_ym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257</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milscm_2023_009.sny_202310_backup_merge_receiptd_iy_day.mil_karute_id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934</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milscm_2023_009.sny_202310_backup_merge_receiptd_iy_day.facility_id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milscm_2023_009.sny_202310_backup_merge_receiptd_iy_day.seikyu_ym IS '請求年月';</v>
      </c>
    </row>
    <row r="17" spans="1:52"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milscm_2023_009.sny_202310_backup_merge_receiptd_iy_day.shinryo_ym IS '診療年月';</v>
      </c>
    </row>
    <row r="18" spans="1:52"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milscm_2023_009.sny_202310_backup_merge_receiptd_iy_day.data_type IS 'データ種別';</v>
      </c>
    </row>
    <row r="19" spans="1:52"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milscm_2023_009.sny_202310_backup_merge_receiptd_iy_day.shinsa_kikan IS '審査支払機関';</v>
      </c>
    </row>
    <row r="20" spans="1:52" s="25" customFormat="1">
      <c r="A20" s="4"/>
      <c r="B20" s="21">
        <f t="shared" si="2"/>
        <v>8</v>
      </c>
      <c r="C20" s="13" t="s">
        <v>912</v>
      </c>
      <c r="D20" s="13" t="s">
        <v>913</v>
      </c>
      <c r="E20" s="7"/>
      <c r="F20" s="7" t="s">
        <v>865</v>
      </c>
      <c r="G20" s="7" t="str">
        <f t="shared" si="3"/>
        <v>text</v>
      </c>
      <c r="H20" s="58" t="s">
        <v>1165</v>
      </c>
      <c r="I20" s="23" t="s">
        <v>127</v>
      </c>
      <c r="J20" s="24" t="s">
        <v>1166</v>
      </c>
      <c r="M20" s="4"/>
      <c r="N20" s="76"/>
      <c r="O20" s="76"/>
      <c r="P20" s="76" t="str">
        <f t="shared" si="4"/>
        <v>,record_shikibetsu</v>
      </c>
      <c r="Q20" s="76" t="str">
        <f t="shared" si="0"/>
        <v>TEXT</v>
      </c>
      <c r="R20" s="76" t="str">
        <f t="shared" si="1"/>
        <v>default 'IY'</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milscm_2023_009.sny_202310_backup_merge_receiptd_iy_day.record_shikibetsu IS 'レコード識別情報';</v>
      </c>
    </row>
    <row r="21" spans="1:52"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milscm_2023_009.sny_202310_backup_merge_receiptd_iy_day.receipt_no IS 'レセプト番号';</v>
      </c>
    </row>
    <row r="22" spans="1:52" s="25" customFormat="1" ht="34.799999999999997">
      <c r="A22" s="4"/>
      <c r="B22" s="21">
        <f t="shared" si="2"/>
        <v>10</v>
      </c>
      <c r="C22" s="13" t="s">
        <v>916</v>
      </c>
      <c r="D22" s="13" t="s">
        <v>917</v>
      </c>
      <c r="E22" s="7" t="s">
        <v>127</v>
      </c>
      <c r="F22" s="7" t="s">
        <v>204</v>
      </c>
      <c r="G22" s="7" t="str">
        <f t="shared" si="3"/>
        <v>integer</v>
      </c>
      <c r="H22" s="58"/>
      <c r="I22" s="23" t="s">
        <v>127</v>
      </c>
      <c r="J22" s="24" t="s">
        <v>1121</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milscm_2023_009.sny_202310_backup_merge_receiptd_iy_day.gyo_no IS '行番号';</v>
      </c>
    </row>
    <row r="23" spans="1:52"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milscm_2023_009.sny_202310_backup_merge_receiptd_iy_day.karute_no IS 'カルテ番号等';</v>
      </c>
    </row>
    <row r="24" spans="1:52" s="25" customFormat="1" ht="34.799999999999997">
      <c r="A24" s="4"/>
      <c r="B24" s="21">
        <f t="shared" si="2"/>
        <v>12</v>
      </c>
      <c r="C24" s="13" t="s">
        <v>1202</v>
      </c>
      <c r="D24" s="13" t="s">
        <v>1203</v>
      </c>
      <c r="E24" s="7"/>
      <c r="F24" s="7" t="s">
        <v>865</v>
      </c>
      <c r="G24" s="7" t="str">
        <f t="shared" si="3"/>
        <v>text</v>
      </c>
      <c r="H24" s="58"/>
      <c r="I24" s="23"/>
      <c r="J24" s="24" t="s">
        <v>1237</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milscm_2023_009.sny_202310_backup_merge_receiptd_iy_day.receipt_sokatsu_kubun IS 'レセプト総括区分';</v>
      </c>
    </row>
    <row r="25" spans="1:52" s="25" customFormat="1">
      <c r="A25" s="4"/>
      <c r="B25" s="21">
        <f t="shared" si="2"/>
        <v>13</v>
      </c>
      <c r="C25" s="13" t="s">
        <v>1153</v>
      </c>
      <c r="D25" s="13" t="s">
        <v>1154</v>
      </c>
      <c r="E25" s="7" t="s">
        <v>127</v>
      </c>
      <c r="F25" s="7" t="s">
        <v>865</v>
      </c>
      <c r="G25" s="7" t="str">
        <f t="shared" si="3"/>
        <v>text</v>
      </c>
      <c r="H25" s="58"/>
      <c r="I25" s="23" t="s">
        <v>127</v>
      </c>
      <c r="J25" s="24" t="s">
        <v>1156</v>
      </c>
      <c r="M25" s="4"/>
      <c r="N25" s="76"/>
      <c r="O25" s="76"/>
      <c r="P25" s="76" t="str">
        <f t="shared" si="4"/>
        <v>,santei_ymd</v>
      </c>
      <c r="Q25" s="76" t="str">
        <f t="shared" si="0"/>
        <v>TEXT</v>
      </c>
      <c r="R25" s="76" t="str">
        <f t="shared" si="1"/>
        <v/>
      </c>
      <c r="S25" s="76" t="str">
        <f t="shared" si="5"/>
        <v>NOT NULL</v>
      </c>
      <c r="T25" s="76" t="str">
        <f t="shared" si="6"/>
        <v>-- 算定日</v>
      </c>
      <c r="U25" s="4"/>
      <c r="AA25" s="4"/>
      <c r="AB25" s="4"/>
      <c r="AC25" s="4"/>
      <c r="AD25" s="4"/>
      <c r="AE25" s="4"/>
      <c r="AF25" s="4"/>
      <c r="AG25" s="4"/>
      <c r="AH25" s="4"/>
      <c r="AI25" s="4"/>
      <c r="AJ25" s="76" t="str">
        <f>IF(E25="○",IF(COUNTA(E$13:E25)=1,"",",")&amp;D25,"")</f>
        <v>,santei_ymd</v>
      </c>
      <c r="AK25" s="4"/>
      <c r="AL25" s="4"/>
      <c r="AM25" s="4"/>
      <c r="AN25" s="4"/>
      <c r="AO25" s="4"/>
      <c r="AP25" s="4"/>
      <c r="AQ25" s="4"/>
      <c r="AR25" s="4"/>
      <c r="AS25" s="76" t="str">
        <f>"COMMENT ON COLUMN "&amp;エンティティ一覧!$O$2&amp;"."&amp;D$8&amp;"."&amp;D25&amp;" IS '"&amp;C25&amp;"';"</f>
        <v>COMMENT ON COLUMN milscm_2023_009.sny_202310_backup_merge_receiptd_iy_day.santei_ymd IS '算定日';</v>
      </c>
    </row>
    <row r="26" spans="1:52" s="25" customFormat="1" ht="18" thickBot="1">
      <c r="A26" s="4"/>
      <c r="B26" s="27">
        <f>ROW()-12</f>
        <v>14</v>
      </c>
      <c r="C26" s="57" t="s">
        <v>1155</v>
      </c>
      <c r="D26" s="57" t="s">
        <v>1136</v>
      </c>
      <c r="E26" s="56"/>
      <c r="F26" s="56" t="s">
        <v>204</v>
      </c>
      <c r="G26" s="56" t="str">
        <f t="shared" si="3"/>
        <v>integer</v>
      </c>
      <c r="H26" s="59"/>
      <c r="I26" s="60"/>
      <c r="J26" s="64"/>
      <c r="N26" s="76"/>
      <c r="O26" s="76"/>
      <c r="P26" s="76" t="str">
        <f t="shared" si="4"/>
        <v>,times</v>
      </c>
      <c r="Q26" s="76" t="str">
        <f t="shared" si="0"/>
        <v>INTEGER</v>
      </c>
      <c r="R26" s="76" t="str">
        <f t="shared" si="1"/>
        <v/>
      </c>
      <c r="S26" s="76" t="str">
        <f t="shared" si="5"/>
        <v/>
      </c>
      <c r="T26" s="76" t="str">
        <f t="shared" si="6"/>
        <v>-- 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milscm_2023_009.sny_202310_backup_merge_receiptd_iy_day.times IS '回数';</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ENT_01_C3-24</v>
      </c>
      <c r="E6" s="234"/>
      <c r="F6" s="234"/>
      <c r="G6" s="234"/>
      <c r="H6" s="234"/>
      <c r="I6" s="234"/>
      <c r="J6" s="235"/>
    </row>
    <row r="7" spans="1:45">
      <c r="B7" s="223" t="s">
        <v>115</v>
      </c>
      <c r="C7" s="224"/>
      <c r="D7" s="225" t="s">
        <v>1243</v>
      </c>
      <c r="E7" s="226"/>
      <c r="F7" s="226"/>
      <c r="G7" s="226"/>
      <c r="H7" s="226"/>
      <c r="I7" s="226"/>
      <c r="J7" s="227"/>
    </row>
    <row r="8" spans="1:45">
      <c r="B8" s="223" t="s">
        <v>116</v>
      </c>
      <c r="C8" s="224"/>
      <c r="D8" s="225" t="str">
        <f>エンティティ一覧!AE2&amp;"_"&amp;D5&amp;"_merge_receiptd_tr"</f>
        <v>sny_202310_backup_merge_receiptd_tr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milscm_2023_009.sny_202310_backup_merge_receiptd_tr;</v>
      </c>
      <c r="O10" s="76"/>
      <c r="P10" s="76"/>
      <c r="Q10" s="76"/>
      <c r="R10" s="76"/>
      <c r="S10" s="76"/>
      <c r="T10" s="76"/>
      <c r="AJ10" s="76" t="str">
        <f>"ALTER TABLE ONLY "&amp;エンティティ一覧!$O$2&amp;"."&amp;D$8</f>
        <v>ALTER TABLE ONLY milscm_2023_009.sny_202310_backup_merge_receiptd_tr</v>
      </c>
      <c r="AS10" s="76" t="str">
        <f>"ALTER TABLE "&amp;エンティティ一覧!$O$2&amp;"."&amp;D$8&amp;" OWNER TO pgmisgrp1;"</f>
        <v>ALTER TABLE milscm_2023_009.sny_202310_backup_merge_receiptd_tr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milscm_2023_009.sny_202310_backup_merge_receiptd_tr</v>
      </c>
      <c r="O11" s="76"/>
      <c r="P11" s="76"/>
      <c r="Q11" s="76"/>
      <c r="R11" s="76"/>
      <c r="S11" s="76"/>
      <c r="T11" s="76"/>
      <c r="AJ11" s="76" t="str">
        <f>"ADD CONSTRAINT "&amp;D$8&amp;"_pkey PRIMARY KEY"</f>
        <v>ADD CONSTRAINT sny_202310_backup_merge_receiptd_tr_pkey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milscm_2023_009.sny_202310_backup_merge_receiptd_tr IS 'バックアップ_DPCレセプト_臓器提供者レセプト情報レコード';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8" si="0">UPPER(G13)</f>
        <v>TEXT</v>
      </c>
      <c r="R13" s="76" t="str">
        <f t="shared" ref="R13:R4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milscm_2023_009.sny_202310_backup_merge_receiptd_tr.torikomi_ym IS '取込年月';</v>
      </c>
    </row>
    <row r="14" spans="1:45" s="25" customFormat="1">
      <c r="A14" s="4"/>
      <c r="B14" s="21">
        <f t="shared" ref="B14:B47" si="2">ROW()-12</f>
        <v>2</v>
      </c>
      <c r="C14" s="6" t="s">
        <v>202</v>
      </c>
      <c r="D14" s="6" t="s">
        <v>203</v>
      </c>
      <c r="E14" s="8"/>
      <c r="F14" s="7" t="s">
        <v>204</v>
      </c>
      <c r="G14" s="7" t="str">
        <f t="shared" ref="G14:G48" si="3">IF(F14="フラグ","boolean",IF(F14="文字列","text",IF(F14="整数","integer",IF(F14="実数","numeric",""))))</f>
        <v>integer</v>
      </c>
      <c r="H14" s="26"/>
      <c r="I14" s="10"/>
      <c r="J14" s="11" t="s">
        <v>257</v>
      </c>
      <c r="M14" s="4"/>
      <c r="N14" s="76"/>
      <c r="O14" s="76"/>
      <c r="P14" s="76" t="str">
        <f t="shared" ref="P14:P4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milscm_2023_009.sny_202310_backup_merge_receiptd_tr.mil_karute_id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1204</v>
      </c>
      <c r="M15" s="4"/>
      <c r="N15" s="76"/>
      <c r="O15" s="76"/>
      <c r="P15" s="76" t="str">
        <f t="shared" si="4"/>
        <v>,facility_id</v>
      </c>
      <c r="Q15" s="76" t="str">
        <f t="shared" si="0"/>
        <v>TEXT</v>
      </c>
      <c r="R15" s="76" t="str">
        <f t="shared" si="1"/>
        <v/>
      </c>
      <c r="S15" s="76" t="str">
        <f t="shared" ref="S15:S48" si="5">IF(I15="○","NOT NULL","")</f>
        <v>NOT NULL</v>
      </c>
      <c r="T15" s="76" t="str">
        <f t="shared" ref="T15:T4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milscm_2023_009.sny_202310_backup_merge_receiptd_tr.facility_id IS '施設ID';</v>
      </c>
    </row>
    <row r="16" spans="1:45" s="25" customFormat="1">
      <c r="A16" s="4"/>
      <c r="B16" s="21">
        <f t="shared" si="2"/>
        <v>4</v>
      </c>
      <c r="C16" s="13" t="s">
        <v>908</v>
      </c>
      <c r="D16" s="13" t="s">
        <v>909</v>
      </c>
      <c r="E16" s="7" t="s">
        <v>127</v>
      </c>
      <c r="F16" s="7" t="s">
        <v>865</v>
      </c>
      <c r="G16" s="7" t="str">
        <f t="shared" si="3"/>
        <v>text</v>
      </c>
      <c r="H16" s="58"/>
      <c r="I16" s="23" t="s">
        <v>127</v>
      </c>
      <c r="J16" s="24" t="s">
        <v>1059</v>
      </c>
      <c r="M16" s="4"/>
      <c r="N16" s="76"/>
      <c r="O16" s="76"/>
      <c r="P16" s="76" t="str">
        <f t="shared" si="4"/>
        <v>,seikyu_ym</v>
      </c>
      <c r="Q16" s="76" t="str">
        <f t="shared" si="0"/>
        <v>TEXT</v>
      </c>
      <c r="R16" s="76" t="str">
        <f t="shared" si="1"/>
        <v/>
      </c>
      <c r="S16" s="76" t="str">
        <f t="shared" si="5"/>
        <v>NOT NULL</v>
      </c>
      <c r="T16" s="76" t="str">
        <f t="shared" si="6"/>
        <v>-- 請求年月</v>
      </c>
      <c r="U16" s="4"/>
      <c r="AA16" s="4"/>
      <c r="AB16" s="4"/>
      <c r="AC16" s="4"/>
      <c r="AD16" s="4"/>
      <c r="AE16" s="4"/>
      <c r="AF16" s="4"/>
      <c r="AG16" s="4"/>
      <c r="AH16" s="4"/>
      <c r="AI16" s="4"/>
      <c r="AJ16" s="76" t="str">
        <f>IF(E16="○",IF(COUNTA(E$13:E16)=1,"",",")&amp;D16,"")</f>
        <v>,seikyu_ym</v>
      </c>
      <c r="AK16" s="4"/>
      <c r="AL16" s="4"/>
      <c r="AM16" s="4"/>
      <c r="AN16" s="4"/>
      <c r="AO16" s="4"/>
      <c r="AP16" s="4"/>
      <c r="AQ16" s="4"/>
      <c r="AR16" s="4"/>
      <c r="AS16" s="76" t="str">
        <f>"COMMENT ON COLUMN "&amp;エンティティ一覧!$O$2&amp;"."&amp;D$8&amp;"."&amp;D16&amp;" IS '"&amp;C16&amp;"';"</f>
        <v>COMMENT ON COLUMN milscm_2023_009.sny_202310_backup_merge_receiptd_tr.seikyu_ym IS '請求年月';</v>
      </c>
    </row>
    <row r="17" spans="1:45" s="25" customFormat="1">
      <c r="A17" s="4"/>
      <c r="B17" s="21">
        <f t="shared" si="2"/>
        <v>5</v>
      </c>
      <c r="C17" s="13" t="s">
        <v>866</v>
      </c>
      <c r="D17" s="13" t="s">
        <v>206</v>
      </c>
      <c r="E17" s="7" t="s">
        <v>127</v>
      </c>
      <c r="F17" s="7" t="s">
        <v>865</v>
      </c>
      <c r="G17" s="7" t="str">
        <f t="shared" si="3"/>
        <v>text</v>
      </c>
      <c r="H17" s="58"/>
      <c r="I17" s="23" t="s">
        <v>127</v>
      </c>
      <c r="J17" s="24" t="s">
        <v>1118</v>
      </c>
      <c r="M17" s="4"/>
      <c r="N17" s="76"/>
      <c r="O17" s="76"/>
      <c r="P17" s="76" t="str">
        <f t="shared" si="4"/>
        <v>,shinryo_ym</v>
      </c>
      <c r="Q17" s="76" t="str">
        <f t="shared" si="0"/>
        <v>TEXT</v>
      </c>
      <c r="R17" s="76" t="str">
        <f t="shared" si="1"/>
        <v/>
      </c>
      <c r="S17" s="76" t="str">
        <f t="shared" si="5"/>
        <v>NOT NULL</v>
      </c>
      <c r="T17" s="76" t="str">
        <f t="shared" si="6"/>
        <v>-- 診療年月</v>
      </c>
      <c r="U17" s="4"/>
      <c r="AA17" s="4"/>
      <c r="AB17" s="4"/>
      <c r="AC17" s="4"/>
      <c r="AD17" s="4"/>
      <c r="AE17" s="4"/>
      <c r="AF17" s="4"/>
      <c r="AG17" s="4"/>
      <c r="AH17" s="4"/>
      <c r="AI17" s="4"/>
      <c r="AJ17" s="76" t="str">
        <f>IF(E17="○",IF(COUNTA(E$13:E17)=1,"",",")&amp;D17,"")</f>
        <v>,shinryo_ym</v>
      </c>
      <c r="AK17" s="4"/>
      <c r="AL17" s="4"/>
      <c r="AM17" s="4"/>
      <c r="AN17" s="4"/>
      <c r="AO17" s="4"/>
      <c r="AP17" s="4"/>
      <c r="AQ17" s="4"/>
      <c r="AR17" s="4"/>
      <c r="AS17" s="76" t="str">
        <f>"COMMENT ON COLUMN "&amp;エンティティ一覧!$O$2&amp;"."&amp;D$8&amp;"."&amp;D17&amp;" IS '"&amp;C17&amp;"';"</f>
        <v>COMMENT ON COLUMN milscm_2023_009.sny_202310_backup_merge_receiptd_tr.shinryo_ym IS '診療年月';</v>
      </c>
    </row>
    <row r="18" spans="1:45" s="25" customFormat="1">
      <c r="A18" s="4"/>
      <c r="B18" s="21">
        <f t="shared" si="2"/>
        <v>6</v>
      </c>
      <c r="C18" s="13" t="s">
        <v>319</v>
      </c>
      <c r="D18" s="13" t="s">
        <v>208</v>
      </c>
      <c r="E18" s="7"/>
      <c r="F18" s="7" t="s">
        <v>865</v>
      </c>
      <c r="G18" s="7" t="str">
        <f t="shared" si="3"/>
        <v>text</v>
      </c>
      <c r="H18" s="58" t="s">
        <v>936</v>
      </c>
      <c r="I18" s="23" t="s">
        <v>127</v>
      </c>
      <c r="J18" s="24" t="s">
        <v>937</v>
      </c>
      <c r="M18" s="4"/>
      <c r="N18" s="76"/>
      <c r="O18" s="76"/>
      <c r="P18" s="76" t="str">
        <f t="shared" si="4"/>
        <v>,data_type</v>
      </c>
      <c r="Q18" s="76" t="str">
        <f t="shared" si="0"/>
        <v>TEXT</v>
      </c>
      <c r="R18" s="76" t="str">
        <f t="shared" si="1"/>
        <v>default 'RCP'</v>
      </c>
      <c r="S18" s="76" t="str">
        <f t="shared" si="5"/>
        <v>NOT NULL</v>
      </c>
      <c r="T18" s="76" t="str">
        <f t="shared" si="6"/>
        <v>-- データ種別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milscm_2023_009.sny_202310_backup_merge_receiptd_tr.data_type IS 'データ種別';</v>
      </c>
    </row>
    <row r="19" spans="1:45" s="25" customFormat="1">
      <c r="A19" s="4"/>
      <c r="B19" s="21">
        <f t="shared" si="2"/>
        <v>7</v>
      </c>
      <c r="C19" s="13" t="s">
        <v>910</v>
      </c>
      <c r="D19" s="13" t="s">
        <v>911</v>
      </c>
      <c r="E19" s="7" t="s">
        <v>127</v>
      </c>
      <c r="F19" s="7" t="s">
        <v>865</v>
      </c>
      <c r="G19" s="7" t="str">
        <f t="shared" si="3"/>
        <v>text</v>
      </c>
      <c r="H19" s="58"/>
      <c r="I19" s="23" t="s">
        <v>127</v>
      </c>
      <c r="J19" s="24" t="s">
        <v>1061</v>
      </c>
      <c r="M19" s="4"/>
      <c r="N19" s="76"/>
      <c r="O19" s="76"/>
      <c r="P19" s="76" t="str">
        <f t="shared" si="4"/>
        <v>,shinsa_kikan</v>
      </c>
      <c r="Q19" s="76" t="str">
        <f t="shared" si="0"/>
        <v>TEXT</v>
      </c>
      <c r="R19" s="76" t="str">
        <f t="shared" si="1"/>
        <v/>
      </c>
      <c r="S19" s="76" t="str">
        <f t="shared" si="5"/>
        <v>NOT NULL</v>
      </c>
      <c r="T19" s="76" t="str">
        <f t="shared" si="6"/>
        <v>-- 審査支払機関</v>
      </c>
      <c r="U19" s="4"/>
      <c r="AA19" s="4"/>
      <c r="AB19" s="4"/>
      <c r="AC19" s="4"/>
      <c r="AD19" s="4"/>
      <c r="AE19" s="4"/>
      <c r="AF19" s="4"/>
      <c r="AG19" s="4"/>
      <c r="AH19" s="4"/>
      <c r="AI19" s="4"/>
      <c r="AJ19" s="76" t="str">
        <f>IF(E19="○",IF(COUNTA(E$13:E19)=1,"",",")&amp;D19,"")</f>
        <v>,shinsa_kikan</v>
      </c>
      <c r="AK19" s="4"/>
      <c r="AL19" s="4"/>
      <c r="AM19" s="4"/>
      <c r="AN19" s="4"/>
      <c r="AO19" s="4"/>
      <c r="AP19" s="4"/>
      <c r="AQ19" s="4"/>
      <c r="AR19" s="4"/>
      <c r="AS19" s="76" t="str">
        <f>"COMMENT ON COLUMN "&amp;エンティティ一覧!$O$2&amp;"."&amp;D$8&amp;"."&amp;D19&amp;" IS '"&amp;C19&amp;"';"</f>
        <v>COMMENT ON COLUMN milscm_2023_009.sny_202310_backup_merge_receiptd_tr.shinsa_kikan IS '審査支払機関';</v>
      </c>
    </row>
    <row r="20" spans="1:45" s="25" customFormat="1">
      <c r="A20" s="4"/>
      <c r="B20" s="21">
        <f t="shared" si="2"/>
        <v>8</v>
      </c>
      <c r="C20" s="13" t="s">
        <v>912</v>
      </c>
      <c r="D20" s="13" t="s">
        <v>913</v>
      </c>
      <c r="E20" s="7"/>
      <c r="F20" s="7" t="s">
        <v>865</v>
      </c>
      <c r="G20" s="7" t="str">
        <f t="shared" si="3"/>
        <v>text</v>
      </c>
      <c r="H20" s="58" t="s">
        <v>1197</v>
      </c>
      <c r="I20" s="23" t="s">
        <v>127</v>
      </c>
      <c r="J20" s="24" t="s">
        <v>1198</v>
      </c>
      <c r="M20" s="4"/>
      <c r="N20" s="76"/>
      <c r="O20" s="76"/>
      <c r="P20" s="76" t="str">
        <f t="shared" si="4"/>
        <v>,record_shikibetsu</v>
      </c>
      <c r="Q20" s="76" t="str">
        <f t="shared" si="0"/>
        <v>TEXT</v>
      </c>
      <c r="R20" s="76" t="str">
        <f t="shared" si="1"/>
        <v>default 'TR'</v>
      </c>
      <c r="S20" s="76" t="str">
        <f t="shared" si="5"/>
        <v>NOT NULL</v>
      </c>
      <c r="T20" s="76" t="str">
        <f t="shared" si="6"/>
        <v>-- レコード識別情報</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milscm_2023_009.sny_202310_backup_merge_receiptd_tr.record_shikibetsu IS 'レコード識別情報';</v>
      </c>
    </row>
    <row r="21" spans="1:45" s="25" customFormat="1">
      <c r="A21" s="4"/>
      <c r="B21" s="21">
        <f t="shared" si="2"/>
        <v>9</v>
      </c>
      <c r="C21" s="13" t="s">
        <v>914</v>
      </c>
      <c r="D21" s="13" t="s">
        <v>915</v>
      </c>
      <c r="E21" s="7" t="s">
        <v>127</v>
      </c>
      <c r="F21" s="7" t="s">
        <v>204</v>
      </c>
      <c r="G21" s="7" t="str">
        <f t="shared" si="3"/>
        <v>integer</v>
      </c>
      <c r="H21" s="58"/>
      <c r="I21" s="23" t="s">
        <v>127</v>
      </c>
      <c r="J21" s="24" t="s">
        <v>1064</v>
      </c>
      <c r="M21" s="4"/>
      <c r="N21" s="76"/>
      <c r="O21" s="76"/>
      <c r="P21" s="76" t="str">
        <f t="shared" si="4"/>
        <v>,receipt_no</v>
      </c>
      <c r="Q21" s="76" t="str">
        <f t="shared" si="0"/>
        <v>INTEGER</v>
      </c>
      <c r="R21" s="76" t="str">
        <f t="shared" si="1"/>
        <v/>
      </c>
      <c r="S21" s="76" t="str">
        <f t="shared" si="5"/>
        <v>NOT NULL</v>
      </c>
      <c r="T21" s="76" t="str">
        <f t="shared" si="6"/>
        <v>-- レセプト番号</v>
      </c>
      <c r="U21" s="4"/>
      <c r="AA21" s="4"/>
      <c r="AB21" s="4"/>
      <c r="AC21" s="4"/>
      <c r="AD21" s="4"/>
      <c r="AE21" s="4"/>
      <c r="AF21" s="4"/>
      <c r="AG21" s="4"/>
      <c r="AH21" s="4"/>
      <c r="AI21" s="4"/>
      <c r="AJ21" s="76" t="str">
        <f>IF(E21="○",IF(COUNTA(E$13:E21)=1,"",",")&amp;D21,"")</f>
        <v>,receipt_no</v>
      </c>
      <c r="AK21" s="4"/>
      <c r="AL21" s="4"/>
      <c r="AM21" s="4"/>
      <c r="AN21" s="4"/>
      <c r="AO21" s="4"/>
      <c r="AP21" s="4"/>
      <c r="AQ21" s="4"/>
      <c r="AR21" s="4"/>
      <c r="AS21" s="76" t="str">
        <f>"COMMENT ON COLUMN "&amp;エンティティ一覧!$O$2&amp;"."&amp;D$8&amp;"."&amp;D21&amp;" IS '"&amp;C21&amp;"';"</f>
        <v>COMMENT ON COLUMN milscm_2023_009.sny_202310_backup_merge_receiptd_tr.receipt_no IS 'レセプト番号';</v>
      </c>
    </row>
    <row r="22" spans="1:45" s="25" customFormat="1">
      <c r="A22" s="4"/>
      <c r="B22" s="21">
        <f t="shared" si="2"/>
        <v>10</v>
      </c>
      <c r="C22" s="13" t="s">
        <v>916</v>
      </c>
      <c r="D22" s="13" t="s">
        <v>917</v>
      </c>
      <c r="E22" s="7" t="s">
        <v>127</v>
      </c>
      <c r="F22" s="7" t="s">
        <v>204</v>
      </c>
      <c r="G22" s="7" t="str">
        <f t="shared" si="3"/>
        <v>integer</v>
      </c>
      <c r="H22" s="58"/>
      <c r="I22" s="23" t="s">
        <v>127</v>
      </c>
      <c r="J22" s="24" t="s">
        <v>1209</v>
      </c>
      <c r="M22" s="4"/>
      <c r="N22" s="76"/>
      <c r="O22" s="76"/>
      <c r="P22" s="76" t="str">
        <f t="shared" si="4"/>
        <v>,gyo_no</v>
      </c>
      <c r="Q22" s="76" t="str">
        <f t="shared" si="0"/>
        <v>INTEGER</v>
      </c>
      <c r="R22" s="76" t="str">
        <f t="shared" si="1"/>
        <v/>
      </c>
      <c r="S22" s="76" t="str">
        <f t="shared" si="5"/>
        <v>NOT NULL</v>
      </c>
      <c r="T22" s="76" t="str">
        <f t="shared" si="6"/>
        <v>-- 行番号</v>
      </c>
      <c r="U22" s="4"/>
      <c r="AA22" s="4"/>
      <c r="AB22" s="4"/>
      <c r="AC22" s="4"/>
      <c r="AD22" s="4"/>
      <c r="AE22" s="4"/>
      <c r="AF22" s="4"/>
      <c r="AG22" s="4"/>
      <c r="AH22" s="4"/>
      <c r="AI22" s="4"/>
      <c r="AJ22" s="76" t="str">
        <f>IF(E22="○",IF(COUNTA(E$13:E22)=1,"",",")&amp;D22,"")</f>
        <v>,gyo_no</v>
      </c>
      <c r="AK22" s="4"/>
      <c r="AL22" s="4"/>
      <c r="AM22" s="4"/>
      <c r="AN22" s="4"/>
      <c r="AO22" s="4"/>
      <c r="AP22" s="4"/>
      <c r="AQ22" s="4"/>
      <c r="AR22" s="4"/>
      <c r="AS22" s="76" t="str">
        <f>"COMMENT ON COLUMN "&amp;エンティティ一覧!$O$2&amp;"."&amp;D$8&amp;"."&amp;D22&amp;" IS '"&amp;C22&amp;"';"</f>
        <v>COMMENT ON COLUMN milscm_2023_009.sny_202310_backup_merge_receiptd_tr.gyo_no IS '行番号';</v>
      </c>
    </row>
    <row r="23" spans="1:45" s="25" customFormat="1">
      <c r="A23" s="4"/>
      <c r="B23" s="21">
        <f t="shared" si="2"/>
        <v>11</v>
      </c>
      <c r="C23" s="13" t="s">
        <v>918</v>
      </c>
      <c r="D23" s="13" t="s">
        <v>919</v>
      </c>
      <c r="E23" s="7"/>
      <c r="F23" s="7" t="s">
        <v>865</v>
      </c>
      <c r="G23" s="7" t="str">
        <f t="shared" si="3"/>
        <v>text</v>
      </c>
      <c r="H23" s="58"/>
      <c r="I23" s="23"/>
      <c r="J23" s="24" t="s">
        <v>1066</v>
      </c>
      <c r="M23" s="4"/>
      <c r="N23" s="76"/>
      <c r="O23" s="76"/>
      <c r="P23" s="76" t="str">
        <f t="shared" si="4"/>
        <v>,karute_no</v>
      </c>
      <c r="Q23" s="76" t="str">
        <f t="shared" si="0"/>
        <v>TEXT</v>
      </c>
      <c r="R23" s="76" t="str">
        <f t="shared" si="1"/>
        <v/>
      </c>
      <c r="S23" s="76" t="str">
        <f t="shared" si="5"/>
        <v/>
      </c>
      <c r="T23" s="76" t="str">
        <f t="shared" si="6"/>
        <v>-- カルテ番号等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milscm_2023_009.sny_202310_backup_merge_receiptd_tr.karute_no IS 'カルテ番号等';</v>
      </c>
    </row>
    <row r="24" spans="1:45" s="25" customFormat="1" ht="34.799999999999997">
      <c r="A24" s="4"/>
      <c r="B24" s="21">
        <f t="shared" si="2"/>
        <v>12</v>
      </c>
      <c r="C24" s="13" t="s">
        <v>1202</v>
      </c>
      <c r="D24" s="13" t="s">
        <v>1203</v>
      </c>
      <c r="E24" s="7"/>
      <c r="F24" s="7" t="s">
        <v>865</v>
      </c>
      <c r="G24" s="7" t="str">
        <f t="shared" si="3"/>
        <v>text</v>
      </c>
      <c r="H24" s="58"/>
      <c r="I24" s="23"/>
      <c r="J24" s="24" t="s">
        <v>1224</v>
      </c>
      <c r="M24" s="4"/>
      <c r="N24" s="76"/>
      <c r="O24" s="76"/>
      <c r="P24" s="76" t="str">
        <f t="shared" si="4"/>
        <v>,receipt_sokatsu_kubun</v>
      </c>
      <c r="Q24" s="76" t="str">
        <f t="shared" si="0"/>
        <v>TEXT</v>
      </c>
      <c r="R24" s="76" t="str">
        <f t="shared" si="1"/>
        <v/>
      </c>
      <c r="S24" s="76" t="str">
        <f t="shared" si="5"/>
        <v/>
      </c>
      <c r="T24" s="76" t="str">
        <f t="shared" si="6"/>
        <v>-- レセプト総括区分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milscm_2023_009.sny_202310_backup_merge_receiptd_tr.receipt_sokatsu_kubun IS 'レセプト総括区分';</v>
      </c>
    </row>
    <row r="25" spans="1:45" s="25" customFormat="1" ht="30">
      <c r="A25" s="4"/>
      <c r="B25" s="21">
        <f t="shared" si="2"/>
        <v>13</v>
      </c>
      <c r="C25" s="13" t="s">
        <v>1170</v>
      </c>
      <c r="D25" s="13" t="s">
        <v>1171</v>
      </c>
      <c r="E25" s="7"/>
      <c r="F25" s="7" t="s">
        <v>204</v>
      </c>
      <c r="G25" s="7" t="str">
        <f t="shared" si="3"/>
        <v>integer</v>
      </c>
      <c r="H25" s="58"/>
      <c r="I25" s="23"/>
      <c r="J25" s="24"/>
      <c r="M25" s="4"/>
      <c r="N25" s="76"/>
      <c r="O25" s="76"/>
      <c r="P25" s="76" t="str">
        <f t="shared" si="4"/>
        <v>,receipt_no_tr</v>
      </c>
      <c r="Q25" s="76" t="str">
        <f t="shared" si="0"/>
        <v>INTEGER</v>
      </c>
      <c r="R25" s="76" t="str">
        <f t="shared" si="1"/>
        <v/>
      </c>
      <c r="S25" s="76" t="str">
        <f t="shared" si="5"/>
        <v/>
      </c>
      <c r="T25" s="76" t="str">
        <f t="shared" si="6"/>
        <v>-- レセプト番号（臓器提供者レセプト情報）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milscm_2023_009.sny_202310_backup_merge_receiptd_tr.receipt_no_tr IS 'レセプト番号（臓器提供者レセプト情報）';</v>
      </c>
    </row>
    <row r="26" spans="1:45" s="25" customFormat="1">
      <c r="A26" s="4"/>
      <c r="B26" s="21">
        <f t="shared" si="2"/>
        <v>14</v>
      </c>
      <c r="C26" s="13" t="s">
        <v>1172</v>
      </c>
      <c r="D26" s="13" t="s">
        <v>1173</v>
      </c>
      <c r="E26" s="7"/>
      <c r="F26" s="7" t="s">
        <v>865</v>
      </c>
      <c r="G26" s="7" t="str">
        <f t="shared" si="3"/>
        <v>text</v>
      </c>
      <c r="H26" s="58"/>
      <c r="I26" s="23"/>
      <c r="J26" s="24"/>
      <c r="M26" s="4"/>
      <c r="N26" s="76"/>
      <c r="O26" s="76"/>
      <c r="P26" s="76" t="str">
        <f t="shared" si="4"/>
        <v>,zoki_receipt_type</v>
      </c>
      <c r="Q26" s="76" t="str">
        <f t="shared" si="0"/>
        <v>TEXT</v>
      </c>
      <c r="R26" s="76" t="str">
        <f t="shared" si="1"/>
        <v/>
      </c>
      <c r="S26" s="76" t="str">
        <f t="shared" si="5"/>
        <v/>
      </c>
      <c r="T26" s="76" t="str">
        <f t="shared" si="6"/>
        <v>-- 臓器提供者レセプト種別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milscm_2023_009.sny_202310_backup_merge_receiptd_tr.zoki_receipt_type IS '臓器提供者レセプト種別';</v>
      </c>
    </row>
    <row r="27" spans="1:45" s="25" customFormat="1" ht="52.2">
      <c r="A27" s="4"/>
      <c r="B27" s="21">
        <f t="shared" si="2"/>
        <v>15</v>
      </c>
      <c r="C27" s="13" t="s">
        <v>1174</v>
      </c>
      <c r="D27" s="13" t="s">
        <v>1175</v>
      </c>
      <c r="E27" s="7"/>
      <c r="F27" s="7" t="s">
        <v>865</v>
      </c>
      <c r="G27" s="7" t="str">
        <f t="shared" si="3"/>
        <v>text</v>
      </c>
      <c r="H27" s="58"/>
      <c r="I27" s="23"/>
      <c r="J27" s="24" t="s">
        <v>935</v>
      </c>
      <c r="M27" s="4"/>
      <c r="N27" s="76"/>
      <c r="O27" s="76"/>
      <c r="P27" s="76" t="str">
        <f t="shared" si="4"/>
        <v>,shinryo_ym_tr</v>
      </c>
      <c r="Q27" s="76" t="str">
        <f t="shared" si="0"/>
        <v>TEXT</v>
      </c>
      <c r="R27" s="76" t="str">
        <f t="shared" si="1"/>
        <v/>
      </c>
      <c r="S27" s="76" t="str">
        <f t="shared" si="5"/>
        <v/>
      </c>
      <c r="T27" s="76" t="str">
        <f t="shared" si="6"/>
        <v>-- 診療年月（臓器提供者レセプト情報）</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milscm_2023_009.sny_202310_backup_merge_receiptd_tr.shinryo_ym_tr IS '診療年月（臓器提供者レセプト情報）';</v>
      </c>
    </row>
    <row r="28" spans="1:45" s="25" customFormat="1">
      <c r="A28" s="4"/>
      <c r="B28" s="21">
        <f t="shared" si="2"/>
        <v>16</v>
      </c>
      <c r="C28" s="13" t="s">
        <v>926</v>
      </c>
      <c r="D28" s="13" t="s">
        <v>927</v>
      </c>
      <c r="E28" s="7"/>
      <c r="F28" s="7" t="s">
        <v>865</v>
      </c>
      <c r="G28" s="7" t="str">
        <f t="shared" si="3"/>
        <v>text</v>
      </c>
      <c r="H28" s="58"/>
      <c r="I28" s="23"/>
      <c r="J28" s="24"/>
      <c r="M28" s="4"/>
      <c r="N28" s="76"/>
      <c r="O28" s="76"/>
      <c r="P28" s="76" t="str">
        <f t="shared" si="4"/>
        <v>,reserve1</v>
      </c>
      <c r="Q28" s="76" t="str">
        <f t="shared" si="0"/>
        <v>TEXT</v>
      </c>
      <c r="R28" s="76" t="str">
        <f t="shared" si="1"/>
        <v/>
      </c>
      <c r="S28" s="76" t="str">
        <f t="shared" si="5"/>
        <v/>
      </c>
      <c r="T28" s="76" t="str">
        <f t="shared" si="6"/>
        <v>-- 予備1</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milscm_2023_009.sny_202310_backup_merge_receiptd_tr.reserve1 IS '予備1';</v>
      </c>
    </row>
    <row r="29" spans="1:45" s="25" customFormat="1">
      <c r="A29" s="4"/>
      <c r="B29" s="21">
        <f t="shared" si="2"/>
        <v>17</v>
      </c>
      <c r="C29" s="13" t="s">
        <v>1176</v>
      </c>
      <c r="D29" s="13" t="s">
        <v>949</v>
      </c>
      <c r="E29" s="7"/>
      <c r="F29" s="7" t="s">
        <v>865</v>
      </c>
      <c r="G29" s="7" t="str">
        <f t="shared" si="3"/>
        <v>text</v>
      </c>
      <c r="H29" s="58"/>
      <c r="I29" s="23"/>
      <c r="J29" s="24"/>
      <c r="M29" s="4"/>
      <c r="N29" s="76"/>
      <c r="O29" s="76"/>
      <c r="P29" s="76" t="str">
        <f t="shared" si="4"/>
        <v>,sex_kubun</v>
      </c>
      <c r="Q29" s="76" t="str">
        <f t="shared" si="0"/>
        <v>TEXT</v>
      </c>
      <c r="R29" s="76" t="str">
        <f t="shared" si="1"/>
        <v/>
      </c>
      <c r="S29" s="76" t="str">
        <f t="shared" si="5"/>
        <v/>
      </c>
      <c r="T29" s="76" t="str">
        <f t="shared" si="6"/>
        <v>-- 男女区分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milscm_2023_009.sny_202310_backup_merge_receiptd_tr.sex_kubun IS '男女区分';</v>
      </c>
    </row>
    <row r="30" spans="1:45" s="25" customFormat="1" ht="87">
      <c r="A30" s="4"/>
      <c r="B30" s="21">
        <f t="shared" si="2"/>
        <v>18</v>
      </c>
      <c r="C30" s="13" t="s">
        <v>567</v>
      </c>
      <c r="D30" s="13" t="s">
        <v>322</v>
      </c>
      <c r="E30" s="7"/>
      <c r="F30" s="7" t="s">
        <v>865</v>
      </c>
      <c r="G30" s="7" t="str">
        <f t="shared" si="3"/>
        <v>text</v>
      </c>
      <c r="H30" s="58"/>
      <c r="I30" s="23"/>
      <c r="J30" s="24" t="s">
        <v>1199</v>
      </c>
      <c r="M30" s="4"/>
      <c r="N30" s="76"/>
      <c r="O30" s="76"/>
      <c r="P30" s="76" t="str">
        <f t="shared" si="4"/>
        <v>,birthday</v>
      </c>
      <c r="Q30" s="76" t="str">
        <f t="shared" si="0"/>
        <v>TEXT</v>
      </c>
      <c r="R30" s="76" t="str">
        <f t="shared" si="1"/>
        <v/>
      </c>
      <c r="S30" s="76" t="str">
        <f t="shared" si="5"/>
        <v/>
      </c>
      <c r="T30" s="76" t="str">
        <f t="shared" si="6"/>
        <v>-- 生年月日</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milscm_2023_009.sny_202310_backup_merge_receiptd_tr.birthday IS '生年月日';</v>
      </c>
    </row>
    <row r="31" spans="1:45" s="25" customFormat="1">
      <c r="A31" s="4"/>
      <c r="B31" s="21">
        <f t="shared" si="2"/>
        <v>19</v>
      </c>
      <c r="C31" s="13" t="s">
        <v>977</v>
      </c>
      <c r="D31" s="13" t="s">
        <v>978</v>
      </c>
      <c r="E31" s="7"/>
      <c r="F31" s="7" t="s">
        <v>865</v>
      </c>
      <c r="G31" s="7" t="str">
        <f t="shared" si="3"/>
        <v>text</v>
      </c>
      <c r="H31" s="58"/>
      <c r="I31" s="23"/>
      <c r="J31" s="24"/>
      <c r="M31" s="4"/>
      <c r="N31" s="76"/>
      <c r="O31" s="76"/>
      <c r="P31" s="76" t="str">
        <f t="shared" si="4"/>
        <v>,reserve2</v>
      </c>
      <c r="Q31" s="76" t="str">
        <f t="shared" si="0"/>
        <v>TEXT</v>
      </c>
      <c r="R31" s="76" t="str">
        <f t="shared" si="1"/>
        <v/>
      </c>
      <c r="S31" s="76" t="str">
        <f t="shared" si="5"/>
        <v/>
      </c>
      <c r="T31" s="76" t="str">
        <f t="shared" si="6"/>
        <v>-- 予備2</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milscm_2023_009.sny_202310_backup_merge_receiptd_tr.reserve2 IS '予備2';</v>
      </c>
    </row>
    <row r="32" spans="1:45" s="25" customFormat="1" ht="69.599999999999994">
      <c r="A32" s="4"/>
      <c r="B32" s="21">
        <f t="shared" si="2"/>
        <v>20</v>
      </c>
      <c r="C32" s="13" t="s">
        <v>143</v>
      </c>
      <c r="D32" s="13" t="s">
        <v>156</v>
      </c>
      <c r="E32" s="7"/>
      <c r="F32" s="7" t="s">
        <v>865</v>
      </c>
      <c r="G32" s="7" t="str">
        <f t="shared" si="3"/>
        <v>text</v>
      </c>
      <c r="H32" s="58"/>
      <c r="I32" s="23"/>
      <c r="J32" s="24" t="s">
        <v>1070</v>
      </c>
      <c r="M32" s="4"/>
      <c r="N32" s="76"/>
      <c r="O32" s="76"/>
      <c r="P32" s="76" t="str">
        <f t="shared" si="4"/>
        <v>,nyuin_ymd</v>
      </c>
      <c r="Q32" s="76" t="str">
        <f t="shared" si="0"/>
        <v>TEXT</v>
      </c>
      <c r="R32" s="76" t="str">
        <f t="shared" si="1"/>
        <v/>
      </c>
      <c r="S32" s="76" t="str">
        <f t="shared" si="5"/>
        <v/>
      </c>
      <c r="T32" s="76" t="str">
        <f t="shared" si="6"/>
        <v>-- 入院年月日</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milscm_2023_009.sny_202310_backup_merge_receiptd_tr.nyuin_ymd IS '入院年月日';</v>
      </c>
    </row>
    <row r="33" spans="1:45" s="25" customFormat="1">
      <c r="A33" s="4"/>
      <c r="B33" s="21">
        <f t="shared" si="2"/>
        <v>21</v>
      </c>
      <c r="C33" s="13" t="s">
        <v>1177</v>
      </c>
      <c r="D33" s="13" t="s">
        <v>954</v>
      </c>
      <c r="E33" s="7"/>
      <c r="F33" s="7" t="s">
        <v>865</v>
      </c>
      <c r="G33" s="7" t="str">
        <f t="shared" si="3"/>
        <v>text</v>
      </c>
      <c r="H33" s="58"/>
      <c r="I33" s="23"/>
      <c r="J33" s="24" t="s">
        <v>1071</v>
      </c>
      <c r="M33" s="4"/>
      <c r="N33" s="76"/>
      <c r="O33" s="76"/>
      <c r="P33" s="76" t="str">
        <f t="shared" si="4"/>
        <v>,ward_kubun1</v>
      </c>
      <c r="Q33" s="76" t="str">
        <f t="shared" si="0"/>
        <v>TEXT</v>
      </c>
      <c r="R33" s="76" t="str">
        <f t="shared" si="1"/>
        <v/>
      </c>
      <c r="S33" s="76" t="str">
        <f t="shared" si="5"/>
        <v/>
      </c>
      <c r="T33" s="76" t="str">
        <f t="shared" si="6"/>
        <v>-- 病棟区分1</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milscm_2023_009.sny_202310_backup_merge_receiptd_tr.ward_kubun1 IS '病棟区分1';</v>
      </c>
    </row>
    <row r="34" spans="1:45" s="25" customFormat="1">
      <c r="A34" s="4"/>
      <c r="B34" s="21">
        <f t="shared" si="2"/>
        <v>22</v>
      </c>
      <c r="C34" s="13" t="s">
        <v>1178</v>
      </c>
      <c r="D34" s="13" t="s">
        <v>956</v>
      </c>
      <c r="E34" s="7"/>
      <c r="F34" s="7" t="s">
        <v>865</v>
      </c>
      <c r="G34" s="7" t="str">
        <f t="shared" si="3"/>
        <v>text</v>
      </c>
      <c r="H34" s="58"/>
      <c r="I34" s="23"/>
      <c r="J34" s="24"/>
      <c r="M34" s="4"/>
      <c r="N34" s="76"/>
      <c r="O34" s="76"/>
      <c r="P34" s="76" t="str">
        <f t="shared" si="4"/>
        <v>,ward_kubun2</v>
      </c>
      <c r="Q34" s="76" t="str">
        <f t="shared" si="0"/>
        <v>TEXT</v>
      </c>
      <c r="R34" s="76" t="str">
        <f t="shared" si="1"/>
        <v/>
      </c>
      <c r="S34" s="76" t="str">
        <f t="shared" si="5"/>
        <v/>
      </c>
      <c r="T34" s="76" t="str">
        <f t="shared" si="6"/>
        <v>-- 病棟区分2</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milscm_2023_009.sny_202310_backup_merge_receiptd_tr.ward_kubun2 IS '病棟区分2';</v>
      </c>
    </row>
    <row r="35" spans="1:45" s="25" customFormat="1">
      <c r="A35" s="4"/>
      <c r="B35" s="21">
        <f t="shared" si="2"/>
        <v>23</v>
      </c>
      <c r="C35" s="13" t="s">
        <v>1179</v>
      </c>
      <c r="D35" s="13" t="s">
        <v>958</v>
      </c>
      <c r="E35" s="7"/>
      <c r="F35" s="7" t="s">
        <v>865</v>
      </c>
      <c r="G35" s="7" t="str">
        <f t="shared" si="3"/>
        <v>text</v>
      </c>
      <c r="H35" s="58"/>
      <c r="I35" s="23"/>
      <c r="J35" s="24"/>
      <c r="M35" s="4"/>
      <c r="N35" s="76"/>
      <c r="O35" s="76"/>
      <c r="P35" s="76" t="str">
        <f t="shared" si="4"/>
        <v>,ward_kubun3</v>
      </c>
      <c r="Q35" s="76" t="str">
        <f t="shared" si="0"/>
        <v>TEXT</v>
      </c>
      <c r="R35" s="76" t="str">
        <f t="shared" si="1"/>
        <v/>
      </c>
      <c r="S35" s="76" t="str">
        <f t="shared" si="5"/>
        <v/>
      </c>
      <c r="T35" s="76" t="str">
        <f t="shared" si="6"/>
        <v>-- 病棟区分3</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milscm_2023_009.sny_202310_backup_merge_receiptd_tr.ward_kubun3 IS '病棟区分3';</v>
      </c>
    </row>
    <row r="36" spans="1:45" s="25" customFormat="1">
      <c r="A36" s="4"/>
      <c r="B36" s="21">
        <f t="shared" si="2"/>
        <v>24</v>
      </c>
      <c r="C36" s="13" t="s">
        <v>1180</v>
      </c>
      <c r="D36" s="13" t="s">
        <v>960</v>
      </c>
      <c r="E36" s="7"/>
      <c r="F36" s="7" t="s">
        <v>865</v>
      </c>
      <c r="G36" s="7" t="str">
        <f t="shared" si="3"/>
        <v>text</v>
      </c>
      <c r="H36" s="58"/>
      <c r="I36" s="23"/>
      <c r="J36" s="24"/>
      <c r="M36" s="4"/>
      <c r="N36" s="76"/>
      <c r="O36" s="76"/>
      <c r="P36" s="76" t="str">
        <f t="shared" si="4"/>
        <v>,ward_kubun4</v>
      </c>
      <c r="Q36" s="76" t="str">
        <f t="shared" si="0"/>
        <v>TEXT</v>
      </c>
      <c r="R36" s="76" t="str">
        <f t="shared" si="1"/>
        <v/>
      </c>
      <c r="S36" s="76" t="str">
        <f t="shared" si="5"/>
        <v/>
      </c>
      <c r="T36" s="76" t="str">
        <f t="shared" si="6"/>
        <v>-- 病棟区分4</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milscm_2023_009.sny_202310_backup_merge_receiptd_tr.ward_kubun4 IS '病棟区分4';</v>
      </c>
    </row>
    <row r="37" spans="1:45" s="25" customFormat="1">
      <c r="A37" s="4"/>
      <c r="B37" s="21">
        <f t="shared" si="2"/>
        <v>25</v>
      </c>
      <c r="C37" s="13" t="s">
        <v>979</v>
      </c>
      <c r="D37" s="13" t="s">
        <v>980</v>
      </c>
      <c r="E37" s="7"/>
      <c r="F37" s="7" t="s">
        <v>865</v>
      </c>
      <c r="G37" s="7" t="str">
        <f t="shared" si="3"/>
        <v>text</v>
      </c>
      <c r="H37" s="58"/>
      <c r="I37" s="23"/>
      <c r="J37" s="24"/>
      <c r="M37" s="4"/>
      <c r="N37" s="76"/>
      <c r="O37" s="76"/>
      <c r="P37" s="76" t="str">
        <f t="shared" si="4"/>
        <v>,reserve3</v>
      </c>
      <c r="Q37" s="76" t="str">
        <f t="shared" si="0"/>
        <v>TEXT</v>
      </c>
      <c r="R37" s="76" t="str">
        <f t="shared" si="1"/>
        <v/>
      </c>
      <c r="S37" s="76" t="str">
        <f t="shared" si="5"/>
        <v/>
      </c>
      <c r="T37" s="76" t="str">
        <f t="shared" si="6"/>
        <v>-- 予備3</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milscm_2023_009.sny_202310_backup_merge_receiptd_tr.reserve3 IS '予備3';</v>
      </c>
    </row>
    <row r="38" spans="1:45" s="25" customFormat="1">
      <c r="A38" s="4"/>
      <c r="B38" s="21">
        <f t="shared" si="2"/>
        <v>26</v>
      </c>
      <c r="C38" s="13" t="s">
        <v>1181</v>
      </c>
      <c r="D38" s="13" t="s">
        <v>964</v>
      </c>
      <c r="E38" s="7"/>
      <c r="F38" s="7" t="s">
        <v>865</v>
      </c>
      <c r="G38" s="7" t="str">
        <f t="shared" si="3"/>
        <v>text</v>
      </c>
      <c r="H38" s="58"/>
      <c r="I38" s="23"/>
      <c r="J38" s="24" t="s">
        <v>1072</v>
      </c>
      <c r="M38" s="4"/>
      <c r="N38" s="76"/>
      <c r="O38" s="76"/>
      <c r="P38" s="76" t="str">
        <f t="shared" si="4"/>
        <v>,receipt_tokki_code1</v>
      </c>
      <c r="Q38" s="76" t="str">
        <f t="shared" si="0"/>
        <v>TEXT</v>
      </c>
      <c r="R38" s="76" t="str">
        <f t="shared" si="1"/>
        <v/>
      </c>
      <c r="S38" s="76" t="str">
        <f t="shared" si="5"/>
        <v/>
      </c>
      <c r="T38" s="76" t="str">
        <f t="shared" si="6"/>
        <v>-- レセプト特記事項1</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milscm_2023_009.sny_202310_backup_merge_receiptd_tr.receipt_tokki_code1 IS 'レセプト特記事項1';</v>
      </c>
    </row>
    <row r="39" spans="1:45" s="25" customFormat="1">
      <c r="A39" s="4"/>
      <c r="B39" s="21">
        <f t="shared" si="2"/>
        <v>27</v>
      </c>
      <c r="C39" s="13" t="s">
        <v>1182</v>
      </c>
      <c r="D39" s="13" t="s">
        <v>966</v>
      </c>
      <c r="E39" s="7"/>
      <c r="F39" s="7" t="s">
        <v>865</v>
      </c>
      <c r="G39" s="7" t="str">
        <f t="shared" si="3"/>
        <v>text</v>
      </c>
      <c r="H39" s="58"/>
      <c r="I39" s="23"/>
      <c r="J39" s="24"/>
      <c r="M39" s="4"/>
      <c r="N39" s="76"/>
      <c r="O39" s="76"/>
      <c r="P39" s="76" t="str">
        <f t="shared" si="4"/>
        <v>,receipt_tokki_code2</v>
      </c>
      <c r="Q39" s="76" t="str">
        <f t="shared" si="0"/>
        <v>TEXT</v>
      </c>
      <c r="R39" s="76" t="str">
        <f t="shared" si="1"/>
        <v/>
      </c>
      <c r="S39" s="76" t="str">
        <f t="shared" si="5"/>
        <v/>
      </c>
      <c r="T39" s="76" t="str">
        <f t="shared" si="6"/>
        <v>-- レセプト特記事項2</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milscm_2023_009.sny_202310_backup_merge_receiptd_tr.receipt_tokki_code2 IS 'レセプト特記事項2';</v>
      </c>
    </row>
    <row r="40" spans="1:45" s="25" customFormat="1">
      <c r="A40" s="4"/>
      <c r="B40" s="21">
        <f t="shared" si="2"/>
        <v>28</v>
      </c>
      <c r="C40" s="13" t="s">
        <v>1183</v>
      </c>
      <c r="D40" s="13" t="s">
        <v>968</v>
      </c>
      <c r="E40" s="7"/>
      <c r="F40" s="7" t="s">
        <v>865</v>
      </c>
      <c r="G40" s="7" t="str">
        <f t="shared" si="3"/>
        <v>text</v>
      </c>
      <c r="H40" s="58"/>
      <c r="I40" s="23"/>
      <c r="J40" s="24"/>
      <c r="M40" s="4"/>
      <c r="N40" s="76"/>
      <c r="O40" s="76"/>
      <c r="P40" s="76" t="str">
        <f t="shared" si="4"/>
        <v>,receipt_tokki_code3</v>
      </c>
      <c r="Q40" s="76" t="str">
        <f t="shared" si="0"/>
        <v>TEXT</v>
      </c>
      <c r="R40" s="76" t="str">
        <f t="shared" si="1"/>
        <v/>
      </c>
      <c r="S40" s="76" t="str">
        <f t="shared" si="5"/>
        <v/>
      </c>
      <c r="T40" s="76" t="str">
        <f t="shared" si="6"/>
        <v>-- レセプト特記事項3</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milscm_2023_009.sny_202310_backup_merge_receiptd_tr.receipt_tokki_code3 IS 'レセプト特記事項3';</v>
      </c>
    </row>
    <row r="41" spans="1:45" s="25" customFormat="1">
      <c r="A41" s="4"/>
      <c r="B41" s="21">
        <f t="shared" si="2"/>
        <v>29</v>
      </c>
      <c r="C41" s="13" t="s">
        <v>1184</v>
      </c>
      <c r="D41" s="13" t="s">
        <v>970</v>
      </c>
      <c r="E41" s="7"/>
      <c r="F41" s="7" t="s">
        <v>865</v>
      </c>
      <c r="G41" s="7" t="str">
        <f t="shared" si="3"/>
        <v>text</v>
      </c>
      <c r="H41" s="58"/>
      <c r="I41" s="23"/>
      <c r="J41" s="24"/>
      <c r="M41" s="4"/>
      <c r="N41" s="76"/>
      <c r="O41" s="76"/>
      <c r="P41" s="76" t="str">
        <f t="shared" si="4"/>
        <v>,receipt_tokki_code4</v>
      </c>
      <c r="Q41" s="76" t="str">
        <f t="shared" si="0"/>
        <v>TEXT</v>
      </c>
      <c r="R41" s="76" t="str">
        <f t="shared" si="1"/>
        <v/>
      </c>
      <c r="S41" s="76" t="str">
        <f t="shared" si="5"/>
        <v/>
      </c>
      <c r="T41" s="76" t="str">
        <f t="shared" si="6"/>
        <v>-- レセプト特記事項4</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milscm_2023_009.sny_202310_backup_merge_receiptd_tr.receipt_tokki_code4 IS 'レセプト特記事項4';</v>
      </c>
    </row>
    <row r="42" spans="1:45" s="25" customFormat="1">
      <c r="A42" s="4"/>
      <c r="B42" s="21">
        <f t="shared" si="2"/>
        <v>30</v>
      </c>
      <c r="C42" s="13" t="s">
        <v>1185</v>
      </c>
      <c r="D42" s="13" t="s">
        <v>972</v>
      </c>
      <c r="E42" s="7"/>
      <c r="F42" s="7" t="s">
        <v>865</v>
      </c>
      <c r="G42" s="7" t="str">
        <f t="shared" si="3"/>
        <v>text</v>
      </c>
      <c r="H42" s="58"/>
      <c r="I42" s="23"/>
      <c r="J42" s="24"/>
      <c r="M42" s="4"/>
      <c r="N42" s="76"/>
      <c r="O42" s="76"/>
      <c r="P42" s="76" t="str">
        <f t="shared" si="4"/>
        <v>,receipt_tokki_code5</v>
      </c>
      <c r="Q42" s="76" t="str">
        <f t="shared" si="0"/>
        <v>TEXT</v>
      </c>
      <c r="R42" s="76" t="str">
        <f t="shared" si="1"/>
        <v/>
      </c>
      <c r="S42" s="76" t="str">
        <f t="shared" si="5"/>
        <v/>
      </c>
      <c r="T42" s="76" t="str">
        <f t="shared" si="6"/>
        <v>-- レセプト特記事項5</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milscm_2023_009.sny_202310_backup_merge_receiptd_tr.receipt_tokki_code5 IS 'レセプト特記事項5';</v>
      </c>
    </row>
    <row r="43" spans="1:45" s="25" customFormat="1">
      <c r="A43" s="4"/>
      <c r="B43" s="21">
        <f t="shared" si="2"/>
        <v>31</v>
      </c>
      <c r="C43" s="13" t="s">
        <v>1186</v>
      </c>
      <c r="D43" s="13" t="s">
        <v>1187</v>
      </c>
      <c r="E43" s="7"/>
      <c r="F43" s="7" t="s">
        <v>865</v>
      </c>
      <c r="G43" s="7" t="str">
        <f t="shared" si="3"/>
        <v>text</v>
      </c>
      <c r="H43" s="58"/>
      <c r="I43" s="23"/>
      <c r="J43" s="24"/>
      <c r="M43" s="4"/>
      <c r="N43" s="76"/>
      <c r="O43" s="76"/>
      <c r="P43" s="76" t="str">
        <f t="shared" si="4"/>
        <v>,reserve4</v>
      </c>
      <c r="Q43" s="76" t="str">
        <f t="shared" si="0"/>
        <v>TEXT</v>
      </c>
      <c r="R43" s="76" t="str">
        <f t="shared" si="1"/>
        <v/>
      </c>
      <c r="S43" s="76" t="str">
        <f t="shared" si="5"/>
        <v/>
      </c>
      <c r="T43" s="76" t="str">
        <f t="shared" si="6"/>
        <v>-- 予備4</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milscm_2023_009.sny_202310_backup_merge_receiptd_tr.reserve4 IS '予備4';</v>
      </c>
    </row>
    <row r="44" spans="1:45" s="25" customFormat="1" ht="30">
      <c r="A44" s="4"/>
      <c r="B44" s="21">
        <f t="shared" si="2"/>
        <v>32</v>
      </c>
      <c r="C44" s="13" t="s">
        <v>1188</v>
      </c>
      <c r="D44" s="13" t="s">
        <v>1189</v>
      </c>
      <c r="E44" s="7"/>
      <c r="F44" s="7" t="s">
        <v>865</v>
      </c>
      <c r="G44" s="7" t="str">
        <f t="shared" si="3"/>
        <v>text</v>
      </c>
      <c r="H44" s="58"/>
      <c r="I44" s="23"/>
      <c r="J44" s="24"/>
      <c r="M44" s="4"/>
      <c r="N44" s="76"/>
      <c r="O44" s="76"/>
      <c r="P44" s="76" t="str">
        <f t="shared" si="4"/>
        <v>,karute_no_tr</v>
      </c>
      <c r="Q44" s="76" t="str">
        <f t="shared" si="0"/>
        <v>TEXT</v>
      </c>
      <c r="R44" s="76" t="str">
        <f t="shared" si="1"/>
        <v/>
      </c>
      <c r="S44" s="76" t="str">
        <f t="shared" si="5"/>
        <v/>
      </c>
      <c r="T44" s="76" t="str">
        <f t="shared" si="6"/>
        <v>-- カルテ番号等（臓器提供者レセプト情報）</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milscm_2023_009.sny_202310_backup_merge_receiptd_tr.karute_no_tr IS 'カルテ番号等（臓器提供者レセプト情報）';</v>
      </c>
    </row>
    <row r="45" spans="1:45" s="25" customFormat="1">
      <c r="A45" s="4"/>
      <c r="B45" s="21">
        <f t="shared" si="2"/>
        <v>33</v>
      </c>
      <c r="C45" s="13" t="s">
        <v>1190</v>
      </c>
      <c r="D45" s="13" t="s">
        <v>976</v>
      </c>
      <c r="E45" s="7"/>
      <c r="F45" s="7" t="s">
        <v>204</v>
      </c>
      <c r="G45" s="7" t="str">
        <f t="shared" si="3"/>
        <v>integer</v>
      </c>
      <c r="H45" s="58"/>
      <c r="I45" s="23"/>
      <c r="J45" s="24"/>
      <c r="M45" s="4"/>
      <c r="N45" s="76"/>
      <c r="O45" s="76"/>
      <c r="P45" s="76" t="str">
        <f t="shared" si="4"/>
        <v>,waribiki_tensu</v>
      </c>
      <c r="Q45" s="76" t="str">
        <f t="shared" si="0"/>
        <v>INTEGER</v>
      </c>
      <c r="R45" s="76" t="str">
        <f t="shared" si="1"/>
        <v/>
      </c>
      <c r="S45" s="76" t="str">
        <f t="shared" si="5"/>
        <v/>
      </c>
      <c r="T45" s="76" t="str">
        <f t="shared" si="6"/>
        <v>-- 割引点数単価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milscm_2023_009.sny_202310_backup_merge_receiptd_tr.waribiki_tensu IS '割引点数単価';</v>
      </c>
    </row>
    <row r="46" spans="1:45" s="25" customFormat="1">
      <c r="A46" s="4"/>
      <c r="B46" s="21">
        <f t="shared" si="2"/>
        <v>34</v>
      </c>
      <c r="C46" s="13" t="s">
        <v>1191</v>
      </c>
      <c r="D46" s="13" t="s">
        <v>1192</v>
      </c>
      <c r="E46" s="7"/>
      <c r="F46" s="7" t="s">
        <v>865</v>
      </c>
      <c r="G46" s="7" t="str">
        <f t="shared" si="3"/>
        <v>text</v>
      </c>
      <c r="H46" s="58"/>
      <c r="I46" s="23"/>
      <c r="J46" s="24"/>
      <c r="M46" s="4"/>
      <c r="N46" s="76"/>
      <c r="O46" s="76"/>
      <c r="P46" s="76" t="str">
        <f t="shared" si="4"/>
        <v>,reserve5</v>
      </c>
      <c r="Q46" s="76" t="str">
        <f t="shared" si="0"/>
        <v>TEXT</v>
      </c>
      <c r="R46" s="76" t="str">
        <f t="shared" si="1"/>
        <v/>
      </c>
      <c r="S46" s="76" t="str">
        <f t="shared" si="5"/>
        <v/>
      </c>
      <c r="T46" s="76" t="str">
        <f t="shared" si="6"/>
        <v>-- 予備5</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milscm_2023_009.sny_202310_backup_merge_receiptd_tr.reserve5 IS '予備5';</v>
      </c>
    </row>
    <row r="47" spans="1:45" s="25" customFormat="1">
      <c r="A47" s="4"/>
      <c r="B47" s="21">
        <f t="shared" si="2"/>
        <v>35</v>
      </c>
      <c r="C47" s="13" t="s">
        <v>1193</v>
      </c>
      <c r="D47" s="13" t="s">
        <v>1194</v>
      </c>
      <c r="E47" s="7"/>
      <c r="F47" s="7" t="s">
        <v>865</v>
      </c>
      <c r="G47" s="7" t="str">
        <f t="shared" si="3"/>
        <v>text</v>
      </c>
      <c r="H47" s="58"/>
      <c r="I47" s="23"/>
      <c r="J47" s="24"/>
      <c r="M47" s="4"/>
      <c r="N47" s="76"/>
      <c r="O47" s="76"/>
      <c r="P47" s="76" t="str">
        <f t="shared" si="4"/>
        <v>,reserve6</v>
      </c>
      <c r="Q47" s="76" t="str">
        <f t="shared" si="0"/>
        <v>TEXT</v>
      </c>
      <c r="R47" s="76" t="str">
        <f t="shared" si="1"/>
        <v/>
      </c>
      <c r="S47" s="76" t="str">
        <f t="shared" si="5"/>
        <v/>
      </c>
      <c r="T47" s="76" t="str">
        <f t="shared" si="6"/>
        <v>-- 予備6</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milscm_2023_009.sny_202310_backup_merge_receiptd_tr.reserve6 IS '予備6';</v>
      </c>
    </row>
    <row r="48" spans="1:45" s="25" customFormat="1" ht="18" thickBot="1">
      <c r="A48" s="4"/>
      <c r="B48" s="27">
        <f>ROW()-12</f>
        <v>36</v>
      </c>
      <c r="C48" s="57" t="s">
        <v>1195</v>
      </c>
      <c r="D48" s="57" t="s">
        <v>1196</v>
      </c>
      <c r="E48" s="56"/>
      <c r="F48" s="56" t="s">
        <v>865</v>
      </c>
      <c r="G48" s="56" t="str">
        <f t="shared" si="3"/>
        <v>text</v>
      </c>
      <c r="H48" s="59"/>
      <c r="I48" s="60"/>
      <c r="J48" s="64"/>
      <c r="N48" s="76"/>
      <c r="O48" s="76"/>
      <c r="P48" s="76" t="str">
        <f t="shared" si="4"/>
        <v>,reserve7</v>
      </c>
      <c r="Q48" s="76" t="str">
        <f t="shared" si="0"/>
        <v>TEXT</v>
      </c>
      <c r="R48" s="76" t="str">
        <f t="shared" si="1"/>
        <v/>
      </c>
      <c r="S48" s="76" t="str">
        <f t="shared" si="5"/>
        <v/>
      </c>
      <c r="T48" s="76" t="str">
        <f t="shared" si="6"/>
        <v>-- 予備7</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milscm_2023_009.sny_202310_backup_merge_receiptd_tr.reserve7 IS '予備7';</v>
      </c>
    </row>
    <row r="49" spans="12:52">
      <c r="L49" s="25"/>
      <c r="M49" s="25"/>
      <c r="N49" s="76" t="s">
        <v>142</v>
      </c>
      <c r="O49" s="76"/>
      <c r="P49" s="76"/>
      <c r="Q49" s="76"/>
      <c r="R49" s="76"/>
      <c r="S49" s="76"/>
      <c r="T49" s="76"/>
      <c r="V49" s="25"/>
      <c r="W49" s="25"/>
      <c r="X49" s="25"/>
      <c r="Y49" s="25"/>
      <c r="Z49" s="25"/>
      <c r="AJ49" s="76"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ENT_01_C4-01</v>
      </c>
      <c r="E6" s="234"/>
      <c r="F6" s="234"/>
      <c r="G6" s="234"/>
      <c r="H6" s="234"/>
      <c r="I6" s="234"/>
      <c r="J6" s="235"/>
    </row>
    <row r="7" spans="1:45">
      <c r="B7" s="223" t="s">
        <v>115</v>
      </c>
      <c r="C7" s="224"/>
      <c r="D7" s="225" t="s">
        <v>1245</v>
      </c>
      <c r="E7" s="226"/>
      <c r="F7" s="226"/>
      <c r="G7" s="226"/>
      <c r="H7" s="226"/>
      <c r="I7" s="226"/>
      <c r="J7" s="227"/>
    </row>
    <row r="8" spans="1:45">
      <c r="B8" s="223" t="s">
        <v>116</v>
      </c>
      <c r="C8" s="224"/>
      <c r="D8" s="225" t="str">
        <f>エンティティ一覧!AE2&amp;"_"&amp;D5&amp;"_merge_mml_pi_master"</f>
        <v>sny_202310_backup_merge_mml_pi_master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milscm_2023_009.sny_202310_backup_merge_mml_pi_master;</v>
      </c>
      <c r="O10" s="76"/>
      <c r="P10" s="76"/>
      <c r="Q10" s="76"/>
      <c r="R10" s="76"/>
      <c r="S10" s="76"/>
      <c r="T10" s="76"/>
      <c r="AJ10" s="76" t="str">
        <f>"ALTER TABLE ONLY "&amp;エンティティ一覧!$O$2&amp;"."&amp;D$8</f>
        <v>ALTER TABLE ONLY milscm_2023_009.sny_202310_backup_merge_mml_pi_master</v>
      </c>
      <c r="AS10" s="76" t="str">
        <f>"ALTER TABLE "&amp;エンティティ一覧!$O$2&amp;"."&amp;D$8&amp;" OWNER TO pgmisgrp1;"</f>
        <v>ALTER TABLE milscm_2023_009.sny_202310_backup_merge_mml_pi_master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milscm_2023_009.sny_202310_backup_merge_mml_pi_master</v>
      </c>
      <c r="O11" s="76"/>
      <c r="P11" s="76"/>
      <c r="Q11" s="76"/>
      <c r="R11" s="76"/>
      <c r="S11" s="76"/>
      <c r="T11" s="76"/>
      <c r="AJ11" s="76" t="str">
        <f>"ADD CONSTRAINT "&amp;D$8&amp;"_pkey PRIMARY KEY"</f>
        <v>ADD CONSTRAINT sny_202310_backup_merge_mml_pi_master_pkey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milscm_2023_009.sny_202310_backup_merge_mml_pi_master IS 'バックアップ_患者情報モジュール_患者情報';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milscm_2023_009.sny_202310_backup_merge_mml_pi_master.torikomi_ym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1286</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milscm_2023_009.sny_202310_backup_merge_mml_pi_master.mil_karute_id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milscm_2023_009.sny_202310_backup_merge_mml_pi_master.facility_id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1288</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milscm_2023_009.sny_202310_backup_merge_mml_pi_master.shinryo_ymd IS '診療年月日';</v>
      </c>
    </row>
    <row r="17" spans="1:45" s="25" customFormat="1">
      <c r="A17" s="4"/>
      <c r="B17" s="21">
        <f t="shared" si="2"/>
        <v>5</v>
      </c>
      <c r="C17" s="13" t="s">
        <v>1248</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milscm_2023_009.sny_202310_backup_merge_mml_pi_master.data_type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milscm_2023_009.sny_202310_backup_merge_mml_pi_master.master_id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milscm_2023_009.sny_202310_backup_merge_mml_pi_master.uid IS '文書ユニークID';</v>
      </c>
    </row>
    <row r="20" spans="1:45" s="25" customFormat="1">
      <c r="A20" s="4"/>
      <c r="B20" s="21">
        <f t="shared" si="2"/>
        <v>8</v>
      </c>
      <c r="C20" s="13" t="s">
        <v>1253</v>
      </c>
      <c r="D20" s="13" t="s">
        <v>1254</v>
      </c>
      <c r="E20" s="7" t="s">
        <v>127</v>
      </c>
      <c r="F20" s="7" t="s">
        <v>204</v>
      </c>
      <c r="G20" s="7" t="str">
        <f t="shared" si="3"/>
        <v>integer</v>
      </c>
      <c r="H20" s="58"/>
      <c r="I20" s="23" t="s">
        <v>127</v>
      </c>
      <c r="J20" s="24" t="s">
        <v>1293</v>
      </c>
      <c r="M20" s="4"/>
      <c r="N20" s="76"/>
      <c r="O20" s="76"/>
      <c r="P20" s="76" t="str">
        <f t="shared" si="4"/>
        <v>,patient_seq</v>
      </c>
      <c r="Q20" s="76" t="str">
        <f t="shared" si="0"/>
        <v>INTEGER</v>
      </c>
      <c r="R20" s="76" t="str">
        <f t="shared" si="1"/>
        <v/>
      </c>
      <c r="S20" s="76" t="str">
        <f t="shared" si="5"/>
        <v>NOT NULL</v>
      </c>
      <c r="T20" s="76" t="str">
        <f t="shared" si="6"/>
        <v>-- 患者情報SEQ</v>
      </c>
      <c r="U20" s="4"/>
      <c r="AA20" s="4"/>
      <c r="AB20" s="4"/>
      <c r="AC20" s="4"/>
      <c r="AD20" s="4"/>
      <c r="AE20" s="4"/>
      <c r="AF20" s="4"/>
      <c r="AG20" s="4"/>
      <c r="AH20" s="4"/>
      <c r="AI20" s="4"/>
      <c r="AJ20" s="76" t="str">
        <f>IF(E20="○",IF(COUNTA(E$13:E20)=1,"",",")&amp;D20,"")</f>
        <v>,patient_seq</v>
      </c>
      <c r="AK20" s="4"/>
      <c r="AL20" s="4"/>
      <c r="AM20" s="4"/>
      <c r="AN20" s="4"/>
      <c r="AO20" s="4"/>
      <c r="AP20" s="4"/>
      <c r="AQ20" s="4"/>
      <c r="AR20" s="4"/>
      <c r="AS20" s="76" t="str">
        <f>"COMMENT ON COLUMN "&amp;エンティティ一覧!$O$2&amp;"."&amp;D$8&amp;"."&amp;D20&amp;" IS '"&amp;C20&amp;"';"</f>
        <v>COMMENT ON COLUMN milscm_2023_009.sny_202310_backup_merge_mml_pi_master.patient_seq IS '患者情報SEQ';</v>
      </c>
    </row>
    <row r="21" spans="1:45" s="25" customFormat="1">
      <c r="A21" s="4"/>
      <c r="B21" s="21">
        <f t="shared" si="2"/>
        <v>9</v>
      </c>
      <c r="C21" s="13" t="s">
        <v>1255</v>
      </c>
      <c r="D21" s="13" t="s">
        <v>1256</v>
      </c>
      <c r="E21" s="7"/>
      <c r="F21" s="7" t="s">
        <v>865</v>
      </c>
      <c r="G21" s="7" t="str">
        <f t="shared" si="3"/>
        <v>text</v>
      </c>
      <c r="H21" s="58"/>
      <c r="I21" s="23"/>
      <c r="J21" s="24"/>
      <c r="M21" s="4"/>
      <c r="N21" s="76"/>
      <c r="O21" s="76"/>
      <c r="P21" s="76" t="str">
        <f t="shared" si="4"/>
        <v>,main_id</v>
      </c>
      <c r="Q21" s="76" t="str">
        <f t="shared" si="0"/>
        <v>TEXT</v>
      </c>
      <c r="R21" s="76" t="str">
        <f t="shared" si="1"/>
        <v/>
      </c>
      <c r="S21" s="76" t="str">
        <f t="shared" si="5"/>
        <v/>
      </c>
      <c r="T21" s="76" t="str">
        <f t="shared" si="6"/>
        <v>-- 主ID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milscm_2023_009.sny_202310_backup_merge_mml_pi_master.main_id IS '主ID';</v>
      </c>
    </row>
    <row r="22" spans="1:45" s="25" customFormat="1">
      <c r="A22" s="4"/>
      <c r="B22" s="21">
        <f t="shared" si="2"/>
        <v>10</v>
      </c>
      <c r="C22" s="13" t="s">
        <v>1257</v>
      </c>
      <c r="D22" s="13" t="s">
        <v>1258</v>
      </c>
      <c r="E22" s="7"/>
      <c r="F22" s="7" t="s">
        <v>865</v>
      </c>
      <c r="G22" s="7" t="str">
        <f t="shared" si="3"/>
        <v>text</v>
      </c>
      <c r="H22" s="58"/>
      <c r="I22" s="23"/>
      <c r="J22" s="24"/>
      <c r="M22" s="4"/>
      <c r="N22" s="76"/>
      <c r="O22" s="76"/>
      <c r="P22" s="76" t="str">
        <f t="shared" si="4"/>
        <v>,main_id_type_code</v>
      </c>
      <c r="Q22" s="76" t="str">
        <f t="shared" si="0"/>
        <v>TEXT</v>
      </c>
      <c r="R22" s="76" t="str">
        <f t="shared" si="1"/>
        <v/>
      </c>
      <c r="S22" s="76" t="str">
        <f t="shared" si="5"/>
        <v/>
      </c>
      <c r="T22" s="76" t="str">
        <f t="shared" si="6"/>
        <v>-- 主IDの種類コード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milscm_2023_009.sny_202310_backup_merge_mml_pi_master.main_id_type_code IS '主IDの種類コード';</v>
      </c>
    </row>
    <row r="23" spans="1:45" s="25" customFormat="1">
      <c r="A23" s="4"/>
      <c r="B23" s="21">
        <f t="shared" si="2"/>
        <v>11</v>
      </c>
      <c r="C23" s="13" t="s">
        <v>1259</v>
      </c>
      <c r="D23" s="13" t="s">
        <v>1260</v>
      </c>
      <c r="E23" s="7"/>
      <c r="F23" s="7" t="s">
        <v>865</v>
      </c>
      <c r="G23" s="7" t="str">
        <f t="shared" si="3"/>
        <v>text</v>
      </c>
      <c r="H23" s="58"/>
      <c r="I23" s="23"/>
      <c r="J23" s="24"/>
      <c r="M23" s="4"/>
      <c r="N23" s="76"/>
      <c r="O23" s="76"/>
      <c r="P23" s="76" t="str">
        <f t="shared" si="4"/>
        <v>,main_id_name</v>
      </c>
      <c r="Q23" s="76" t="str">
        <f t="shared" si="0"/>
        <v>TEXT</v>
      </c>
      <c r="R23" s="76" t="str">
        <f t="shared" si="1"/>
        <v/>
      </c>
      <c r="S23" s="76" t="str">
        <f t="shared" si="5"/>
        <v/>
      </c>
      <c r="T23" s="76" t="str">
        <f t="shared" si="6"/>
        <v>-- 主IDテーブル名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milscm_2023_009.sny_202310_backup_merge_mml_pi_master.main_id_name IS '主IDテーブル名';</v>
      </c>
    </row>
    <row r="24" spans="1:45" s="25" customFormat="1">
      <c r="A24" s="4"/>
      <c r="B24" s="21">
        <f t="shared" si="2"/>
        <v>12</v>
      </c>
      <c r="C24" s="13" t="s">
        <v>1261</v>
      </c>
      <c r="D24" s="13" t="s">
        <v>1262</v>
      </c>
      <c r="E24" s="7"/>
      <c r="F24" s="7" t="s">
        <v>865</v>
      </c>
      <c r="G24" s="7" t="str">
        <f t="shared" si="3"/>
        <v>text</v>
      </c>
      <c r="H24" s="58"/>
      <c r="I24" s="23"/>
      <c r="J24" s="24"/>
      <c r="M24" s="4"/>
      <c r="N24" s="76"/>
      <c r="O24" s="76"/>
      <c r="P24" s="76" t="str">
        <f t="shared" si="4"/>
        <v>,main_id_check_digit</v>
      </c>
      <c r="Q24" s="76" t="str">
        <f t="shared" si="0"/>
        <v>TEXT</v>
      </c>
      <c r="R24" s="76" t="str">
        <f t="shared" si="1"/>
        <v/>
      </c>
      <c r="S24" s="76" t="str">
        <f t="shared" si="5"/>
        <v/>
      </c>
      <c r="T24" s="76" t="str">
        <f t="shared" si="6"/>
        <v>-- 主IDチェックディジット</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milscm_2023_009.sny_202310_backup_merge_mml_pi_master.main_id_check_digit IS '主IDチェックディジット';</v>
      </c>
    </row>
    <row r="25" spans="1:45" s="25" customFormat="1" ht="52.2">
      <c r="A25" s="4"/>
      <c r="B25" s="21">
        <f t="shared" si="2"/>
        <v>13</v>
      </c>
      <c r="C25" s="13" t="s">
        <v>1263</v>
      </c>
      <c r="D25" s="13" t="s">
        <v>1264</v>
      </c>
      <c r="E25" s="7"/>
      <c r="F25" s="7" t="s">
        <v>865</v>
      </c>
      <c r="G25" s="7" t="str">
        <f t="shared" si="3"/>
        <v>text</v>
      </c>
      <c r="H25" s="58"/>
      <c r="I25" s="23"/>
      <c r="J25" s="24" t="s">
        <v>1294</v>
      </c>
      <c r="M25" s="4"/>
      <c r="N25" s="76"/>
      <c r="O25" s="76"/>
      <c r="P25" s="76" t="str">
        <f t="shared" si="4"/>
        <v>,main_id_check_digit_system</v>
      </c>
      <c r="Q25" s="76" t="str">
        <f t="shared" si="0"/>
        <v>TEXT</v>
      </c>
      <c r="R25" s="76" t="str">
        <f t="shared" si="1"/>
        <v/>
      </c>
      <c r="S25" s="76" t="str">
        <f t="shared" si="5"/>
        <v/>
      </c>
      <c r="T25" s="76" t="str">
        <f t="shared" si="6"/>
        <v>-- 主IDチェックディジット方式</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milscm_2023_009.sny_202310_backup_merge_mml_pi_master.main_id_check_digit_system IS '主IDチェックディジット方式';</v>
      </c>
    </row>
    <row r="26" spans="1:45" s="25" customFormat="1" ht="34.799999999999997">
      <c r="A26" s="4"/>
      <c r="B26" s="21">
        <f t="shared" si="2"/>
        <v>14</v>
      </c>
      <c r="C26" s="13" t="s">
        <v>567</v>
      </c>
      <c r="D26" s="13" t="s">
        <v>322</v>
      </c>
      <c r="E26" s="7"/>
      <c r="F26" s="7" t="s">
        <v>865</v>
      </c>
      <c r="G26" s="7" t="str">
        <f t="shared" si="3"/>
        <v>text</v>
      </c>
      <c r="H26" s="58"/>
      <c r="I26" s="23"/>
      <c r="J26" s="24" t="s">
        <v>1295</v>
      </c>
      <c r="M26" s="4"/>
      <c r="N26" s="76"/>
      <c r="O26" s="76"/>
      <c r="P26" s="76" t="str">
        <f t="shared" si="4"/>
        <v>,birthday</v>
      </c>
      <c r="Q26" s="76" t="str">
        <f t="shared" si="0"/>
        <v>TEXT</v>
      </c>
      <c r="R26" s="76" t="str">
        <f t="shared" si="1"/>
        <v/>
      </c>
      <c r="S26" s="76" t="str">
        <f t="shared" si="5"/>
        <v/>
      </c>
      <c r="T26" s="76" t="str">
        <f t="shared" si="6"/>
        <v>-- 生年月日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milscm_2023_009.sny_202310_backup_merge_mml_pi_master.birthday IS '生年月日';</v>
      </c>
    </row>
    <row r="27" spans="1:45" s="25" customFormat="1" ht="34.799999999999997">
      <c r="A27" s="4"/>
      <c r="B27" s="21">
        <f t="shared" si="2"/>
        <v>15</v>
      </c>
      <c r="C27" s="13" t="s">
        <v>569</v>
      </c>
      <c r="D27" s="13" t="s">
        <v>1265</v>
      </c>
      <c r="E27" s="7"/>
      <c r="F27" s="7" t="s">
        <v>865</v>
      </c>
      <c r="G27" s="7" t="str">
        <f t="shared" si="3"/>
        <v>text</v>
      </c>
      <c r="H27" s="58"/>
      <c r="I27" s="23"/>
      <c r="J27" s="24" t="s">
        <v>1296</v>
      </c>
      <c r="M27" s="4"/>
      <c r="N27" s="76"/>
      <c r="O27" s="76"/>
      <c r="P27" s="76" t="str">
        <f t="shared" si="4"/>
        <v>,sex</v>
      </c>
      <c r="Q27" s="76" t="str">
        <f t="shared" si="0"/>
        <v>TEXT</v>
      </c>
      <c r="R27" s="76" t="str">
        <f t="shared" si="1"/>
        <v/>
      </c>
      <c r="S27" s="76" t="str">
        <f t="shared" si="5"/>
        <v/>
      </c>
      <c r="T27" s="76" t="str">
        <f t="shared" si="6"/>
        <v>-- 性別</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milscm_2023_009.sny_202310_backup_merge_mml_pi_master.sex IS '性別';</v>
      </c>
    </row>
    <row r="28" spans="1:45" s="25" customFormat="1">
      <c r="A28" s="4"/>
      <c r="B28" s="21">
        <f t="shared" si="2"/>
        <v>16</v>
      </c>
      <c r="C28" s="13" t="s">
        <v>948</v>
      </c>
      <c r="D28" s="13" t="s">
        <v>949</v>
      </c>
      <c r="E28" s="7"/>
      <c r="F28" s="7" t="s">
        <v>865</v>
      </c>
      <c r="G28" s="7" t="str">
        <f t="shared" si="3"/>
        <v>text</v>
      </c>
      <c r="H28" s="58"/>
      <c r="I28" s="23"/>
      <c r="J28" s="24" t="s">
        <v>1297</v>
      </c>
      <c r="M28" s="4"/>
      <c r="N28" s="76"/>
      <c r="O28" s="76"/>
      <c r="P28" s="76" t="str">
        <f t="shared" si="4"/>
        <v>,sex_kubun</v>
      </c>
      <c r="Q28" s="76" t="str">
        <f t="shared" si="0"/>
        <v>TEXT</v>
      </c>
      <c r="R28" s="76" t="str">
        <f t="shared" si="1"/>
        <v/>
      </c>
      <c r="S28" s="76" t="str">
        <f t="shared" si="5"/>
        <v/>
      </c>
      <c r="T28" s="76" t="str">
        <f t="shared" si="6"/>
        <v>-- 男女区分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milscm_2023_009.sny_202310_backup_merge_mml_pi_master.sex_kubun IS '男女区分';</v>
      </c>
    </row>
    <row r="29" spans="1:45" s="25" customFormat="1" ht="34.799999999999997">
      <c r="A29" s="4"/>
      <c r="B29" s="21">
        <f t="shared" si="2"/>
        <v>17</v>
      </c>
      <c r="C29" s="13" t="s">
        <v>1266</v>
      </c>
      <c r="D29" s="13" t="s">
        <v>1267</v>
      </c>
      <c r="E29" s="7"/>
      <c r="F29" s="7" t="s">
        <v>865</v>
      </c>
      <c r="G29" s="7" t="str">
        <f t="shared" si="3"/>
        <v>text</v>
      </c>
      <c r="H29" s="58"/>
      <c r="I29" s="23"/>
      <c r="J29" s="24" t="s">
        <v>1298</v>
      </c>
      <c r="M29" s="4"/>
      <c r="N29" s="76"/>
      <c r="O29" s="76"/>
      <c r="P29" s="76" t="str">
        <f t="shared" si="4"/>
        <v>,nationality_code</v>
      </c>
      <c r="Q29" s="76" t="str">
        <f t="shared" si="0"/>
        <v>TEXT</v>
      </c>
      <c r="R29" s="76" t="str">
        <f t="shared" si="1"/>
        <v/>
      </c>
      <c r="S29" s="76" t="str">
        <f t="shared" si="5"/>
        <v/>
      </c>
      <c r="T29" s="76" t="str">
        <f t="shared" si="6"/>
        <v>-- 国籍コード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milscm_2023_009.sny_202310_backup_merge_mml_pi_master.nationality_code IS '国籍コード';</v>
      </c>
    </row>
    <row r="30" spans="1:45" s="25" customFormat="1">
      <c r="A30" s="4"/>
      <c r="B30" s="21">
        <f t="shared" si="2"/>
        <v>18</v>
      </c>
      <c r="C30" s="13" t="s">
        <v>1268</v>
      </c>
      <c r="D30" s="13" t="s">
        <v>1269</v>
      </c>
      <c r="E30" s="7"/>
      <c r="F30" s="7" t="s">
        <v>865</v>
      </c>
      <c r="G30" s="7" t="str">
        <f t="shared" si="3"/>
        <v>text</v>
      </c>
      <c r="H30" s="58"/>
      <c r="I30" s="23"/>
      <c r="J30" s="24"/>
      <c r="M30" s="4"/>
      <c r="N30" s="76"/>
      <c r="O30" s="76"/>
      <c r="P30" s="76" t="str">
        <f t="shared" si="4"/>
        <v>,subtype_code</v>
      </c>
      <c r="Q30" s="76" t="str">
        <f t="shared" si="0"/>
        <v>TEXT</v>
      </c>
      <c r="R30" s="76" t="str">
        <f t="shared" si="1"/>
        <v/>
      </c>
      <c r="S30" s="76" t="str">
        <f t="shared" si="5"/>
        <v/>
      </c>
      <c r="T30" s="76" t="str">
        <f t="shared" si="6"/>
        <v>-- 第2国籍コード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milscm_2023_009.sny_202310_backup_merge_mml_pi_master.subtype_code IS '第2国籍コード';</v>
      </c>
    </row>
    <row r="31" spans="1:45" s="25" customFormat="1">
      <c r="A31" s="4"/>
      <c r="B31" s="21">
        <f t="shared" si="2"/>
        <v>19</v>
      </c>
      <c r="C31" s="13" t="s">
        <v>1270</v>
      </c>
      <c r="D31" s="13" t="s">
        <v>1271</v>
      </c>
      <c r="E31" s="7"/>
      <c r="F31" s="7" t="s">
        <v>865</v>
      </c>
      <c r="G31" s="7" t="str">
        <f t="shared" si="3"/>
        <v>text</v>
      </c>
      <c r="H31" s="58"/>
      <c r="I31" s="23"/>
      <c r="J31" s="24"/>
      <c r="M31" s="4"/>
      <c r="N31" s="76"/>
      <c r="O31" s="76"/>
      <c r="P31" s="76" t="str">
        <f t="shared" si="4"/>
        <v>,race</v>
      </c>
      <c r="Q31" s="76" t="str">
        <f t="shared" si="0"/>
        <v>TEXT</v>
      </c>
      <c r="R31" s="76" t="str">
        <f t="shared" si="1"/>
        <v/>
      </c>
      <c r="S31" s="76" t="str">
        <f t="shared" si="5"/>
        <v/>
      </c>
      <c r="T31" s="76" t="str">
        <f t="shared" si="6"/>
        <v>-- 人種、民族</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milscm_2023_009.sny_202310_backup_merge_mml_pi_master.race IS '人種、民族';</v>
      </c>
    </row>
    <row r="32" spans="1:45" s="25" customFormat="1">
      <c r="A32" s="4"/>
      <c r="B32" s="21">
        <f t="shared" si="2"/>
        <v>20</v>
      </c>
      <c r="C32" s="13" t="s">
        <v>1272</v>
      </c>
      <c r="D32" s="13" t="s">
        <v>1273</v>
      </c>
      <c r="E32" s="7"/>
      <c r="F32" s="7" t="s">
        <v>865</v>
      </c>
      <c r="G32" s="7" t="str">
        <f t="shared" si="3"/>
        <v>text</v>
      </c>
      <c r="H32" s="58"/>
      <c r="I32" s="23"/>
      <c r="J32" s="24"/>
      <c r="M32" s="4"/>
      <c r="N32" s="76"/>
      <c r="O32" s="76"/>
      <c r="P32" s="76" t="str">
        <f t="shared" si="4"/>
        <v>,race_code</v>
      </c>
      <c r="Q32" s="76" t="str">
        <f t="shared" si="0"/>
        <v>TEXT</v>
      </c>
      <c r="R32" s="76" t="str">
        <f t="shared" si="1"/>
        <v/>
      </c>
      <c r="S32" s="76" t="str">
        <f t="shared" si="5"/>
        <v/>
      </c>
      <c r="T32" s="76" t="str">
        <f t="shared" si="6"/>
        <v>-- 人種、民族コード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milscm_2023_009.sny_202310_backup_merge_mml_pi_master.race_code IS '人種、民族コード';</v>
      </c>
    </row>
    <row r="33" spans="1:52" s="25" customFormat="1">
      <c r="A33" s="4"/>
      <c r="B33" s="21">
        <f t="shared" si="2"/>
        <v>21</v>
      </c>
      <c r="C33" s="13" t="s">
        <v>1274</v>
      </c>
      <c r="D33" s="13" t="s">
        <v>1275</v>
      </c>
      <c r="E33" s="7"/>
      <c r="F33" s="7" t="s">
        <v>865</v>
      </c>
      <c r="G33" s="7" t="str">
        <f t="shared" si="3"/>
        <v>text</v>
      </c>
      <c r="H33" s="58"/>
      <c r="I33" s="23"/>
      <c r="J33" s="24"/>
      <c r="M33" s="4"/>
      <c r="N33" s="76"/>
      <c r="O33" s="76"/>
      <c r="P33" s="76" t="str">
        <f t="shared" si="4"/>
        <v>,race_code_id</v>
      </c>
      <c r="Q33" s="76" t="str">
        <f t="shared" si="0"/>
        <v>TEXT</v>
      </c>
      <c r="R33" s="76" t="str">
        <f t="shared" si="1"/>
        <v/>
      </c>
      <c r="S33" s="76" t="str">
        <f t="shared" si="5"/>
        <v/>
      </c>
      <c r="T33" s="76" t="str">
        <f t="shared" si="6"/>
        <v>-- 人種、民族使用テーブル</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milscm_2023_009.sny_202310_backup_merge_mml_pi_master.race_code_id IS '人種、民族使用テーブル';</v>
      </c>
    </row>
    <row r="34" spans="1:52" s="25" customFormat="1" ht="34.799999999999997">
      <c r="A34" s="4"/>
      <c r="B34" s="21">
        <f t="shared" si="2"/>
        <v>22</v>
      </c>
      <c r="C34" s="13" t="s">
        <v>1276</v>
      </c>
      <c r="D34" s="13" t="s">
        <v>1277</v>
      </c>
      <c r="E34" s="7"/>
      <c r="F34" s="7" t="s">
        <v>865</v>
      </c>
      <c r="G34" s="7" t="str">
        <f t="shared" si="3"/>
        <v>text</v>
      </c>
      <c r="H34" s="58"/>
      <c r="I34" s="23"/>
      <c r="J34" s="24" t="s">
        <v>1299</v>
      </c>
      <c r="M34" s="4"/>
      <c r="N34" s="76"/>
      <c r="O34" s="76"/>
      <c r="P34" s="76" t="str">
        <f t="shared" si="4"/>
        <v>,marital</v>
      </c>
      <c r="Q34" s="76" t="str">
        <f t="shared" si="0"/>
        <v>TEXT</v>
      </c>
      <c r="R34" s="76" t="str">
        <f t="shared" si="1"/>
        <v/>
      </c>
      <c r="S34" s="76" t="str">
        <f t="shared" si="5"/>
        <v/>
      </c>
      <c r="T34" s="76" t="str">
        <f t="shared" si="6"/>
        <v>-- 婚姻状態</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milscm_2023_009.sny_202310_backup_merge_mml_pi_master.marital IS '婚姻状態';</v>
      </c>
    </row>
    <row r="35" spans="1:52" s="25" customFormat="1">
      <c r="A35" s="4"/>
      <c r="B35" s="21">
        <f t="shared" si="2"/>
        <v>23</v>
      </c>
      <c r="C35" s="13" t="s">
        <v>1278</v>
      </c>
      <c r="D35" s="13" t="s">
        <v>1279</v>
      </c>
      <c r="E35" s="7"/>
      <c r="F35" s="7" t="s">
        <v>865</v>
      </c>
      <c r="G35" s="7" t="str">
        <f t="shared" si="3"/>
        <v>text</v>
      </c>
      <c r="H35" s="58"/>
      <c r="I35" s="23"/>
      <c r="J35" s="24"/>
      <c r="M35" s="4"/>
      <c r="N35" s="76"/>
      <c r="O35" s="76"/>
      <c r="P35" s="76" t="str">
        <f t="shared" si="4"/>
        <v>,account_number</v>
      </c>
      <c r="Q35" s="76" t="str">
        <f t="shared" si="0"/>
        <v>TEXT</v>
      </c>
      <c r="R35" s="76" t="str">
        <f t="shared" si="1"/>
        <v/>
      </c>
      <c r="S35" s="76" t="str">
        <f t="shared" si="5"/>
        <v/>
      </c>
      <c r="T35" s="76" t="str">
        <f t="shared" si="6"/>
        <v>-- 会計番号</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milscm_2023_009.sny_202310_backup_merge_mml_pi_master.account_number IS '会計番号';</v>
      </c>
    </row>
    <row r="36" spans="1:52" s="25" customFormat="1">
      <c r="A36" s="4"/>
      <c r="B36" s="21">
        <f t="shared" si="2"/>
        <v>24</v>
      </c>
      <c r="C36" s="13" t="s">
        <v>1280</v>
      </c>
      <c r="D36" s="13" t="s">
        <v>1281</v>
      </c>
      <c r="E36" s="7"/>
      <c r="F36" s="7" t="s">
        <v>865</v>
      </c>
      <c r="G36" s="7" t="str">
        <f t="shared" si="3"/>
        <v>text</v>
      </c>
      <c r="H36" s="58"/>
      <c r="I36" s="23"/>
      <c r="J36" s="24"/>
      <c r="M36" s="4"/>
      <c r="N36" s="76"/>
      <c r="O36" s="76"/>
      <c r="P36" s="76" t="str">
        <f t="shared" si="4"/>
        <v>,socialIdentification</v>
      </c>
      <c r="Q36" s="76" t="str">
        <f t="shared" si="0"/>
        <v>TEXT</v>
      </c>
      <c r="R36" s="76" t="str">
        <f t="shared" si="1"/>
        <v/>
      </c>
      <c r="S36" s="76" t="str">
        <f t="shared" si="5"/>
        <v/>
      </c>
      <c r="T36" s="76" t="str">
        <f t="shared" si="6"/>
        <v>-- 社会番号</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milscm_2023_009.sny_202310_backup_merge_mml_pi_master.socialIdentification IS '社会番号';</v>
      </c>
    </row>
    <row r="37" spans="1:52" s="25" customFormat="1">
      <c r="A37" s="4"/>
      <c r="B37" s="21">
        <f t="shared" si="2"/>
        <v>25</v>
      </c>
      <c r="C37" s="13" t="s">
        <v>1282</v>
      </c>
      <c r="D37" s="13" t="s">
        <v>1283</v>
      </c>
      <c r="E37" s="7"/>
      <c r="F37" s="7" t="s">
        <v>865</v>
      </c>
      <c r="G37" s="7" t="str">
        <f t="shared" si="3"/>
        <v>text</v>
      </c>
      <c r="H37" s="58"/>
      <c r="I37" s="23"/>
      <c r="J37" s="24" t="s">
        <v>1300</v>
      </c>
      <c r="M37" s="4"/>
      <c r="N37" s="76"/>
      <c r="O37" s="76"/>
      <c r="P37" s="76" t="str">
        <f t="shared" si="4"/>
        <v>,death_flag</v>
      </c>
      <c r="Q37" s="76" t="str">
        <f t="shared" si="0"/>
        <v>TEXT</v>
      </c>
      <c r="R37" s="76" t="str">
        <f t="shared" si="1"/>
        <v/>
      </c>
      <c r="S37" s="76" t="str">
        <f t="shared" si="5"/>
        <v/>
      </c>
      <c r="T37" s="76" t="str">
        <f t="shared" si="6"/>
        <v>-- 死亡フラグ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milscm_2023_009.sny_202310_backup_merge_mml_pi_master.death_flag IS '死亡フラグ';</v>
      </c>
    </row>
    <row r="38" spans="1:52" s="25" customFormat="1" ht="18" thickBot="1">
      <c r="A38" s="4"/>
      <c r="B38" s="27">
        <f>ROW()-12</f>
        <v>26</v>
      </c>
      <c r="C38" s="57" t="s">
        <v>1284</v>
      </c>
      <c r="D38" s="57" t="s">
        <v>1285</v>
      </c>
      <c r="E38" s="56"/>
      <c r="F38" s="56" t="s">
        <v>865</v>
      </c>
      <c r="G38" s="56" t="str">
        <f t="shared" si="3"/>
        <v>text</v>
      </c>
      <c r="H38" s="59"/>
      <c r="I38" s="60"/>
      <c r="J38" s="64" t="s">
        <v>1301</v>
      </c>
      <c r="N38" s="76"/>
      <c r="O38" s="76"/>
      <c r="P38" s="76" t="str">
        <f t="shared" si="4"/>
        <v>,death_date</v>
      </c>
      <c r="Q38" s="76" t="str">
        <f t="shared" si="0"/>
        <v>TEXT</v>
      </c>
      <c r="R38" s="76" t="str">
        <f t="shared" si="1"/>
        <v/>
      </c>
      <c r="S38" s="76" t="str">
        <f t="shared" si="5"/>
        <v/>
      </c>
      <c r="T38" s="76" t="str">
        <f t="shared" si="6"/>
        <v>-- 死亡日時</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milscm_2023_009.sny_202310_backup_merge_mml_pi_master.death_date IS '死亡日時';</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ENT_01_C4-03</v>
      </c>
      <c r="E6" s="234"/>
      <c r="F6" s="234"/>
      <c r="G6" s="234"/>
      <c r="H6" s="234"/>
      <c r="I6" s="234"/>
      <c r="J6" s="235"/>
    </row>
    <row r="7" spans="1:45">
      <c r="B7" s="223" t="s">
        <v>115</v>
      </c>
      <c r="C7" s="224"/>
      <c r="D7" s="225" t="s">
        <v>1303</v>
      </c>
      <c r="E7" s="226"/>
      <c r="F7" s="226"/>
      <c r="G7" s="226"/>
      <c r="H7" s="226"/>
      <c r="I7" s="226"/>
      <c r="J7" s="227"/>
    </row>
    <row r="8" spans="1:45">
      <c r="B8" s="223" t="s">
        <v>116</v>
      </c>
      <c r="C8" s="224"/>
      <c r="D8" s="225" t="str">
        <f>エンティティ一覧!AE2&amp;"_"&amp;D5&amp;"_merge_mml_rd_register"</f>
        <v>sny_202310_backup_merge_mml_rd_register</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milscm_2023_009.sny_202310_backup_merge_mml_rd_register;</v>
      </c>
      <c r="O10" s="76"/>
      <c r="P10" s="76"/>
      <c r="Q10" s="76"/>
      <c r="R10" s="76"/>
      <c r="S10" s="76"/>
      <c r="T10" s="76"/>
      <c r="AJ10" s="76" t="str">
        <f>"ALTER TABLE ONLY "&amp;エンティティ一覧!$O$2&amp;"."&amp;D$8</f>
        <v>ALTER TABLE ONLY milscm_2023_009.sny_202310_backup_merge_mml_rd_register</v>
      </c>
      <c r="AS10" s="76" t="str">
        <f>"ALTER TABLE "&amp;エンティティ一覧!$O$2&amp;"."&amp;D$8&amp;" OWNER TO pgmisgrp1;"</f>
        <v>ALTER TABLE milscm_2023_009.sny_202310_backup_merge_mml_rd_register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milscm_2023_009.sny_202310_backup_merge_mml_rd_register</v>
      </c>
      <c r="O11" s="76"/>
      <c r="P11" s="76"/>
      <c r="Q11" s="76"/>
      <c r="R11" s="76"/>
      <c r="S11" s="76"/>
      <c r="T11" s="76"/>
      <c r="AJ11" s="76" t="str">
        <f>"ADD CONSTRAINT "&amp;D$8&amp;"_pkey PRIMARY KEY"</f>
        <v>ADD CONSTRAINT sny_202310_backup_merge_mml_rd_register_pkey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milscm_2023_009.sny_202310_backup_merge_mml_rd_register IS 'バックアップ_診断履歴情報モジュール_診断履歴情報レコード';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milscm_2023_009.sny_202310_backup_merge_mml_rd_register.mil_karute_id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milscm_2023_009.sny_202310_backup_merge_mml_rd_register.facility_id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milscm_2023_009.sny_202310_backup_merge_mml_rd_register.shinryo_ymd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milscm_2023_009.sny_202310_backup_merge_mml_rd_register.data_type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milscm_2023_009.sny_202310_backup_merge_mml_rd_register.master_id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milscm_2023_009.sny_202310_backup_merge_mml_rd_register.uid IS '文書ユニークID';</v>
      </c>
    </row>
    <row r="20" spans="1:52" s="25" customFormat="1" ht="34.799999999999997">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milscm_2023_009.sny_202310_backup_merge_mml_rd_register.shindan_seq IS '診断SEQ';</v>
      </c>
    </row>
    <row r="21" spans="1:52" s="25" customFormat="1">
      <c r="A21" s="4"/>
      <c r="B21" s="21">
        <f t="shared" si="2"/>
        <v>9</v>
      </c>
      <c r="C21" s="13" t="s">
        <v>1307</v>
      </c>
      <c r="D21" s="13" t="s">
        <v>1308</v>
      </c>
      <c r="E21" s="7"/>
      <c r="F21" s="7" t="s">
        <v>865</v>
      </c>
      <c r="G21" s="7" t="str">
        <f t="shared" si="3"/>
        <v>text</v>
      </c>
      <c r="H21" s="58"/>
      <c r="I21" s="23"/>
      <c r="J21" s="24" t="s">
        <v>1317</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milscm_2023_009.sny_202310_backup_merge_mml_rd_register.shikkan_start_ymd IS '疾患開始日';</v>
      </c>
    </row>
    <row r="22" spans="1:52" s="25" customFormat="1">
      <c r="A22" s="4"/>
      <c r="B22" s="21">
        <f t="shared" si="2"/>
        <v>10</v>
      </c>
      <c r="C22" s="13" t="s">
        <v>1309</v>
      </c>
      <c r="D22" s="13" t="s">
        <v>1310</v>
      </c>
      <c r="E22" s="7"/>
      <c r="F22" s="7" t="s">
        <v>865</v>
      </c>
      <c r="G22" s="7" t="str">
        <f t="shared" si="3"/>
        <v>text</v>
      </c>
      <c r="H22" s="58"/>
      <c r="I22" s="23"/>
      <c r="J22" s="24" t="s">
        <v>1318</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milscm_2023_009.sny_202310_backup_merge_mml_rd_register.shikkan_end_ymd IS '疾患終了日';</v>
      </c>
    </row>
    <row r="23" spans="1:52" s="25" customFormat="1">
      <c r="A23" s="4"/>
      <c r="B23" s="21">
        <f t="shared" si="2"/>
        <v>11</v>
      </c>
      <c r="C23" s="13" t="s">
        <v>1311</v>
      </c>
      <c r="D23" s="13" t="s">
        <v>1312</v>
      </c>
      <c r="E23" s="7"/>
      <c r="F23" s="7" t="s">
        <v>865</v>
      </c>
      <c r="G23" s="7" t="str">
        <f t="shared" si="3"/>
        <v>text</v>
      </c>
      <c r="H23" s="58"/>
      <c r="I23" s="23"/>
      <c r="J23" s="24" t="s">
        <v>1319</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milscm_2023_009.sny_202310_backup_merge_mml_rd_register.tenki IS '転帰';</v>
      </c>
    </row>
    <row r="24" spans="1:52" s="25" customFormat="1" ht="18" thickBot="1">
      <c r="A24" s="4"/>
      <c r="B24" s="27">
        <f>ROW()-12</f>
        <v>12</v>
      </c>
      <c r="C24" s="57" t="s">
        <v>1313</v>
      </c>
      <c r="D24" s="57" t="s">
        <v>1314</v>
      </c>
      <c r="E24" s="56"/>
      <c r="F24" s="56" t="s">
        <v>865</v>
      </c>
      <c r="G24" s="56" t="str">
        <f t="shared" si="3"/>
        <v>text</v>
      </c>
      <c r="H24" s="59"/>
      <c r="I24" s="60"/>
      <c r="J24" s="64" t="s">
        <v>1320</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ENT_01_C4-04</v>
      </c>
      <c r="E6" s="234"/>
      <c r="F6" s="234"/>
      <c r="G6" s="234"/>
      <c r="H6" s="234"/>
      <c r="I6" s="234"/>
      <c r="J6" s="235"/>
    </row>
    <row r="7" spans="1:45">
      <c r="B7" s="223" t="s">
        <v>115</v>
      </c>
      <c r="C7" s="224"/>
      <c r="D7" s="225" t="s">
        <v>1322</v>
      </c>
      <c r="E7" s="226"/>
      <c r="F7" s="226"/>
      <c r="G7" s="226"/>
      <c r="H7" s="226"/>
      <c r="I7" s="226"/>
      <c r="J7" s="227"/>
    </row>
    <row r="8" spans="1:45">
      <c r="B8" s="223" t="s">
        <v>116</v>
      </c>
      <c r="C8" s="224"/>
      <c r="D8" s="225" t="str">
        <f>エンティティ一覧!AE2&amp;"_"&amp;D5&amp;"_merge_mml_rd_byomei"</f>
        <v>sny_202310_backup_merge_mml_rd_byomei</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milscm_2023_009.sny_202310_backup_merge_mml_rd_byomei;</v>
      </c>
      <c r="O10" s="76"/>
      <c r="P10" s="76"/>
      <c r="Q10" s="76"/>
      <c r="R10" s="76"/>
      <c r="S10" s="76"/>
      <c r="T10" s="76"/>
      <c r="AJ10" s="76" t="str">
        <f>"ALTER TABLE ONLY "&amp;エンティティ一覧!$O$2&amp;"."&amp;D$8</f>
        <v>ALTER TABLE ONLY milscm_2023_009.sny_202310_backup_merge_mml_rd_byomei</v>
      </c>
      <c r="AS10" s="76" t="str">
        <f>"ALTER TABLE "&amp;エンティティ一覧!$O$2&amp;"."&amp;D$8&amp;" OWNER TO pgmisgrp1;"</f>
        <v>ALTER TABLE milscm_2023_009.sny_202310_backup_merge_mml_rd_byomei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milscm_2023_009.sny_202310_backup_merge_mml_rd_byomei</v>
      </c>
      <c r="O11" s="76"/>
      <c r="P11" s="76"/>
      <c r="Q11" s="76"/>
      <c r="R11" s="76"/>
      <c r="S11" s="76"/>
      <c r="T11" s="76"/>
      <c r="AJ11" s="76" t="str">
        <f>"ADD CONSTRAINT "&amp;D$8&amp;"_pkey PRIMARY KEY"</f>
        <v>ADD CONSTRAINT sny_202310_backup_merge_mml_rd_byomei_pkey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milscm_2023_009.sny_202310_backup_merge_mml_rd_byomei IS 'バックアップ_診断履歴情報モジュール_診断病名レコード';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milscm_2023_009.sny_202310_backup_merge_mml_rd_byomei.mil_karute_id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milscm_2023_009.sny_202310_backup_merge_mml_rd_byomei.facility_id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milscm_2023_009.sny_202310_backup_merge_mml_rd_byomei.shinryo_ymd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milscm_2023_009.sny_202310_backup_merge_mml_rd_byomei.data_type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milscm_2023_009.sny_202310_backup_merge_mml_rd_byomei.master_id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milscm_2023_009.sny_202310_backup_merge_mml_rd_byomei.uid IS '文書ユニークID';</v>
      </c>
    </row>
    <row r="20" spans="1:52" s="25" customFormat="1" ht="34.799999999999997">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milscm_2023_009.sny_202310_backup_merge_mml_rd_byomei.shindan_seq IS '診断SEQ';</v>
      </c>
    </row>
    <row r="21" spans="1:52" s="25" customFormat="1">
      <c r="A21" s="4"/>
      <c r="B21" s="21">
        <f t="shared" si="2"/>
        <v>9</v>
      </c>
      <c r="C21" s="13" t="s">
        <v>1323</v>
      </c>
      <c r="D21" s="13" t="s">
        <v>1324</v>
      </c>
      <c r="E21" s="7" t="s">
        <v>127</v>
      </c>
      <c r="F21" s="7" t="s">
        <v>204</v>
      </c>
      <c r="G21" s="7" t="str">
        <f t="shared" si="3"/>
        <v>integer</v>
      </c>
      <c r="H21" s="58"/>
      <c r="I21" s="23" t="s">
        <v>127</v>
      </c>
      <c r="J21" s="24" t="s">
        <v>1331</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milscm_2023_009.sny_202310_backup_merge_mml_rd_byomei.byomei_seq IS '病名SEQ';</v>
      </c>
    </row>
    <row r="22" spans="1:52" s="25" customFormat="1">
      <c r="A22" s="4"/>
      <c r="B22" s="21">
        <f t="shared" si="2"/>
        <v>10</v>
      </c>
      <c r="C22" s="13" t="s">
        <v>1325</v>
      </c>
      <c r="D22" s="13" t="s">
        <v>1326</v>
      </c>
      <c r="E22" s="7"/>
      <c r="F22" s="7" t="s">
        <v>865</v>
      </c>
      <c r="G22" s="7" t="str">
        <f t="shared" si="3"/>
        <v>text</v>
      </c>
      <c r="H22" s="58"/>
      <c r="I22" s="23"/>
      <c r="J22" s="24" t="s">
        <v>1332</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milscm_2023_009.sny_202310_backup_merge_mml_rd_byomei.byomei IS '病名';</v>
      </c>
    </row>
    <row r="23" spans="1:52" s="25" customFormat="1">
      <c r="A23" s="4"/>
      <c r="B23" s="21">
        <f t="shared" si="2"/>
        <v>11</v>
      </c>
      <c r="C23" s="13" t="s">
        <v>1327</v>
      </c>
      <c r="D23" s="13" t="s">
        <v>1328</v>
      </c>
      <c r="E23" s="7"/>
      <c r="F23" s="7" t="s">
        <v>865</v>
      </c>
      <c r="G23" s="7" t="str">
        <f t="shared" si="3"/>
        <v>text</v>
      </c>
      <c r="H23" s="58"/>
      <c r="I23" s="23"/>
      <c r="J23" s="24" t="s">
        <v>1333</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milscm_2023_009.sny_202310_backup_merge_mml_rd_byomei.byomei_code IS '病名コード値';</v>
      </c>
    </row>
    <row r="24" spans="1:52" s="25" customFormat="1" ht="18" thickBot="1">
      <c r="A24" s="4"/>
      <c r="B24" s="27">
        <f>ROW()-12</f>
        <v>12</v>
      </c>
      <c r="C24" s="57" t="s">
        <v>1329</v>
      </c>
      <c r="D24" s="57" t="s">
        <v>1330</v>
      </c>
      <c r="E24" s="56"/>
      <c r="F24" s="56" t="s">
        <v>865</v>
      </c>
      <c r="G24" s="56" t="str">
        <f t="shared" si="3"/>
        <v>text</v>
      </c>
      <c r="H24" s="59"/>
      <c r="I24" s="60"/>
      <c r="J24" s="64" t="s">
        <v>1334</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ENT_01_C4-05</v>
      </c>
      <c r="E6" s="234"/>
      <c r="F6" s="234"/>
      <c r="G6" s="234"/>
      <c r="H6" s="234"/>
      <c r="I6" s="234"/>
      <c r="J6" s="235"/>
    </row>
    <row r="7" spans="1:45">
      <c r="B7" s="223" t="s">
        <v>115</v>
      </c>
      <c r="C7" s="224"/>
      <c r="D7" s="225" t="s">
        <v>1336</v>
      </c>
      <c r="E7" s="226"/>
      <c r="F7" s="226"/>
      <c r="G7" s="226"/>
      <c r="H7" s="226"/>
      <c r="I7" s="226"/>
      <c r="J7" s="227"/>
    </row>
    <row r="8" spans="1:45">
      <c r="B8" s="223" t="s">
        <v>116</v>
      </c>
      <c r="C8" s="224"/>
      <c r="D8" s="225" t="str">
        <f>エンティティ一覧!AE2&amp;"_"&amp;D5&amp;"_merge_mml_rd_category"</f>
        <v>sny_202310_backup_merge_mml_rd_category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milscm_2023_009.sny_202310_backup_merge_mml_rd_category;</v>
      </c>
      <c r="O10" s="76"/>
      <c r="P10" s="76"/>
      <c r="Q10" s="76"/>
      <c r="R10" s="76"/>
      <c r="S10" s="76"/>
      <c r="T10" s="76"/>
      <c r="AJ10" s="76" t="str">
        <f>"ALTER TABLE ONLY "&amp;エンティティ一覧!$O$2&amp;"."&amp;D$8</f>
        <v>ALTER TABLE ONLY milscm_2023_009.sny_202310_backup_merge_mml_rd_category</v>
      </c>
      <c r="AS10" s="76" t="str">
        <f>"ALTER TABLE "&amp;エンティティ一覧!$O$2&amp;"."&amp;D$8&amp;" OWNER TO pgmisgrp1;"</f>
        <v>ALTER TABLE milscm_2023_009.sny_202310_backup_merge_mml_rd_category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milscm_2023_009.sny_202310_backup_merge_mml_rd_category</v>
      </c>
      <c r="O11" s="76"/>
      <c r="P11" s="76"/>
      <c r="Q11" s="76"/>
      <c r="R11" s="76"/>
      <c r="S11" s="76"/>
      <c r="T11" s="76"/>
      <c r="AJ11" s="76" t="str">
        <f>"ADD CONSTRAINT "&amp;D$8&amp;"_pkey PRIMARY KEY"</f>
        <v>ADD CONSTRAINT sny_202310_backup_merge_mml_rd_category_pkey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milscm_2023_009.sny_202310_backup_merge_mml_rd_category IS 'バックアップ_診断履歴情報モジュール_診断分類レコード';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milscm_2023_009.sny_202310_backup_merge_mml_rd_category.torikomi_ym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milscm_2023_009.sny_202310_backup_merge_mml_rd_category.mil_karute_id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milscm_2023_009.sny_202310_backup_merge_mml_rd_category.facility_id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milscm_2023_009.sny_202310_backup_merge_mml_rd_category.shinryo_ymd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milscm_2023_009.sny_202310_backup_merge_mml_rd_category.data_type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milscm_2023_009.sny_202310_backup_merge_mml_rd_category.master_id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milscm_2023_009.sny_202310_backup_merge_mml_rd_category.uid IS '文書ユニークID';</v>
      </c>
    </row>
    <row r="20" spans="1:52" s="25" customFormat="1" ht="34.799999999999997">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milscm_2023_009.sny_202310_backup_merge_mml_rd_category.shindan_seq IS '診断SEQ';</v>
      </c>
    </row>
    <row r="21" spans="1:52" s="25" customFormat="1">
      <c r="A21" s="4"/>
      <c r="B21" s="21">
        <f t="shared" si="2"/>
        <v>9</v>
      </c>
      <c r="C21" s="13" t="s">
        <v>1337</v>
      </c>
      <c r="D21" s="13" t="s">
        <v>1338</v>
      </c>
      <c r="E21" s="7" t="s">
        <v>127</v>
      </c>
      <c r="F21" s="7" t="s">
        <v>204</v>
      </c>
      <c r="G21" s="7" t="str">
        <f t="shared" si="3"/>
        <v>integer</v>
      </c>
      <c r="H21" s="58"/>
      <c r="I21" s="23" t="s">
        <v>127</v>
      </c>
      <c r="J21" s="24" t="s">
        <v>1343</v>
      </c>
      <c r="M21" s="4"/>
      <c r="N21" s="76"/>
      <c r="O21" s="76"/>
      <c r="P21" s="76" t="str">
        <f t="shared" si="4"/>
        <v>,bunrui_seq</v>
      </c>
      <c r="Q21" s="76" t="str">
        <f t="shared" si="0"/>
        <v>INTEGER</v>
      </c>
      <c r="R21" s="76" t="str">
        <f t="shared" si="1"/>
        <v/>
      </c>
      <c r="S21" s="76" t="str">
        <f t="shared" si="5"/>
        <v>NOT NULL</v>
      </c>
      <c r="T21" s="76" t="str">
        <f t="shared" si="6"/>
        <v>-- 分類SEQ</v>
      </c>
      <c r="U21" s="4"/>
      <c r="AA21" s="4"/>
      <c r="AB21" s="4"/>
      <c r="AC21" s="4"/>
      <c r="AD21" s="4"/>
      <c r="AE21" s="4"/>
      <c r="AF21" s="4"/>
      <c r="AG21" s="4"/>
      <c r="AH21" s="4"/>
      <c r="AI21" s="4"/>
      <c r="AJ21" s="76" t="str">
        <f>IF(E21="○",IF(COUNTA(E$13:E21)=1,"",",")&amp;D21,"")</f>
        <v>,bunrui_seq</v>
      </c>
      <c r="AK21" s="4"/>
      <c r="AL21" s="4"/>
      <c r="AM21" s="4"/>
      <c r="AN21" s="4"/>
      <c r="AO21" s="4"/>
      <c r="AP21" s="4"/>
      <c r="AQ21" s="4"/>
      <c r="AR21" s="4"/>
      <c r="AS21" s="76" t="str">
        <f>"COMMENT ON COLUMN "&amp;エンティティ一覧!$O$2&amp;"."&amp;D$8&amp;"."&amp;D21&amp;" IS '"&amp;C21&amp;"';"</f>
        <v>COMMENT ON COLUMN milscm_2023_009.sny_202310_backup_merge_mml_rd_category.bunrui_seq IS '分類SEQ';</v>
      </c>
    </row>
    <row r="22" spans="1:52" s="25" customFormat="1">
      <c r="A22" s="4"/>
      <c r="B22" s="21">
        <f t="shared" si="2"/>
        <v>10</v>
      </c>
      <c r="C22" s="13" t="s">
        <v>1339</v>
      </c>
      <c r="D22" s="13" t="s">
        <v>1340</v>
      </c>
      <c r="E22" s="7"/>
      <c r="F22" s="7" t="s">
        <v>865</v>
      </c>
      <c r="G22" s="7" t="str">
        <f t="shared" si="3"/>
        <v>text</v>
      </c>
      <c r="H22" s="58"/>
      <c r="I22" s="23"/>
      <c r="J22" s="24" t="s">
        <v>1344</v>
      </c>
      <c r="M22" s="4"/>
      <c r="N22" s="76"/>
      <c r="O22" s="76"/>
      <c r="P22" s="76" t="str">
        <f t="shared" si="4"/>
        <v>,bunrui_name</v>
      </c>
      <c r="Q22" s="76" t="str">
        <f t="shared" si="0"/>
        <v>TEXT</v>
      </c>
      <c r="R22" s="76" t="str">
        <f t="shared" si="1"/>
        <v/>
      </c>
      <c r="S22" s="76" t="str">
        <f t="shared" si="5"/>
        <v/>
      </c>
      <c r="T22" s="76" t="str">
        <f t="shared" si="6"/>
        <v>-- 分類名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milscm_2023_009.sny_202310_backup_merge_mml_rd_category.bunrui_name IS '分類名';</v>
      </c>
    </row>
    <row r="23" spans="1:52" s="25" customFormat="1" ht="87.6" thickBot="1">
      <c r="A23" s="4"/>
      <c r="B23" s="27">
        <f>ROW()-12</f>
        <v>11</v>
      </c>
      <c r="C23" s="57" t="s">
        <v>1341</v>
      </c>
      <c r="D23" s="57" t="s">
        <v>1342</v>
      </c>
      <c r="E23" s="56"/>
      <c r="F23" s="56" t="s">
        <v>865</v>
      </c>
      <c r="G23" s="56" t="str">
        <f t="shared" si="3"/>
        <v>text</v>
      </c>
      <c r="H23" s="59"/>
      <c r="I23" s="60"/>
      <c r="J23" s="64" t="s">
        <v>1345</v>
      </c>
      <c r="N23" s="76"/>
      <c r="O23" s="76"/>
      <c r="P23" s="76" t="str">
        <f t="shared" si="4"/>
        <v>,bunrui_code</v>
      </c>
      <c r="Q23" s="76" t="str">
        <f t="shared" si="0"/>
        <v>TEXT</v>
      </c>
      <c r="R23" s="76" t="str">
        <f t="shared" si="1"/>
        <v/>
      </c>
      <c r="S23" s="76" t="str">
        <f t="shared" si="5"/>
        <v/>
      </c>
      <c r="T23" s="76" t="str">
        <f t="shared" si="6"/>
        <v>-- 分類コード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milscm_2023_009.sny_202310_backup_merge_mml_rd_category.bunrui_code IS '分類コード';</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ENT_01_C4-06</v>
      </c>
      <c r="E6" s="234"/>
      <c r="F6" s="234"/>
      <c r="G6" s="234"/>
      <c r="H6" s="234"/>
      <c r="I6" s="234"/>
      <c r="J6" s="235"/>
    </row>
    <row r="7" spans="1:45">
      <c r="B7" s="223" t="s">
        <v>115</v>
      </c>
      <c r="C7" s="224"/>
      <c r="D7" s="225" t="s">
        <v>1347</v>
      </c>
      <c r="E7" s="226"/>
      <c r="F7" s="226"/>
      <c r="G7" s="226"/>
      <c r="H7" s="226"/>
      <c r="I7" s="226"/>
      <c r="J7" s="227"/>
    </row>
    <row r="8" spans="1:45">
      <c r="B8" s="223" t="s">
        <v>116</v>
      </c>
      <c r="C8" s="224"/>
      <c r="D8" s="225" t="str">
        <f>エンティティ一覧!AE2&amp;"_"&amp;D5&amp;"_merge_mml_pc_progress_course"</f>
        <v>sny_202310_backup_merge_mml_pc_progress_course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milscm_2023_009.sny_202310_backup_merge_mml_pc_progress_course;</v>
      </c>
      <c r="O10" s="76"/>
      <c r="P10" s="76"/>
      <c r="Q10" s="76"/>
      <c r="R10" s="76"/>
      <c r="S10" s="76"/>
      <c r="T10" s="76"/>
      <c r="AJ10" s="76" t="str">
        <f>"ALTER TABLE ONLY "&amp;エンティティ一覧!$O$2&amp;"."&amp;D$8</f>
        <v>ALTER TABLE ONLY milscm_2023_009.sny_202310_backup_merge_mml_pc_progress_course</v>
      </c>
      <c r="AS10" s="76" t="str">
        <f>"ALTER TABLE "&amp;エンティティ一覧!$O$2&amp;"."&amp;D$8&amp;" OWNER TO pgmisgrp1;"</f>
        <v>ALTER TABLE milscm_2023_009.sny_202310_backup_merge_mml_pc_progress_course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milscm_2023_009.sny_202310_backup_merge_mml_pc_progress_course</v>
      </c>
      <c r="O11" s="76"/>
      <c r="P11" s="76"/>
      <c r="Q11" s="76"/>
      <c r="R11" s="76"/>
      <c r="S11" s="76"/>
      <c r="T11" s="76"/>
      <c r="AJ11" s="76" t="str">
        <f>"ADD CONSTRAINT "&amp;D$8&amp;"_pkey PRIMARY KEY"</f>
        <v>ADD CONSTRAINT sny_202310_backup_merge_mml_pc_progress_course_pkey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milscm_2023_009.sny_202310_backup_merge_mml_pc_progress_course IS 'バックアップ_経過記録情報モジュール_経過記録情報レコード';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1286</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milscm_2023_009.sny_202310_backup_merge_mml_pc_progress_course.mil_karute_id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milscm_2023_009.sny_202310_backup_merge_mml_pc_progress_course.facility_id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milscm_2023_009.sny_202310_backup_merge_mml_pc_progress_course.shinryo_ymd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milscm_2023_009.sny_202310_backup_merge_mml_pc_progress_course.data_type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milscm_2023_009.sny_202310_backup_merge_mml_pc_progress_course.master_id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milscm_2023_009.sny_202310_backup_merge_mml_pc_progress_course.uid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milscm_2023_009.sny_202310_backup_merge_mml_pc_progress_course.keika_seq IS '経過記録SEQ';</v>
      </c>
    </row>
    <row r="21" spans="1:52" s="25" customFormat="1" ht="35.4" thickBot="1">
      <c r="A21" s="4"/>
      <c r="B21" s="27">
        <f>ROW()-12</f>
        <v>9</v>
      </c>
      <c r="C21" s="57" t="s">
        <v>1350</v>
      </c>
      <c r="D21" s="57" t="s">
        <v>1351</v>
      </c>
      <c r="E21" s="56"/>
      <c r="F21" s="56" t="s">
        <v>865</v>
      </c>
      <c r="G21" s="56" t="str">
        <f t="shared" si="3"/>
        <v>text</v>
      </c>
      <c r="H21" s="59"/>
      <c r="I21" s="60"/>
      <c r="J21" s="64" t="s">
        <v>1353</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ENT_01_C4-07</v>
      </c>
      <c r="E6" s="234"/>
      <c r="F6" s="234"/>
      <c r="G6" s="234"/>
      <c r="H6" s="234"/>
      <c r="I6" s="234"/>
      <c r="J6" s="235"/>
    </row>
    <row r="7" spans="1:45">
      <c r="B7" s="223" t="s">
        <v>115</v>
      </c>
      <c r="C7" s="224"/>
      <c r="D7" s="225" t="s">
        <v>1355</v>
      </c>
      <c r="E7" s="226"/>
      <c r="F7" s="226"/>
      <c r="G7" s="226"/>
      <c r="H7" s="226"/>
      <c r="I7" s="226"/>
      <c r="J7" s="227"/>
    </row>
    <row r="8" spans="1:45">
      <c r="B8" s="223" t="s">
        <v>116</v>
      </c>
      <c r="C8" s="224"/>
      <c r="D8" s="225" t="str">
        <f>エンティティ一覧!AE2&amp;"_"&amp;D5&amp;"_merge_mml_pc_problem"</f>
        <v>sny_202310_backup_merge_mml_pc_problem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milscm_2023_009.sny_202310_backup_merge_mml_pc_problem;</v>
      </c>
      <c r="O10" s="76"/>
      <c r="P10" s="76"/>
      <c r="Q10" s="76"/>
      <c r="R10" s="76"/>
      <c r="S10" s="76"/>
      <c r="T10" s="76"/>
      <c r="AJ10" s="76" t="str">
        <f>"ALTER TABLE ONLY "&amp;エンティティ一覧!$O$2&amp;"."&amp;D$8</f>
        <v>ALTER TABLE ONLY milscm_2023_009.sny_202310_backup_merge_mml_pc_problem</v>
      </c>
      <c r="AS10" s="76" t="str">
        <f>"ALTER TABLE "&amp;エンティティ一覧!$O$2&amp;"."&amp;D$8&amp;" OWNER TO pgmisgrp1;"</f>
        <v>ALTER TABLE milscm_2023_009.sny_202310_backup_merge_mml_pc_problem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milscm_2023_009.sny_202310_backup_merge_mml_pc_problem</v>
      </c>
      <c r="O11" s="76"/>
      <c r="P11" s="76"/>
      <c r="Q11" s="76"/>
      <c r="R11" s="76"/>
      <c r="S11" s="76"/>
      <c r="T11" s="76"/>
      <c r="AJ11" s="76" t="str">
        <f>"ADD CONSTRAINT "&amp;D$8&amp;"_pkey PRIMARY KEY"</f>
        <v>ADD CONSTRAINT sny_202310_backup_merge_mml_pc_problem_pkey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milscm_2023_009.sny_202310_backup_merge_mml_pc_problem IS 'バックアップ_経過記録情報モジュール_プロブレムレコード';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milscm_2023_009.sny_202310_backup_merge_mml_pc_problem.mil_karute_id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milscm_2023_009.sny_202310_backup_merge_mml_pc_problem.facility_id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milscm_2023_009.sny_202310_backup_merge_mml_pc_problem.shinryo_ymd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milscm_2023_009.sny_202310_backup_merge_mml_pc_problem.data_type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milscm_2023_009.sny_202310_backup_merge_mml_pc_problem.master_id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milscm_2023_009.sny_202310_backup_merge_mml_pc_problem.uid IS '文書ユニークID';</v>
      </c>
    </row>
    <row r="20" spans="1:45"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milscm_2023_009.sny_202310_backup_merge_mml_pc_problem.keika_seq IS '経過記録SEQ';</v>
      </c>
    </row>
    <row r="21" spans="1:45"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milscm_2023_009.sny_202310_backup_merge_mml_pc_problem.problem_seq IS 'プロブレムSEQ';</v>
      </c>
    </row>
    <row r="22" spans="1:45" s="25" customFormat="1" ht="34.799999999999997">
      <c r="A22" s="4"/>
      <c r="B22" s="21">
        <f t="shared" si="2"/>
        <v>10</v>
      </c>
      <c r="C22" s="13" t="s">
        <v>1358</v>
      </c>
      <c r="D22" s="13" t="s">
        <v>1359</v>
      </c>
      <c r="E22" s="7"/>
      <c r="F22" s="7" t="s">
        <v>865</v>
      </c>
      <c r="G22" s="7" t="str">
        <f t="shared" si="3"/>
        <v>text</v>
      </c>
      <c r="H22" s="58"/>
      <c r="I22" s="23"/>
      <c r="J22" s="24" t="s">
        <v>1381</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milscm_2023_009.sny_202310_backup_merge_mml_pc_problem.problem_shippei_name IS 'プロブレム名（疾病名）';</v>
      </c>
    </row>
    <row r="23" spans="1:45" s="25" customFormat="1" ht="69.599999999999994">
      <c r="A23" s="4"/>
      <c r="B23" s="21">
        <f t="shared" si="2"/>
        <v>11</v>
      </c>
      <c r="C23" s="13" t="s">
        <v>1360</v>
      </c>
      <c r="D23" s="13" t="s">
        <v>1361</v>
      </c>
      <c r="E23" s="7"/>
      <c r="F23" s="7" t="s">
        <v>865</v>
      </c>
      <c r="G23" s="7" t="str">
        <f t="shared" si="3"/>
        <v>text</v>
      </c>
      <c r="H23" s="58"/>
      <c r="I23" s="23"/>
      <c r="J23" s="24" t="s">
        <v>1382</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milscm_2023_009.sny_202310_backup_merge_mml_pc_problem.shindan_name_uid IS '診断名のuid';</v>
      </c>
    </row>
    <row r="24" spans="1:45" s="25" customFormat="1" ht="34.799999999999997">
      <c r="A24" s="4"/>
      <c r="B24" s="21">
        <f t="shared" si="2"/>
        <v>12</v>
      </c>
      <c r="C24" s="13" t="s">
        <v>1362</v>
      </c>
      <c r="D24" s="13" t="s">
        <v>1363</v>
      </c>
      <c r="E24" s="7"/>
      <c r="F24" s="7" t="s">
        <v>865</v>
      </c>
      <c r="G24" s="7" t="str">
        <f t="shared" si="3"/>
        <v>text</v>
      </c>
      <c r="H24" s="58"/>
      <c r="I24" s="23"/>
      <c r="J24" s="24" t="s">
        <v>1383</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milscm_2023_009.sny_202310_backup_merge_mml_pc_problem.free_note IS '自由文章表現';</v>
      </c>
    </row>
    <row r="25" spans="1:45" s="25" customFormat="1" ht="34.799999999999997">
      <c r="A25" s="4"/>
      <c r="B25" s="21">
        <f t="shared" si="2"/>
        <v>13</v>
      </c>
      <c r="C25" s="13" t="s">
        <v>1364</v>
      </c>
      <c r="D25" s="13" t="s">
        <v>1365</v>
      </c>
      <c r="E25" s="7"/>
      <c r="F25" s="7" t="s">
        <v>865</v>
      </c>
      <c r="G25" s="7" t="str">
        <f t="shared" si="3"/>
        <v>text</v>
      </c>
      <c r="H25" s="58"/>
      <c r="I25" s="23"/>
      <c r="J25" s="24" t="s">
        <v>1384</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milscm_2023_009.sny_202310_backup_merge_mml_pc_problem.free_expression_objective IS '客観的自由記載';</v>
      </c>
    </row>
    <row r="26" spans="1:45" s="25" customFormat="1" ht="34.799999999999997">
      <c r="A26" s="4"/>
      <c r="B26" s="21">
        <f t="shared" si="2"/>
        <v>14</v>
      </c>
      <c r="C26" s="13" t="s">
        <v>1366</v>
      </c>
      <c r="D26" s="13" t="s">
        <v>1367</v>
      </c>
      <c r="E26" s="7"/>
      <c r="F26" s="7" t="s">
        <v>865</v>
      </c>
      <c r="G26" s="7" t="str">
        <f t="shared" si="3"/>
        <v>text</v>
      </c>
      <c r="H26" s="58"/>
      <c r="I26" s="23"/>
      <c r="J26" s="24" t="s">
        <v>1385</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milscm_2023_009.sny_202310_backup_merge_mml_pc_problem.test_result IS '検査結果';</v>
      </c>
    </row>
    <row r="27" spans="1:45" s="25" customFormat="1" ht="34.799999999999997">
      <c r="A27" s="4"/>
      <c r="B27" s="21">
        <f t="shared" si="2"/>
        <v>15</v>
      </c>
      <c r="C27" s="13" t="s">
        <v>1368</v>
      </c>
      <c r="D27" s="13" t="s">
        <v>1369</v>
      </c>
      <c r="E27" s="7"/>
      <c r="F27" s="7" t="s">
        <v>865</v>
      </c>
      <c r="G27" s="7" t="str">
        <f t="shared" si="3"/>
        <v>text</v>
      </c>
      <c r="H27" s="58"/>
      <c r="I27" s="23"/>
      <c r="J27" s="24" t="s">
        <v>1386</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milscm_2023_009.sny_202310_backup_merge_mml_pc_problem.shohou_jisshi_kiroku IS '処方実施記録';</v>
      </c>
    </row>
    <row r="28" spans="1:45" s="25" customFormat="1" ht="34.799999999999997">
      <c r="A28" s="4"/>
      <c r="B28" s="21">
        <f t="shared" si="2"/>
        <v>16</v>
      </c>
      <c r="C28" s="13" t="s">
        <v>1370</v>
      </c>
      <c r="D28" s="13" t="s">
        <v>1371</v>
      </c>
      <c r="E28" s="7"/>
      <c r="F28" s="7" t="s">
        <v>865</v>
      </c>
      <c r="G28" s="7" t="str">
        <f t="shared" si="3"/>
        <v>text</v>
      </c>
      <c r="H28" s="58"/>
      <c r="I28" s="23"/>
      <c r="J28" s="24" t="s">
        <v>1387</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milscm_2023_009.sny_202310_backup_merge_mml_pc_problem.shochi_jisshi_kiroku IS '処置実施記録';</v>
      </c>
    </row>
    <row r="29" spans="1:45" s="25" customFormat="1" ht="34.799999999999997">
      <c r="A29" s="4"/>
      <c r="B29" s="21">
        <f t="shared" si="2"/>
        <v>17</v>
      </c>
      <c r="C29" s="13" t="s">
        <v>1372</v>
      </c>
      <c r="D29" s="13" t="s">
        <v>1373</v>
      </c>
      <c r="E29" s="7"/>
      <c r="F29" s="7" t="s">
        <v>865</v>
      </c>
      <c r="G29" s="7" t="str">
        <f t="shared" si="3"/>
        <v>text</v>
      </c>
      <c r="H29" s="58"/>
      <c r="I29" s="23"/>
      <c r="J29" s="24" t="s">
        <v>1388</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milscm_2023_009.sny_202310_backup_merge_mml_pc_problem.kensa_order IS '検査オーダー';</v>
      </c>
    </row>
    <row r="30" spans="1:45" s="25" customFormat="1" ht="34.799999999999997">
      <c r="A30" s="4"/>
      <c r="B30" s="21">
        <f t="shared" si="2"/>
        <v>18</v>
      </c>
      <c r="C30" s="13" t="s">
        <v>1374</v>
      </c>
      <c r="D30" s="13" t="s">
        <v>1375</v>
      </c>
      <c r="E30" s="7"/>
      <c r="F30" s="7" t="s">
        <v>865</v>
      </c>
      <c r="G30" s="7" t="str">
        <f t="shared" si="3"/>
        <v>text</v>
      </c>
      <c r="H30" s="58"/>
      <c r="I30" s="23"/>
      <c r="J30" s="24" t="s">
        <v>1389</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milscm_2023_009.sny_202310_backup_merge_mml_pc_problem.shohou_order IS '処方オーダー';</v>
      </c>
    </row>
    <row r="31" spans="1:45" s="25" customFormat="1" ht="34.799999999999997">
      <c r="A31" s="4"/>
      <c r="B31" s="21">
        <f t="shared" si="2"/>
        <v>19</v>
      </c>
      <c r="C31" s="13" t="s">
        <v>1376</v>
      </c>
      <c r="D31" s="13" t="s">
        <v>1377</v>
      </c>
      <c r="E31" s="7"/>
      <c r="F31" s="7" t="s">
        <v>865</v>
      </c>
      <c r="G31" s="7" t="str">
        <f t="shared" si="3"/>
        <v>text</v>
      </c>
      <c r="H31" s="58"/>
      <c r="I31" s="23"/>
      <c r="J31" s="24" t="s">
        <v>1390</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milscm_2023_009.sny_202310_backup_merge_mml_pc_problem.chiryo_order IS '治療処置オーダー';</v>
      </c>
    </row>
    <row r="32" spans="1:45" s="25" customFormat="1" ht="35.4" thickBot="1">
      <c r="A32" s="4"/>
      <c r="B32" s="27">
        <f>ROW()-12</f>
        <v>20</v>
      </c>
      <c r="C32" s="57" t="s">
        <v>1378</v>
      </c>
      <c r="D32" s="57" t="s">
        <v>1379</v>
      </c>
      <c r="E32" s="56"/>
      <c r="F32" s="56" t="s">
        <v>865</v>
      </c>
      <c r="G32" s="56" t="str">
        <f t="shared" si="3"/>
        <v>text</v>
      </c>
      <c r="H32" s="59"/>
      <c r="I32" s="60"/>
      <c r="J32" s="64" t="s">
        <v>1391</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ENT_01_C4-08</v>
      </c>
      <c r="E6" s="234"/>
      <c r="F6" s="234"/>
      <c r="G6" s="234"/>
      <c r="H6" s="234"/>
      <c r="I6" s="234"/>
      <c r="J6" s="235"/>
    </row>
    <row r="7" spans="1:45">
      <c r="B7" s="223" t="s">
        <v>115</v>
      </c>
      <c r="C7" s="224"/>
      <c r="D7" s="225" t="s">
        <v>1393</v>
      </c>
      <c r="E7" s="226"/>
      <c r="F7" s="226"/>
      <c r="G7" s="226"/>
      <c r="H7" s="226"/>
      <c r="I7" s="226"/>
      <c r="J7" s="227"/>
    </row>
    <row r="8" spans="1:45">
      <c r="B8" s="223" t="s">
        <v>116</v>
      </c>
      <c r="C8" s="224"/>
      <c r="D8" s="225" t="str">
        <f>エンティティ一覧!AE2&amp;"_"&amp;D5&amp;"_merge_mml_pc_physical_exam"</f>
        <v>sny_202310_backup_merge_mml_pc_physical_exam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milscm_2023_009.sny_202310_backup_merge_mml_pc_physical_exam;</v>
      </c>
      <c r="O10" s="76"/>
      <c r="P10" s="76"/>
      <c r="Q10" s="76"/>
      <c r="R10" s="76"/>
      <c r="S10" s="76"/>
      <c r="T10" s="76"/>
      <c r="AJ10" s="76" t="str">
        <f>"ALTER TABLE ONLY "&amp;エンティティ一覧!$O$2&amp;"."&amp;D$8</f>
        <v>ALTER TABLE ONLY milscm_2023_009.sny_202310_backup_merge_mml_pc_physical_exam</v>
      </c>
      <c r="AS10" s="76" t="str">
        <f>"ALTER TABLE "&amp;エンティティ一覧!$O$2&amp;"."&amp;D$8&amp;" OWNER TO pgmisgrp1;"</f>
        <v>ALTER TABLE milscm_2023_009.sny_202310_backup_merge_mml_pc_physical_exam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milscm_2023_009.sny_202310_backup_merge_mml_pc_physical_exam</v>
      </c>
      <c r="O11" s="76"/>
      <c r="P11" s="76"/>
      <c r="Q11" s="76"/>
      <c r="R11" s="76"/>
      <c r="S11" s="76"/>
      <c r="T11" s="76"/>
      <c r="AJ11" s="76" t="str">
        <f>"ADD CONSTRAINT "&amp;D$8&amp;"_pkey PRIMARY KEY"</f>
        <v>ADD CONSTRAINT sny_202310_backup_merge_mml_pc_physical_exam_pkey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milscm_2023_009.sny_202310_backup_merge_mml_pc_physical_exam IS 'バックアップ_経過記録情報モジュール_身体所見レコード';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milscm_2023_009.sny_202310_backup_merge_mml_pc_physical_exam.mil_karute_id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milscm_2023_009.sny_202310_backup_merge_mml_pc_physical_exam.facility_id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milscm_2023_009.sny_202310_backup_merge_mml_pc_physical_exam.shinryo_ymd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milscm_2023_009.sny_202310_backup_merge_mml_pc_physical_exam.data_type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milscm_2023_009.sny_202310_backup_merge_mml_pc_physical_exam.master_id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milscm_2023_009.sny_202310_backup_merge_mml_pc_physical_exam.uid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milscm_2023_009.sny_202310_backup_merge_mml_pc_physical_exam.keika_seq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milscm_2023_009.sny_202310_backup_merge_mml_pc_physical_exam.problem_seq IS 'プロブレムSEQ';</v>
      </c>
    </row>
    <row r="22" spans="1:52" s="25" customFormat="1">
      <c r="A22" s="4"/>
      <c r="B22" s="21">
        <f t="shared" si="2"/>
        <v>10</v>
      </c>
      <c r="C22" s="13" t="s">
        <v>1394</v>
      </c>
      <c r="D22" s="13" t="s">
        <v>1395</v>
      </c>
      <c r="E22" s="7" t="s">
        <v>127</v>
      </c>
      <c r="F22" s="7" t="s">
        <v>204</v>
      </c>
      <c r="G22" s="7" t="str">
        <f t="shared" si="3"/>
        <v>integer</v>
      </c>
      <c r="H22" s="58"/>
      <c r="I22" s="23" t="s">
        <v>127</v>
      </c>
      <c r="J22" s="24" t="s">
        <v>1402</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milscm_2023_009.sny_202310_backup_merge_mml_pc_physical_exam.syoken_seq IS '身体所見SEQ';</v>
      </c>
    </row>
    <row r="23" spans="1:52" s="25" customFormat="1">
      <c r="A23" s="4"/>
      <c r="B23" s="21">
        <f t="shared" si="2"/>
        <v>11</v>
      </c>
      <c r="C23" s="13" t="s">
        <v>1396</v>
      </c>
      <c r="D23" s="13" t="s">
        <v>1397</v>
      </c>
      <c r="E23" s="7"/>
      <c r="F23" s="7" t="s">
        <v>865</v>
      </c>
      <c r="G23" s="7" t="str">
        <f t="shared" si="3"/>
        <v>text</v>
      </c>
      <c r="H23" s="58"/>
      <c r="I23" s="23"/>
      <c r="J23" s="24" t="s">
        <v>1403</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milscm_2023_009.sny_202310_backup_merge_mml_pc_physical_exam.syoken_item_name IS '所見項目名';</v>
      </c>
    </row>
    <row r="24" spans="1:52" s="25" customFormat="1">
      <c r="A24" s="4"/>
      <c r="B24" s="21">
        <f t="shared" si="2"/>
        <v>12</v>
      </c>
      <c r="C24" s="13" t="s">
        <v>1398</v>
      </c>
      <c r="D24" s="13" t="s">
        <v>1399</v>
      </c>
      <c r="E24" s="7"/>
      <c r="F24" s="7" t="s">
        <v>865</v>
      </c>
      <c r="G24" s="7" t="str">
        <f t="shared" si="3"/>
        <v>text</v>
      </c>
      <c r="H24" s="58"/>
      <c r="I24" s="23"/>
      <c r="J24" s="24" t="s">
        <v>1404</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milscm_2023_009.sny_202310_backup_merge_mml_pc_physical_exam.syoken_value IS '身体所見結果';</v>
      </c>
    </row>
    <row r="25" spans="1:52" s="25" customFormat="1" ht="35.4" thickBot="1">
      <c r="A25" s="4"/>
      <c r="B25" s="27">
        <f>ROW()-12</f>
        <v>13</v>
      </c>
      <c r="C25" s="57" t="s">
        <v>1400</v>
      </c>
      <c r="D25" s="57" t="s">
        <v>1401</v>
      </c>
      <c r="E25" s="56"/>
      <c r="F25" s="56" t="s">
        <v>865</v>
      </c>
      <c r="G25" s="56" t="str">
        <f t="shared" si="3"/>
        <v>text</v>
      </c>
      <c r="H25" s="59"/>
      <c r="I25" s="60"/>
      <c r="J25" s="64" t="s">
        <v>1405</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ENT_01_C4-15</v>
      </c>
      <c r="E6" s="234"/>
      <c r="F6" s="234"/>
      <c r="G6" s="234"/>
      <c r="H6" s="234"/>
      <c r="I6" s="234"/>
      <c r="J6" s="235"/>
    </row>
    <row r="7" spans="1:45">
      <c r="B7" s="223" t="s">
        <v>115</v>
      </c>
      <c r="C7" s="224"/>
      <c r="D7" s="225" t="s">
        <v>1407</v>
      </c>
      <c r="E7" s="226"/>
      <c r="F7" s="226"/>
      <c r="G7" s="226"/>
      <c r="H7" s="226"/>
      <c r="I7" s="226"/>
      <c r="J7" s="227"/>
    </row>
    <row r="8" spans="1:45">
      <c r="B8" s="223" t="s">
        <v>116</v>
      </c>
      <c r="C8" s="224"/>
      <c r="D8" s="225" t="str">
        <f>エンティティ一覧!AE2&amp;"_"&amp;D5&amp;"_merge_mml_pc_assessment"</f>
        <v>sny_202310_backup_merge_mml_pc_assessment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milscm_2023_009.sny_202310_backup_merge_mml_pc_assessment;</v>
      </c>
      <c r="O10" s="76"/>
      <c r="P10" s="76"/>
      <c r="Q10" s="76"/>
      <c r="R10" s="76"/>
      <c r="S10" s="76"/>
      <c r="T10" s="76"/>
      <c r="AJ10" s="76" t="str">
        <f>"ALTER TABLE ONLY "&amp;エンティティ一覧!$O$2&amp;"."&amp;D$8</f>
        <v>ALTER TABLE ONLY milscm_2023_009.sny_202310_backup_merge_mml_pc_assessment</v>
      </c>
      <c r="AS10" s="76" t="str">
        <f>"ALTER TABLE "&amp;エンティティ一覧!$O$2&amp;"."&amp;D$8&amp;" OWNER TO pgmisgrp1;"</f>
        <v>ALTER TABLE milscm_2023_009.sny_202310_backup_merge_mml_pc_assessment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milscm_2023_009.sny_202310_backup_merge_mml_pc_assessment</v>
      </c>
      <c r="O11" s="76"/>
      <c r="P11" s="76"/>
      <c r="Q11" s="76"/>
      <c r="R11" s="76"/>
      <c r="S11" s="76"/>
      <c r="T11" s="76"/>
      <c r="AJ11" s="76" t="str">
        <f>"ADD CONSTRAINT "&amp;D$8&amp;"_pkey PRIMARY KEY"</f>
        <v>ADD CONSTRAINT sny_202310_backup_merge_mml_pc_assessment_pkey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milscm_2023_009.sny_202310_backup_merge_mml_pc_assessment IS 'バックアップ_経過記録情報モジュール_アセスメントレコード';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milscm_2023_009.sny_202310_backup_merge_mml_pc_assessment.mil_karute_id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milscm_2023_009.sny_202310_backup_merge_mml_pc_assessment.facility_id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milscm_2023_009.sny_202310_backup_merge_mml_pc_assessment.shinryo_ymd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milscm_2023_009.sny_202310_backup_merge_mml_pc_assessment.data_type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milscm_2023_009.sny_202310_backup_merge_mml_pc_assessment.master_id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milscm_2023_009.sny_202310_backup_merge_mml_pc_assessment.uid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milscm_2023_009.sny_202310_backup_merge_mml_pc_assessment.keika_seq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milscm_2023_009.sny_202310_backup_merge_mml_pc_assessment.problem_seq IS 'プロブレムSEQ';</v>
      </c>
    </row>
    <row r="22" spans="1:52" s="25" customFormat="1">
      <c r="A22" s="4"/>
      <c r="B22" s="21">
        <f t="shared" si="2"/>
        <v>10</v>
      </c>
      <c r="C22" s="13" t="s">
        <v>1408</v>
      </c>
      <c r="D22" s="13" t="s">
        <v>1409</v>
      </c>
      <c r="E22" s="7" t="s">
        <v>127</v>
      </c>
      <c r="F22" s="7" t="s">
        <v>204</v>
      </c>
      <c r="G22" s="7" t="str">
        <f t="shared" si="3"/>
        <v>integer</v>
      </c>
      <c r="H22" s="58"/>
      <c r="I22" s="23" t="s">
        <v>127</v>
      </c>
      <c r="J22" s="24" t="s">
        <v>1412</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milscm_2023_009.sny_202310_backup_merge_mml_pc_assessment.assessment_item_seq IS 'アセスメントSEQ';</v>
      </c>
    </row>
    <row r="23" spans="1:52" s="25" customFormat="1" ht="35.4" thickBot="1">
      <c r="A23" s="4"/>
      <c r="B23" s="27">
        <f>ROW()-12</f>
        <v>11</v>
      </c>
      <c r="C23" s="57" t="s">
        <v>1410</v>
      </c>
      <c r="D23" s="57" t="s">
        <v>1411</v>
      </c>
      <c r="E23" s="56"/>
      <c r="F23" s="56" t="s">
        <v>865</v>
      </c>
      <c r="G23" s="56" t="str">
        <f t="shared" si="3"/>
        <v>text</v>
      </c>
      <c r="H23" s="59"/>
      <c r="I23" s="60"/>
      <c r="J23" s="64" t="s">
        <v>1413</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ENT_01_C4-22</v>
      </c>
      <c r="E6" s="234"/>
      <c r="F6" s="234"/>
      <c r="G6" s="234"/>
      <c r="H6" s="234"/>
      <c r="I6" s="234"/>
      <c r="J6" s="235"/>
    </row>
    <row r="7" spans="1:45">
      <c r="B7" s="223" t="s">
        <v>115</v>
      </c>
      <c r="C7" s="224"/>
      <c r="D7" s="225" t="s">
        <v>1415</v>
      </c>
      <c r="E7" s="226"/>
      <c r="F7" s="226"/>
      <c r="G7" s="226"/>
      <c r="H7" s="226"/>
      <c r="I7" s="226"/>
      <c r="J7" s="227"/>
    </row>
    <row r="8" spans="1:45">
      <c r="B8" s="223" t="s">
        <v>116</v>
      </c>
      <c r="C8" s="224"/>
      <c r="D8" s="225" t="str">
        <f>エンティティ一覧!AE2&amp;"_"&amp;D5&amp;"_merge_mml_pc_external_reference"</f>
        <v>sny_202310_backup_merge_mml_pc_external_reference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milscm_2023_009.sny_202310_backup_merge_mml_pc_external_reference;</v>
      </c>
      <c r="O10" s="76"/>
      <c r="P10" s="76"/>
      <c r="Q10" s="76"/>
      <c r="R10" s="76"/>
      <c r="S10" s="76"/>
      <c r="T10" s="76"/>
      <c r="AJ10" s="76" t="str">
        <f>"ALTER TABLE ONLY "&amp;エンティティ一覧!$O$2&amp;"."&amp;D$8</f>
        <v>ALTER TABLE ONLY milscm_2023_009.sny_202310_backup_merge_mml_pc_external_reference</v>
      </c>
      <c r="AS10" s="76" t="str">
        <f>"ALTER TABLE "&amp;エンティティ一覧!$O$2&amp;"."&amp;D$8&amp;" OWNER TO pgmisgrp1;"</f>
        <v>ALTER TABLE milscm_2023_009.sny_202310_backup_merge_mml_pc_external_reference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milscm_2023_009.sny_202310_backup_merge_mml_pc_external_reference</v>
      </c>
      <c r="O11" s="76"/>
      <c r="P11" s="76"/>
      <c r="Q11" s="76"/>
      <c r="R11" s="76"/>
      <c r="S11" s="76"/>
      <c r="T11" s="76"/>
      <c r="AJ11" s="76" t="str">
        <f>"ADD CONSTRAINT "&amp;D$8&amp;"_pkey PRIMARY KEY"</f>
        <v>ADD CONSTRAINT sny_202310_backup_merge_mml_pc_external_reference_pkey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milscm_2023_009.sny_202310_backup_merge_mml_pc_external_reference IS 'バックアップ_経過記録情報モジュール_外部参照レコード';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1286</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milscm_2023_009.sny_202310_backup_merge_mml_pc_external_reference.mil_karute_id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milscm_2023_009.sny_202310_backup_merge_mml_pc_external_reference.facility_id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milscm_2023_009.sny_202310_backup_merge_mml_pc_external_reference.shinryo_ymd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milscm_2023_009.sny_202310_backup_merge_mml_pc_external_reference.data_type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milscm_2023_009.sny_202310_backup_merge_mml_pc_external_reference.master_id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milscm_2023_009.sny_202310_backup_merge_mml_pc_external_reference.uid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milscm_2023_009.sny_202310_backup_merge_mml_pc_external_reference.keika_seq IS '経過記録SEQ';</v>
      </c>
    </row>
    <row r="21" spans="1:52" s="25" customFormat="1" ht="174">
      <c r="A21" s="4"/>
      <c r="B21" s="21">
        <f t="shared" si="2"/>
        <v>9</v>
      </c>
      <c r="C21" s="13" t="s">
        <v>1416</v>
      </c>
      <c r="D21" s="13" t="s">
        <v>1417</v>
      </c>
      <c r="E21" s="7" t="s">
        <v>127</v>
      </c>
      <c r="F21" s="7" t="s">
        <v>865</v>
      </c>
      <c r="G21" s="7" t="str">
        <f t="shared" si="3"/>
        <v>text</v>
      </c>
      <c r="H21" s="58"/>
      <c r="I21" s="23" t="s">
        <v>127</v>
      </c>
      <c r="J21" s="24" t="s">
        <v>1430</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milscm_2023_009.sny_202310_backup_merge_mml_pc_external_reference.gaibu_sansyo_moto IS '外部参照元';</v>
      </c>
    </row>
    <row r="22" spans="1:52" s="25" customFormat="1">
      <c r="A22" s="4"/>
      <c r="B22" s="21">
        <f t="shared" si="2"/>
        <v>10</v>
      </c>
      <c r="C22" s="13" t="s">
        <v>1418</v>
      </c>
      <c r="D22" s="13" t="s">
        <v>1419</v>
      </c>
      <c r="E22" s="7" t="s">
        <v>127</v>
      </c>
      <c r="F22" s="7" t="s">
        <v>204</v>
      </c>
      <c r="G22" s="7" t="str">
        <f t="shared" si="3"/>
        <v>integer</v>
      </c>
      <c r="H22" s="58"/>
      <c r="I22" s="23" t="s">
        <v>127</v>
      </c>
      <c r="J22" s="24" t="s">
        <v>1431</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milscm_2023_009.sny_202310_backup_merge_mml_pc_external_reference.gaibu_sansyo_seq IS '外部参照SEQ';</v>
      </c>
    </row>
    <row r="23" spans="1:52" s="25" customFormat="1">
      <c r="A23" s="4"/>
      <c r="B23" s="21">
        <f t="shared" si="2"/>
        <v>11</v>
      </c>
      <c r="C23" s="13" t="s">
        <v>1420</v>
      </c>
      <c r="D23" s="13" t="s">
        <v>1421</v>
      </c>
      <c r="E23" s="7"/>
      <c r="F23" s="7" t="s">
        <v>865</v>
      </c>
      <c r="G23" s="7" t="str">
        <f t="shared" si="3"/>
        <v>text</v>
      </c>
      <c r="H23" s="58"/>
      <c r="I23" s="23"/>
      <c r="J23" s="24" t="s">
        <v>1432</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milscm_2023_009.sny_202310_backup_merge_mml_pc_external_reference.content_type IS 'コンテンツ種別';</v>
      </c>
    </row>
    <row r="24" spans="1:52" s="25" customFormat="1" ht="34.799999999999997">
      <c r="A24" s="4"/>
      <c r="B24" s="21">
        <f t="shared" si="2"/>
        <v>12</v>
      </c>
      <c r="C24" s="13" t="s">
        <v>1422</v>
      </c>
      <c r="D24" s="13" t="s">
        <v>1423</v>
      </c>
      <c r="E24" s="7"/>
      <c r="F24" s="7" t="s">
        <v>865</v>
      </c>
      <c r="G24" s="7" t="str">
        <f t="shared" si="3"/>
        <v>text</v>
      </c>
      <c r="H24" s="58"/>
      <c r="I24" s="23"/>
      <c r="J24" s="24" t="s">
        <v>1433</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milscm_2023_009.sny_202310_backup_merge_mml_pc_external_reference.igaku_role IS '医学的役割';</v>
      </c>
    </row>
    <row r="25" spans="1:52" s="25" customFormat="1">
      <c r="A25" s="4"/>
      <c r="B25" s="21">
        <f t="shared" si="2"/>
        <v>13</v>
      </c>
      <c r="C25" s="13" t="s">
        <v>1424</v>
      </c>
      <c r="D25" s="13" t="s">
        <v>1425</v>
      </c>
      <c r="E25" s="7"/>
      <c r="F25" s="7" t="s">
        <v>865</v>
      </c>
      <c r="G25" s="7" t="str">
        <f t="shared" si="3"/>
        <v>text</v>
      </c>
      <c r="H25" s="58"/>
      <c r="I25" s="23"/>
      <c r="J25" s="24" t="s">
        <v>1434</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milscm_2023_009.sny_202310_backup_merge_mml_pc_external_reference.gaibu_sansyo_file_name IS '外部参照ファイル名';</v>
      </c>
    </row>
    <row r="26" spans="1:52" s="25" customFormat="1">
      <c r="A26" s="4"/>
      <c r="B26" s="21">
        <f t="shared" si="2"/>
        <v>14</v>
      </c>
      <c r="C26" s="13" t="s">
        <v>1426</v>
      </c>
      <c r="D26" s="13" t="s">
        <v>1427</v>
      </c>
      <c r="E26" s="7"/>
      <c r="F26" s="7" t="s">
        <v>865</v>
      </c>
      <c r="G26" s="7" t="str">
        <f t="shared" si="3"/>
        <v>text</v>
      </c>
      <c r="H26" s="58"/>
      <c r="I26" s="23"/>
      <c r="J26" s="24" t="s">
        <v>1435</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milscm_2023_009.sny_202310_backup_merge_mml_pc_external_reference.gaibu_sansyo_saki IS '外部参照先';</v>
      </c>
    </row>
    <row r="27" spans="1:52" s="25" customFormat="1" ht="18" thickBot="1">
      <c r="A27" s="4"/>
      <c r="B27" s="27">
        <f>ROW()-12</f>
        <v>15</v>
      </c>
      <c r="C27" s="57" t="s">
        <v>1428</v>
      </c>
      <c r="D27" s="57" t="s">
        <v>1429</v>
      </c>
      <c r="E27" s="56"/>
      <c r="F27" s="56" t="s">
        <v>865</v>
      </c>
      <c r="G27" s="56" t="str">
        <f t="shared" si="3"/>
        <v>text</v>
      </c>
      <c r="H27" s="59"/>
      <c r="I27" s="60"/>
      <c r="J27" s="64" t="s">
        <v>1436</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ENT_01_C4-23</v>
      </c>
      <c r="E6" s="234"/>
      <c r="F6" s="234"/>
      <c r="G6" s="234"/>
      <c r="H6" s="234"/>
      <c r="I6" s="234"/>
      <c r="J6" s="235"/>
    </row>
    <row r="7" spans="1:45">
      <c r="B7" s="223" t="s">
        <v>115</v>
      </c>
      <c r="C7" s="224"/>
      <c r="D7" s="225" t="s">
        <v>1438</v>
      </c>
      <c r="E7" s="226"/>
      <c r="F7" s="226"/>
      <c r="G7" s="226"/>
      <c r="H7" s="226"/>
      <c r="I7" s="226"/>
      <c r="J7" s="227"/>
    </row>
    <row r="8" spans="1:45">
      <c r="B8" s="223" t="s">
        <v>116</v>
      </c>
      <c r="C8" s="224"/>
      <c r="D8" s="225" t="str">
        <f>エンティティ一覧!AE2&amp;"_"&amp;D5&amp;"_merge_mml_sm_summary"</f>
        <v>sny_202310_backup_merge_mml_sm_summary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milscm_2023_009.sny_202310_backup_merge_mml_sm_summary;</v>
      </c>
      <c r="O10" s="76"/>
      <c r="P10" s="76"/>
      <c r="Q10" s="76"/>
      <c r="R10" s="76"/>
      <c r="S10" s="76"/>
      <c r="T10" s="76"/>
      <c r="AJ10" s="76" t="str">
        <f>"ALTER TABLE ONLY "&amp;エンティティ一覧!$O$2&amp;"."&amp;D$8</f>
        <v>ALTER TABLE ONLY milscm_2023_009.sny_202310_backup_merge_mml_sm_summary</v>
      </c>
      <c r="AS10" s="76" t="str">
        <f>"ALTER TABLE "&amp;エンティティ一覧!$O$2&amp;"."&amp;D$8&amp;" OWNER TO pgmisgrp1;"</f>
        <v>ALTER TABLE milscm_2023_009.sny_202310_backup_merge_mml_sm_summary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milscm_2023_009.sny_202310_backup_merge_mml_sm_summary</v>
      </c>
      <c r="O11" s="76"/>
      <c r="P11" s="76"/>
      <c r="Q11" s="76"/>
      <c r="R11" s="76"/>
      <c r="S11" s="76"/>
      <c r="T11" s="76"/>
      <c r="AJ11" s="76" t="str">
        <f>"ADD CONSTRAINT "&amp;D$8&amp;"_pkey PRIMARY KEY"</f>
        <v>ADD CONSTRAINT sny_202310_backup_merge_mml_sm_summary_pkey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milscm_2023_009.sny_202310_backup_merge_mml_sm_summary IS 'バックアップ_臨床サマリーモジュール_臨床サマリー情報レコード';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milscm_2023_009.sny_202310_backup_merge_mml_sm_summary.mil_karute_id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milscm_2023_009.sny_202310_backup_merge_mml_sm_summary.facility_id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milscm_2023_009.sny_202310_backup_merge_mml_sm_summary.shinryo_ymd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milscm_2023_009.sny_202310_backup_merge_mml_sm_summary.data_type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milscm_2023_009.sny_202310_backup_merge_mml_sm_summary.master_id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milscm_2023_009.sny_202310_backup_merge_mml_sm_summary.uid IS '文書ユニークID';</v>
      </c>
    </row>
    <row r="20" spans="1:45"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milscm_2023_009.sny_202310_backup_merge_mml_sm_summary.summary_seq IS '臨床サマリーSEQ';</v>
      </c>
    </row>
    <row r="21" spans="1:45" s="25" customFormat="1" ht="34.799999999999997">
      <c r="A21" s="4"/>
      <c r="B21" s="21">
        <f t="shared" si="2"/>
        <v>9</v>
      </c>
      <c r="C21" s="13" t="s">
        <v>1441</v>
      </c>
      <c r="D21" s="13" t="s">
        <v>1442</v>
      </c>
      <c r="E21" s="7"/>
      <c r="F21" s="7" t="s">
        <v>865</v>
      </c>
      <c r="G21" s="7" t="str">
        <f t="shared" si="3"/>
        <v>text</v>
      </c>
      <c r="H21" s="58"/>
      <c r="I21" s="23"/>
      <c r="J21" s="24" t="s">
        <v>1466</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milscm_2023_009.sny_202310_backup_merge_mml_sm_summary.history_start_ymd IS 'サマリー対象期間の開始日';</v>
      </c>
    </row>
    <row r="22" spans="1:45" s="25" customFormat="1" ht="34.799999999999997">
      <c r="A22" s="4"/>
      <c r="B22" s="21">
        <f t="shared" si="2"/>
        <v>10</v>
      </c>
      <c r="C22" s="13" t="s">
        <v>1443</v>
      </c>
      <c r="D22" s="13" t="s">
        <v>1444</v>
      </c>
      <c r="E22" s="7"/>
      <c r="F22" s="7" t="s">
        <v>865</v>
      </c>
      <c r="G22" s="7" t="str">
        <f t="shared" si="3"/>
        <v>text</v>
      </c>
      <c r="H22" s="58"/>
      <c r="I22" s="23"/>
      <c r="J22" s="24" t="s">
        <v>1467</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milscm_2023_009.sny_202310_backup_merge_mml_sm_summary.history_end_ymd IS 'サマリー対象期間の終了日';</v>
      </c>
    </row>
    <row r="23" spans="1:45" s="25" customFormat="1">
      <c r="A23" s="4"/>
      <c r="B23" s="21">
        <f t="shared" si="2"/>
        <v>11</v>
      </c>
      <c r="C23" s="13" t="s">
        <v>1445</v>
      </c>
      <c r="D23" s="13" t="s">
        <v>1446</v>
      </c>
      <c r="E23" s="7"/>
      <c r="F23" s="7" t="s">
        <v>865</v>
      </c>
      <c r="G23" s="7" t="str">
        <f t="shared" si="3"/>
        <v>text</v>
      </c>
      <c r="H23" s="58"/>
      <c r="I23" s="23"/>
      <c r="J23" s="24" t="s">
        <v>1468</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milscm_2023_009.sny_202310_backup_merge_mml_sm_summary.death_info IS '死亡関連情報';</v>
      </c>
    </row>
    <row r="24" spans="1:45" s="25" customFormat="1" ht="34.799999999999997">
      <c r="A24" s="4"/>
      <c r="B24" s="21">
        <f t="shared" si="2"/>
        <v>12</v>
      </c>
      <c r="C24" s="13" t="s">
        <v>1284</v>
      </c>
      <c r="D24" s="13" t="s">
        <v>1285</v>
      </c>
      <c r="E24" s="7"/>
      <c r="F24" s="7" t="s">
        <v>865</v>
      </c>
      <c r="G24" s="7" t="str">
        <f t="shared" si="3"/>
        <v>text</v>
      </c>
      <c r="H24" s="58"/>
      <c r="I24" s="23"/>
      <c r="J24" s="24" t="s">
        <v>1469</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milscm_2023_009.sny_202310_backup_merge_mml_sm_summary.death_date IS '死亡日時';</v>
      </c>
    </row>
    <row r="25" spans="1:45" s="25" customFormat="1" ht="34.799999999999997">
      <c r="A25" s="4"/>
      <c r="B25" s="21">
        <f t="shared" si="2"/>
        <v>13</v>
      </c>
      <c r="C25" s="13" t="s">
        <v>1447</v>
      </c>
      <c r="D25" s="13" t="s">
        <v>1448</v>
      </c>
      <c r="E25" s="7"/>
      <c r="F25" s="7" t="s">
        <v>865</v>
      </c>
      <c r="G25" s="7" t="str">
        <f t="shared" si="3"/>
        <v>text</v>
      </c>
      <c r="H25" s="58"/>
      <c r="I25" s="23"/>
      <c r="J25" s="24" t="s">
        <v>1470</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milscm_2023_009.sny_202310_backup_merge_mml_sm_summary.death_autopsy_flag IS '剖検の有無';</v>
      </c>
    </row>
    <row r="26" spans="1:45" s="25" customFormat="1" ht="34.799999999999997">
      <c r="A26" s="4"/>
      <c r="B26" s="21">
        <f t="shared" si="2"/>
        <v>14</v>
      </c>
      <c r="C26" s="13" t="s">
        <v>1449</v>
      </c>
      <c r="D26" s="13" t="s">
        <v>1450</v>
      </c>
      <c r="E26" s="7"/>
      <c r="F26" s="7" t="s">
        <v>865</v>
      </c>
      <c r="G26" s="7" t="str">
        <f t="shared" si="3"/>
        <v>text</v>
      </c>
      <c r="H26" s="58"/>
      <c r="I26" s="23"/>
      <c r="J26" s="24" t="s">
        <v>1471</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milscm_2023_009.sny_202310_backup_merge_mml_sm_summary.chief_complaints IS '主訴';</v>
      </c>
    </row>
    <row r="27" spans="1:45" s="25" customFormat="1" ht="34.799999999999997">
      <c r="A27" s="4"/>
      <c r="B27" s="21">
        <f t="shared" si="2"/>
        <v>15</v>
      </c>
      <c r="C27" s="13" t="s">
        <v>1451</v>
      </c>
      <c r="D27" s="13" t="s">
        <v>1452</v>
      </c>
      <c r="E27" s="7"/>
      <c r="F27" s="7" t="s">
        <v>865</v>
      </c>
      <c r="G27" s="7" t="str">
        <f t="shared" si="3"/>
        <v>text</v>
      </c>
      <c r="H27" s="58"/>
      <c r="I27" s="23"/>
      <c r="J27" s="24" t="s">
        <v>1472</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milscm_2023_009.sny_202310_backup_merge_mml_sm_summary.patient_profile IS '患者プロフィール';</v>
      </c>
    </row>
    <row r="28" spans="1:45" s="25" customFormat="1" ht="34.799999999999997">
      <c r="A28" s="4"/>
      <c r="B28" s="21">
        <f t="shared" si="2"/>
        <v>16</v>
      </c>
      <c r="C28" s="13" t="s">
        <v>1453</v>
      </c>
      <c r="D28" s="13" t="s">
        <v>1454</v>
      </c>
      <c r="E28" s="7"/>
      <c r="F28" s="7" t="s">
        <v>865</v>
      </c>
      <c r="G28" s="7" t="str">
        <f t="shared" si="3"/>
        <v>text</v>
      </c>
      <c r="H28" s="58"/>
      <c r="I28" s="23"/>
      <c r="J28" s="24" t="s">
        <v>1473</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milscm_2023_009.sny_202310_backup_merge_mml_sm_summary.nyuin_history IS '入院までの経過';</v>
      </c>
    </row>
    <row r="29" spans="1:45" s="25" customFormat="1" ht="34.799999999999997">
      <c r="A29" s="4"/>
      <c r="B29" s="21">
        <f t="shared" si="2"/>
        <v>17</v>
      </c>
      <c r="C29" s="13" t="s">
        <v>1455</v>
      </c>
      <c r="D29" s="13" t="s">
        <v>1456</v>
      </c>
      <c r="E29" s="7"/>
      <c r="F29" s="7" t="s">
        <v>865</v>
      </c>
      <c r="G29" s="7" t="str">
        <f t="shared" si="3"/>
        <v>text</v>
      </c>
      <c r="H29" s="58"/>
      <c r="I29" s="23"/>
      <c r="J29" s="24" t="s">
        <v>1474</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milscm_2023_009.sny_202310_backup_merge_mml_sm_summary.nyuin_physical_exam IS '入院時理学所見';</v>
      </c>
    </row>
    <row r="30" spans="1:45" s="25" customFormat="1" ht="34.799999999999997">
      <c r="A30" s="4"/>
      <c r="B30" s="21">
        <f t="shared" si="2"/>
        <v>18</v>
      </c>
      <c r="C30" s="13" t="s">
        <v>1457</v>
      </c>
      <c r="D30" s="13" t="s">
        <v>1458</v>
      </c>
      <c r="E30" s="7"/>
      <c r="F30" s="7" t="s">
        <v>865</v>
      </c>
      <c r="G30" s="7" t="str">
        <f t="shared" si="3"/>
        <v>text</v>
      </c>
      <c r="H30" s="58"/>
      <c r="I30" s="23"/>
      <c r="J30" s="24" t="s">
        <v>1475</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milscm_2023_009.sny_202310_backup_merge_mml_sm_summary.taiin_findings IS '退院時所見';</v>
      </c>
    </row>
    <row r="31" spans="1:45" s="25" customFormat="1" ht="34.799999999999997">
      <c r="A31" s="4"/>
      <c r="B31" s="21">
        <f t="shared" si="2"/>
        <v>19</v>
      </c>
      <c r="C31" s="13" t="s">
        <v>1459</v>
      </c>
      <c r="D31" s="13" t="s">
        <v>1460</v>
      </c>
      <c r="E31" s="7"/>
      <c r="F31" s="7" t="s">
        <v>865</v>
      </c>
      <c r="G31" s="7" t="str">
        <f t="shared" si="3"/>
        <v>text</v>
      </c>
      <c r="H31" s="58"/>
      <c r="I31" s="23"/>
      <c r="J31" s="24" t="s">
        <v>1476</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milscm_2023_009.sny_202310_backup_merge_mml_sm_summary.taiin_medication IS '退院時処方';</v>
      </c>
    </row>
    <row r="32" spans="1:45" s="25" customFormat="1" ht="34.799999999999997">
      <c r="A32" s="4"/>
      <c r="B32" s="21">
        <f t="shared" si="2"/>
        <v>20</v>
      </c>
      <c r="C32" s="13" t="s">
        <v>1461</v>
      </c>
      <c r="D32" s="13" t="s">
        <v>1462</v>
      </c>
      <c r="E32" s="7"/>
      <c r="F32" s="7" t="s">
        <v>865</v>
      </c>
      <c r="G32" s="7" t="str">
        <f t="shared" si="3"/>
        <v>text</v>
      </c>
      <c r="H32" s="58"/>
      <c r="I32" s="23"/>
      <c r="J32" s="24" t="s">
        <v>1477</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milscm_2023_009.sny_202310_backup_merge_mml_sm_summary.taiin_chiryo_plan IS '退院後治療方針';</v>
      </c>
    </row>
    <row r="33" spans="1:52" s="25" customFormat="1" ht="35.4" thickBot="1">
      <c r="A33" s="4"/>
      <c r="B33" s="27">
        <f>ROW()-12</f>
        <v>21</v>
      </c>
      <c r="C33" s="57" t="s">
        <v>1463</v>
      </c>
      <c r="D33" s="57" t="s">
        <v>1464</v>
      </c>
      <c r="E33" s="56"/>
      <c r="F33" s="56" t="s">
        <v>865</v>
      </c>
      <c r="G33" s="56" t="str">
        <f t="shared" si="3"/>
        <v>text</v>
      </c>
      <c r="H33" s="59"/>
      <c r="I33" s="60"/>
      <c r="J33" s="64" t="s">
        <v>1478</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ENT_01_C4-24</v>
      </c>
      <c r="E6" s="234"/>
      <c r="F6" s="234"/>
      <c r="G6" s="234"/>
      <c r="H6" s="234"/>
      <c r="I6" s="234"/>
      <c r="J6" s="235"/>
    </row>
    <row r="7" spans="1:45">
      <c r="B7" s="223" t="s">
        <v>115</v>
      </c>
      <c r="C7" s="224"/>
      <c r="D7" s="225" t="s">
        <v>1480</v>
      </c>
      <c r="E7" s="226"/>
      <c r="F7" s="226"/>
      <c r="G7" s="226"/>
      <c r="H7" s="226"/>
      <c r="I7" s="226"/>
      <c r="J7" s="227"/>
    </row>
    <row r="8" spans="1:45">
      <c r="B8" s="223" t="s">
        <v>116</v>
      </c>
      <c r="C8" s="224"/>
      <c r="D8" s="225" t="str">
        <f>エンティティ一覧!AE2&amp;"_"&amp;D5&amp;"_merge_mml_sm_out_patient"</f>
        <v>sny_202310_backup_merge_mml_sm_out_patient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milscm_2023_009.sny_202310_backup_merge_mml_sm_out_patient;</v>
      </c>
      <c r="O10" s="76"/>
      <c r="P10" s="76"/>
      <c r="Q10" s="76"/>
      <c r="R10" s="76"/>
      <c r="S10" s="76"/>
      <c r="T10" s="76"/>
      <c r="AJ10" s="76" t="str">
        <f>"ALTER TABLE ONLY "&amp;エンティティ一覧!$O$2&amp;"."&amp;D$8</f>
        <v>ALTER TABLE ONLY milscm_2023_009.sny_202310_backup_merge_mml_sm_out_patient</v>
      </c>
      <c r="AS10" s="76" t="str">
        <f>"ALTER TABLE "&amp;エンティティ一覧!$O$2&amp;"."&amp;D$8&amp;" OWNER TO pgmisgrp1;"</f>
        <v>ALTER TABLE milscm_2023_009.sny_202310_backup_merge_mml_sm_out_patient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milscm_2023_009.sny_202310_backup_merge_mml_sm_out_patient</v>
      </c>
      <c r="O11" s="76"/>
      <c r="P11" s="76"/>
      <c r="Q11" s="76"/>
      <c r="R11" s="76"/>
      <c r="S11" s="76"/>
      <c r="T11" s="76"/>
      <c r="AJ11" s="76" t="str">
        <f>"ADD CONSTRAINT "&amp;D$8&amp;"_pkey PRIMARY KEY"</f>
        <v>ADD CONSTRAINT sny_202310_backup_merge_mml_sm_out_patient_pkey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milscm_2023_009.sny_202310_backup_merge_mml_sm_out_patient IS 'バックアップ_臨床サマリーモジュール_外来受診レコード';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milscm_2023_009.sny_202310_backup_merge_mml_sm_out_patient.mil_karute_id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milscm_2023_009.sny_202310_backup_merge_mml_sm_out_patient.facility_id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milscm_2023_009.sny_202310_backup_merge_mml_sm_out_patient.shinryo_ymd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milscm_2023_009.sny_202310_backup_merge_mml_sm_out_patient.data_type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milscm_2023_009.sny_202310_backup_merge_mml_sm_out_patient.master_id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milscm_2023_009.sny_202310_backup_merge_mml_sm_out_patient.uid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milscm_2023_009.sny_202310_backup_merge_mml_sm_out_patient.summary_seq IS '臨床サマリーSEQ';</v>
      </c>
    </row>
    <row r="21" spans="1:52" s="25" customFormat="1">
      <c r="A21" s="4"/>
      <c r="B21" s="21">
        <f t="shared" si="2"/>
        <v>9</v>
      </c>
      <c r="C21" s="13" t="s">
        <v>1481</v>
      </c>
      <c r="D21" s="13" t="s">
        <v>1482</v>
      </c>
      <c r="E21" s="7" t="s">
        <v>127</v>
      </c>
      <c r="F21" s="7" t="s">
        <v>204</v>
      </c>
      <c r="G21" s="7" t="str">
        <f t="shared" si="3"/>
        <v>integer</v>
      </c>
      <c r="H21" s="58"/>
      <c r="I21" s="23" t="s">
        <v>127</v>
      </c>
      <c r="J21" s="24" t="s">
        <v>1491</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milscm_2023_009.sny_202310_backup_merge_mml_sm_out_patient.gairai_seq IS '個々の外来受診歴SEQ';</v>
      </c>
    </row>
    <row r="22" spans="1:52" s="25" customFormat="1" ht="34.799999999999997">
      <c r="A22" s="4"/>
      <c r="B22" s="21">
        <f t="shared" si="2"/>
        <v>10</v>
      </c>
      <c r="C22" s="13" t="s">
        <v>1483</v>
      </c>
      <c r="D22" s="13" t="s">
        <v>1484</v>
      </c>
      <c r="E22" s="7"/>
      <c r="F22" s="7" t="s">
        <v>865</v>
      </c>
      <c r="G22" s="7" t="str">
        <f t="shared" si="3"/>
        <v>text</v>
      </c>
      <c r="H22" s="58"/>
      <c r="I22" s="23"/>
      <c r="J22" s="24" t="s">
        <v>1492</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milscm_2023_009.sny_202310_backup_merge_mml_sm_out_patient.gairai_ymd IS '外来受診年月日';</v>
      </c>
    </row>
    <row r="23" spans="1:52" s="25" customFormat="1">
      <c r="A23" s="4"/>
      <c r="B23" s="21">
        <f t="shared" si="2"/>
        <v>11</v>
      </c>
      <c r="C23" s="13" t="s">
        <v>1485</v>
      </c>
      <c r="D23" s="13" t="s">
        <v>1486</v>
      </c>
      <c r="E23" s="7"/>
      <c r="F23" s="7" t="s">
        <v>865</v>
      </c>
      <c r="G23" s="7" t="str">
        <f t="shared" si="3"/>
        <v>text</v>
      </c>
      <c r="H23" s="58"/>
      <c r="I23" s="23"/>
      <c r="J23" s="24" t="s">
        <v>1493</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milscm_2023_009.sny_202310_backup_merge_mml_sm_out_patient.gairai_state IS '外来受診状態';</v>
      </c>
    </row>
    <row r="24" spans="1:52" s="25" customFormat="1" ht="52.2">
      <c r="A24" s="4"/>
      <c r="B24" s="21">
        <f t="shared" si="2"/>
        <v>12</v>
      </c>
      <c r="C24" s="13" t="s">
        <v>1487</v>
      </c>
      <c r="D24" s="13" t="s">
        <v>1488</v>
      </c>
      <c r="E24" s="7"/>
      <c r="F24" s="7" t="s">
        <v>865</v>
      </c>
      <c r="G24" s="7" t="str">
        <f t="shared" si="3"/>
        <v>text</v>
      </c>
      <c r="H24" s="58"/>
      <c r="I24" s="23"/>
      <c r="J24" s="24" t="s">
        <v>1494</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milscm_2023_009.sny_202310_backup_merge_mml_sm_out_patient.first_flag IS '初診フラグ';</v>
      </c>
    </row>
    <row r="25" spans="1:52" s="25" customFormat="1" ht="52.8" thickBot="1">
      <c r="A25" s="4"/>
      <c r="B25" s="27">
        <f>ROW()-12</f>
        <v>13</v>
      </c>
      <c r="C25" s="57" t="s">
        <v>1489</v>
      </c>
      <c r="D25" s="57" t="s">
        <v>1490</v>
      </c>
      <c r="E25" s="56"/>
      <c r="F25" s="56" t="s">
        <v>865</v>
      </c>
      <c r="G25" s="56" t="str">
        <f t="shared" si="3"/>
        <v>text</v>
      </c>
      <c r="H25" s="59"/>
      <c r="I25" s="60"/>
      <c r="J25" s="64" t="s">
        <v>1495</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ENT_01_C4-25</v>
      </c>
      <c r="E6" s="234"/>
      <c r="F6" s="234"/>
      <c r="G6" s="234"/>
      <c r="H6" s="234"/>
      <c r="I6" s="234"/>
      <c r="J6" s="235"/>
    </row>
    <row r="7" spans="1:45">
      <c r="B7" s="223" t="s">
        <v>115</v>
      </c>
      <c r="C7" s="224"/>
      <c r="D7" s="225" t="s">
        <v>1497</v>
      </c>
      <c r="E7" s="226"/>
      <c r="F7" s="226"/>
      <c r="G7" s="226"/>
      <c r="H7" s="226"/>
      <c r="I7" s="226"/>
      <c r="J7" s="227"/>
    </row>
    <row r="8" spans="1:45">
      <c r="B8" s="223" t="s">
        <v>116</v>
      </c>
      <c r="C8" s="224"/>
      <c r="D8" s="225" t="str">
        <f>エンティティ一覧!AE2&amp;"_"&amp;D5&amp;"_merge_mml_sm_in_patient"</f>
        <v>sny_202310_backup_merge_mml_sm_in_patient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milscm_2023_009.sny_202310_backup_merge_mml_sm_in_patient;</v>
      </c>
      <c r="O10" s="76"/>
      <c r="P10" s="76"/>
      <c r="Q10" s="76"/>
      <c r="R10" s="76"/>
      <c r="S10" s="76"/>
      <c r="T10" s="76"/>
      <c r="AJ10" s="76" t="str">
        <f>"ALTER TABLE ONLY "&amp;エンティティ一覧!$O$2&amp;"."&amp;D$8</f>
        <v>ALTER TABLE ONLY milscm_2023_009.sny_202310_backup_merge_mml_sm_in_patient</v>
      </c>
      <c r="AS10" s="76" t="str">
        <f>"ALTER TABLE "&amp;エンティティ一覧!$O$2&amp;"."&amp;D$8&amp;" OWNER TO pgmisgrp1;"</f>
        <v>ALTER TABLE milscm_2023_009.sny_202310_backup_merge_mml_sm_in_patient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milscm_2023_009.sny_202310_backup_merge_mml_sm_in_patient</v>
      </c>
      <c r="O11" s="76"/>
      <c r="P11" s="76"/>
      <c r="Q11" s="76"/>
      <c r="R11" s="76"/>
      <c r="S11" s="76"/>
      <c r="T11" s="76"/>
      <c r="AJ11" s="76" t="str">
        <f>"ADD CONSTRAINT "&amp;D$8&amp;"_pkey PRIMARY KEY"</f>
        <v>ADD CONSTRAINT sny_202310_backup_merge_mml_sm_in_patient_pkey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milscm_2023_009.sny_202310_backup_merge_mml_sm_in_patient IS 'バックアップ_臨床サマリーモジュール_入院レコード';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milscm_2023_009.sny_202310_backup_merge_mml_sm_in_patient.mil_karute_id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milscm_2023_009.sny_202310_backup_merge_mml_sm_in_patient.facility_id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milscm_2023_009.sny_202310_backup_merge_mml_sm_in_patient.shinryo_ymd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milscm_2023_009.sny_202310_backup_merge_mml_sm_in_patient.data_type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milscm_2023_009.sny_202310_backup_merge_mml_sm_in_patient.master_id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milscm_2023_009.sny_202310_backup_merge_mml_sm_in_patient.uid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milscm_2023_009.sny_202310_backup_merge_mml_sm_in_patient.summary_seq IS '臨床サマリーSEQ';</v>
      </c>
    </row>
    <row r="21" spans="1:52" s="25" customFormat="1">
      <c r="A21" s="4"/>
      <c r="B21" s="21">
        <f t="shared" si="2"/>
        <v>9</v>
      </c>
      <c r="C21" s="13" t="s">
        <v>1498</v>
      </c>
      <c r="D21" s="13" t="s">
        <v>1499</v>
      </c>
      <c r="E21" s="7" t="s">
        <v>127</v>
      </c>
      <c r="F21" s="7" t="s">
        <v>204</v>
      </c>
      <c r="G21" s="7" t="str">
        <f t="shared" si="3"/>
        <v>integer</v>
      </c>
      <c r="H21" s="58"/>
      <c r="I21" s="23" t="s">
        <v>127</v>
      </c>
      <c r="J21" s="24" t="s">
        <v>1513</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milscm_2023_009.sny_202310_backup_merge_mml_sm_in_patient.nyuin_seq IS '個々の入院歴SEQ';</v>
      </c>
    </row>
    <row r="22" spans="1:52" s="25" customFormat="1" ht="34.799999999999997">
      <c r="A22" s="4"/>
      <c r="B22" s="21">
        <f t="shared" si="2"/>
        <v>10</v>
      </c>
      <c r="C22" s="13" t="s">
        <v>1500</v>
      </c>
      <c r="D22" s="13" t="s">
        <v>156</v>
      </c>
      <c r="E22" s="7"/>
      <c r="F22" s="7" t="s">
        <v>865</v>
      </c>
      <c r="G22" s="7" t="str">
        <f t="shared" si="3"/>
        <v>text</v>
      </c>
      <c r="H22" s="58"/>
      <c r="I22" s="23"/>
      <c r="J22" s="24" t="s">
        <v>1514</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milscm_2023_009.sny_202310_backup_merge_mml_sm_in_patient.nyuin_ymd IS '入院（転入）日';</v>
      </c>
    </row>
    <row r="23" spans="1:52" s="25" customFormat="1" ht="34.799999999999997">
      <c r="A23" s="4"/>
      <c r="B23" s="21">
        <f t="shared" si="2"/>
        <v>11</v>
      </c>
      <c r="C23" s="13" t="s">
        <v>1501</v>
      </c>
      <c r="D23" s="13" t="s">
        <v>1502</v>
      </c>
      <c r="E23" s="7"/>
      <c r="F23" s="7" t="s">
        <v>865</v>
      </c>
      <c r="G23" s="7" t="str">
        <f t="shared" si="3"/>
        <v>text</v>
      </c>
      <c r="H23" s="58"/>
      <c r="I23" s="23"/>
      <c r="J23" s="24" t="s">
        <v>1515</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milscm_2023_009.sny_202310_backup_merge_mml_sm_in_patient.nyuin_state IS '入院時状態';</v>
      </c>
    </row>
    <row r="24" spans="1:52" s="25" customFormat="1" ht="52.2">
      <c r="A24" s="4"/>
      <c r="B24" s="21">
        <f t="shared" si="2"/>
        <v>12</v>
      </c>
      <c r="C24" s="13" t="s">
        <v>1503</v>
      </c>
      <c r="D24" s="13" t="s">
        <v>1504</v>
      </c>
      <c r="E24" s="7"/>
      <c r="F24" s="7" t="s">
        <v>865</v>
      </c>
      <c r="G24" s="7" t="str">
        <f t="shared" si="3"/>
        <v>text</v>
      </c>
      <c r="H24" s="58"/>
      <c r="I24" s="23"/>
      <c r="J24" s="24" t="s">
        <v>1516</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milscm_2023_009.sny_202310_backup_merge_mml_sm_in_patient.emergency_nyuin_flag IS '緊急入院フラグ';</v>
      </c>
    </row>
    <row r="25" spans="1:52" s="25" customFormat="1" ht="87">
      <c r="A25" s="4"/>
      <c r="B25" s="21">
        <f t="shared" si="2"/>
        <v>13</v>
      </c>
      <c r="C25" s="13" t="s">
        <v>1505</v>
      </c>
      <c r="D25" s="13" t="s">
        <v>1506</v>
      </c>
      <c r="E25" s="7"/>
      <c r="F25" s="7" t="s">
        <v>865</v>
      </c>
      <c r="G25" s="7" t="str">
        <f t="shared" si="3"/>
        <v>text</v>
      </c>
      <c r="H25" s="58"/>
      <c r="I25" s="23"/>
      <c r="J25" s="24" t="s">
        <v>1521</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milscm_2023_009.sny_202310_backup_merge_mml_sm_in_patient.shokai_moto_facility IS '紹介元施設';</v>
      </c>
    </row>
    <row r="26" spans="1:52" s="25" customFormat="1" ht="34.799999999999997">
      <c r="A26" s="4"/>
      <c r="B26" s="21">
        <f t="shared" si="2"/>
        <v>14</v>
      </c>
      <c r="C26" s="13" t="s">
        <v>1507</v>
      </c>
      <c r="D26" s="13" t="s">
        <v>212</v>
      </c>
      <c r="E26" s="7"/>
      <c r="F26" s="7" t="s">
        <v>865</v>
      </c>
      <c r="G26" s="7" t="str">
        <f t="shared" si="3"/>
        <v>text</v>
      </c>
      <c r="H26" s="58"/>
      <c r="I26" s="23"/>
      <c r="J26" s="24" t="s">
        <v>1517</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milscm_2023_009.sny_202310_backup_merge_mml_sm_in_patient.taiin_ymd IS '退院（転出）日';</v>
      </c>
    </row>
    <row r="27" spans="1:52" s="25" customFormat="1" ht="34.799999999999997">
      <c r="A27" s="4"/>
      <c r="B27" s="21">
        <f t="shared" si="2"/>
        <v>15</v>
      </c>
      <c r="C27" s="13" t="s">
        <v>1508</v>
      </c>
      <c r="D27" s="13" t="s">
        <v>1509</v>
      </c>
      <c r="E27" s="7"/>
      <c r="F27" s="7" t="s">
        <v>865</v>
      </c>
      <c r="G27" s="7" t="str">
        <f t="shared" si="3"/>
        <v>text</v>
      </c>
      <c r="H27" s="58"/>
      <c r="I27" s="23"/>
      <c r="J27" s="24" t="s">
        <v>1518</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milscm_2023_009.sny_202310_backup_merge_mml_sm_in_patient.taiin_state IS '退院時状態';</v>
      </c>
    </row>
    <row r="28" spans="1:52" s="25" customFormat="1" ht="52.2">
      <c r="A28" s="4"/>
      <c r="B28" s="21">
        <f t="shared" si="2"/>
        <v>16</v>
      </c>
      <c r="C28" s="13" t="s">
        <v>593</v>
      </c>
      <c r="D28" s="13" t="s">
        <v>1510</v>
      </c>
      <c r="E28" s="7"/>
      <c r="F28" s="7" t="s">
        <v>865</v>
      </c>
      <c r="G28" s="7" t="str">
        <f t="shared" si="3"/>
        <v>text</v>
      </c>
      <c r="H28" s="58"/>
      <c r="I28" s="23"/>
      <c r="J28" s="24" t="s">
        <v>1519</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milscm_2023_009.sny_202310_backup_merge_mml_sm_in_patient.taiin_tenki IS '退院時転帰';</v>
      </c>
    </row>
    <row r="29" spans="1:52" s="25" customFormat="1" ht="87.6" thickBot="1">
      <c r="A29" s="4"/>
      <c r="B29" s="27">
        <f>ROW()-12</f>
        <v>17</v>
      </c>
      <c r="C29" s="57" t="s">
        <v>1511</v>
      </c>
      <c r="D29" s="57" t="s">
        <v>1512</v>
      </c>
      <c r="E29" s="56"/>
      <c r="F29" s="56" t="s">
        <v>865</v>
      </c>
      <c r="G29" s="56" t="str">
        <f t="shared" si="3"/>
        <v>text</v>
      </c>
      <c r="H29" s="59"/>
      <c r="I29" s="60"/>
      <c r="J29" s="64" t="s">
        <v>1520</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ENT_01_C4-29</v>
      </c>
      <c r="E6" s="234"/>
      <c r="F6" s="234"/>
      <c r="G6" s="234"/>
      <c r="H6" s="234"/>
      <c r="I6" s="234"/>
      <c r="J6" s="235"/>
    </row>
    <row r="7" spans="1:45">
      <c r="B7" s="223" t="s">
        <v>115</v>
      </c>
      <c r="C7" s="224"/>
      <c r="D7" s="225" t="s">
        <v>1523</v>
      </c>
      <c r="E7" s="226"/>
      <c r="F7" s="226"/>
      <c r="G7" s="226"/>
      <c r="H7" s="226"/>
      <c r="I7" s="226"/>
      <c r="J7" s="227"/>
    </row>
    <row r="8" spans="1:45">
      <c r="B8" s="223" t="s">
        <v>116</v>
      </c>
      <c r="C8" s="224"/>
      <c r="D8" s="225" t="str">
        <f>エンティティ一覧!AE2&amp;"_"&amp;D5&amp;"_merge_mml_sm_clinical_course"</f>
        <v>sny_202310_backup_merge_mml_sm_clinical_course</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milscm_2023_009.sny_202310_backup_merge_mml_sm_clinical_course;</v>
      </c>
      <c r="O10" s="76"/>
      <c r="P10" s="76"/>
      <c r="Q10" s="76"/>
      <c r="R10" s="76"/>
      <c r="S10" s="76"/>
      <c r="T10" s="76"/>
      <c r="AJ10" s="76" t="str">
        <f>"ALTER TABLE ONLY "&amp;エンティティ一覧!$O$2&amp;"."&amp;D$8</f>
        <v>ALTER TABLE ONLY milscm_2023_009.sny_202310_backup_merge_mml_sm_clinical_course</v>
      </c>
      <c r="AS10" s="76" t="str">
        <f>"ALTER TABLE "&amp;エンティティ一覧!$O$2&amp;"."&amp;D$8&amp;" OWNER TO pgmisgrp1;"</f>
        <v>ALTER TABLE milscm_2023_009.sny_202310_backup_merge_mml_sm_clinical_course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milscm_2023_009.sny_202310_backup_merge_mml_sm_clinical_course</v>
      </c>
      <c r="O11" s="76"/>
      <c r="P11" s="76"/>
      <c r="Q11" s="76"/>
      <c r="R11" s="76"/>
      <c r="S11" s="76"/>
      <c r="T11" s="76"/>
      <c r="AJ11" s="76" t="str">
        <f>"ADD CONSTRAINT "&amp;D$8&amp;"_pkey PRIMARY KEY"</f>
        <v>ADD CONSTRAINT sny_202310_backup_merge_mml_sm_clinical_course_pkey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milscm_2023_009.sny_202310_backup_merge_mml_sm_clinical_course IS 'バックアップ_臨床サマリーモジュール_経過記録レコード';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milscm_2023_009.sny_202310_backup_merge_mml_sm_clinical_course.mil_karute_id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milscm_2023_009.sny_202310_backup_merge_mml_sm_clinical_course.facility_id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milscm_2023_009.sny_202310_backup_merge_mml_sm_clinical_course.shinryo_ymd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milscm_2023_009.sny_202310_backup_merge_mml_sm_clinical_course.data_type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milscm_2023_009.sny_202310_backup_merge_mml_sm_clinical_course.master_id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milscm_2023_009.sny_202310_backup_merge_mml_sm_clinical_course.uid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milscm_2023_009.sny_202310_backup_merge_mml_sm_clinical_course.summary_seq IS '臨床サマリーSEQ';</v>
      </c>
    </row>
    <row r="21" spans="1:52" s="25" customFormat="1">
      <c r="A21" s="4"/>
      <c r="B21" s="21">
        <f t="shared" si="2"/>
        <v>9</v>
      </c>
      <c r="C21" s="13" t="s">
        <v>1348</v>
      </c>
      <c r="D21" s="13" t="s">
        <v>1349</v>
      </c>
      <c r="E21" s="7" t="s">
        <v>127</v>
      </c>
      <c r="F21" s="7" t="s">
        <v>204</v>
      </c>
      <c r="G21" s="7" t="str">
        <f t="shared" si="3"/>
        <v>integer</v>
      </c>
      <c r="H21" s="58"/>
      <c r="I21" s="23" t="s">
        <v>127</v>
      </c>
      <c r="J21" s="24" t="s">
        <v>1532</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milscm_2023_009.sny_202310_backup_merge_mml_sm_clinical_course.keika_seq IS '経過記録SEQ';</v>
      </c>
    </row>
    <row r="22" spans="1:52" s="25" customFormat="1" ht="34.799999999999997">
      <c r="A22" s="4"/>
      <c r="B22" s="21">
        <f t="shared" si="2"/>
        <v>10</v>
      </c>
      <c r="C22" s="13" t="s">
        <v>1524</v>
      </c>
      <c r="D22" s="13" t="s">
        <v>1525</v>
      </c>
      <c r="E22" s="7"/>
      <c r="F22" s="7" t="s">
        <v>865</v>
      </c>
      <c r="G22" s="7" t="str">
        <f t="shared" si="3"/>
        <v>text</v>
      </c>
      <c r="H22" s="58"/>
      <c r="I22" s="23"/>
      <c r="J22" s="24" t="s">
        <v>1533</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milscm_2023_009.sny_202310_backup_merge_mml_sm_clinical_course.keika_kiroku IS '経過記録';</v>
      </c>
    </row>
    <row r="23" spans="1:52" s="25" customFormat="1" ht="34.799999999999997">
      <c r="A23" s="4"/>
      <c r="B23" s="21">
        <f t="shared" si="2"/>
        <v>11</v>
      </c>
      <c r="C23" s="13" t="s">
        <v>1526</v>
      </c>
      <c r="D23" s="13" t="s">
        <v>1527</v>
      </c>
      <c r="E23" s="7"/>
      <c r="F23" s="7" t="s">
        <v>865</v>
      </c>
      <c r="G23" s="7" t="str">
        <f t="shared" si="3"/>
        <v>text</v>
      </c>
      <c r="H23" s="58"/>
      <c r="I23" s="23"/>
      <c r="J23" s="24" t="s">
        <v>1534</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milscm_2023_009.sny_202310_backup_merge_mml_sm_clinical_course.event_date IS 'イベント発生日時';</v>
      </c>
    </row>
    <row r="24" spans="1:52" s="25" customFormat="1" ht="52.2">
      <c r="A24" s="4"/>
      <c r="B24" s="21">
        <f t="shared" si="2"/>
        <v>12</v>
      </c>
      <c r="C24" s="13" t="s">
        <v>1528</v>
      </c>
      <c r="D24" s="13" t="s">
        <v>1529</v>
      </c>
      <c r="E24" s="7"/>
      <c r="F24" s="7" t="s">
        <v>865</v>
      </c>
      <c r="G24" s="7" t="str">
        <f t="shared" si="3"/>
        <v>text</v>
      </c>
      <c r="H24" s="58"/>
      <c r="I24" s="23"/>
      <c r="J24" s="24" t="s">
        <v>1535</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milscm_2023_009.sny_202310_backup_merge_mml_sm_clinical_course.kanren_doc_uid IS '関連文書のuid';</v>
      </c>
    </row>
    <row r="25" spans="1:52" s="25" customFormat="1" ht="70.2" thickBot="1">
      <c r="A25" s="4"/>
      <c r="B25" s="27">
        <f>ROW()-12</f>
        <v>13</v>
      </c>
      <c r="C25" s="57" t="s">
        <v>1530</v>
      </c>
      <c r="D25" s="57" t="s">
        <v>1531</v>
      </c>
      <c r="E25" s="56"/>
      <c r="F25" s="56" t="s">
        <v>865</v>
      </c>
      <c r="G25" s="56" t="str">
        <f t="shared" si="3"/>
        <v>text</v>
      </c>
      <c r="H25" s="59"/>
      <c r="I25" s="60"/>
      <c r="J25" s="64" t="s">
        <v>1536</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ENT_01_C4-30</v>
      </c>
      <c r="E6" s="234"/>
      <c r="F6" s="234"/>
      <c r="G6" s="234"/>
      <c r="H6" s="234"/>
      <c r="I6" s="234"/>
      <c r="J6" s="235"/>
    </row>
    <row r="7" spans="1:45">
      <c r="B7" s="223" t="s">
        <v>115</v>
      </c>
      <c r="C7" s="224"/>
      <c r="D7" s="225" t="s">
        <v>1538</v>
      </c>
      <c r="E7" s="226"/>
      <c r="F7" s="226"/>
      <c r="G7" s="226"/>
      <c r="H7" s="226"/>
      <c r="I7" s="226"/>
      <c r="J7" s="227"/>
    </row>
    <row r="8" spans="1:45">
      <c r="B8" s="223" t="s">
        <v>116</v>
      </c>
      <c r="C8" s="224"/>
      <c r="D8" s="225" t="str">
        <f>エンティティ一覧!AE2&amp;"_"&amp;D5&amp;"_merge_mml_sm_test_results"</f>
        <v>sny_202310_backup_merge_mml_sm_test_results</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milscm_2023_009.sny_202310_backup_merge_mml_sm_test_results;</v>
      </c>
      <c r="O10" s="76"/>
      <c r="P10" s="76"/>
      <c r="Q10" s="76"/>
      <c r="R10" s="76"/>
      <c r="S10" s="76"/>
      <c r="T10" s="76"/>
      <c r="AJ10" s="76" t="str">
        <f>"ALTER TABLE ONLY "&amp;エンティティ一覧!$O$2&amp;"."&amp;D$8</f>
        <v>ALTER TABLE ONLY milscm_2023_009.sny_202310_backup_merge_mml_sm_test_results</v>
      </c>
      <c r="AS10" s="76" t="str">
        <f>"ALTER TABLE "&amp;エンティティ一覧!$O$2&amp;"."&amp;D$8&amp;" OWNER TO pgmisgrp1;"</f>
        <v>ALTER TABLE milscm_2023_009.sny_202310_backup_merge_mml_sm_test_results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milscm_2023_009.sny_202310_backup_merge_mml_sm_test_results</v>
      </c>
      <c r="O11" s="76"/>
      <c r="P11" s="76"/>
      <c r="Q11" s="76"/>
      <c r="R11" s="76"/>
      <c r="S11" s="76"/>
      <c r="T11" s="76"/>
      <c r="AJ11" s="76" t="str">
        <f>"ADD CONSTRAINT "&amp;D$8&amp;"_pkey PRIMARY KEY"</f>
        <v>ADD CONSTRAINT sny_202310_backup_merge_mml_sm_test_results_pkey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milscm_2023_009.sny_202310_backup_merge_mml_sm_test_results IS 'バックアップ_臨床サマリーモジュール_検査結果レコード';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milscm_2023_009.sny_202310_backup_merge_mml_sm_test_results.mil_karute_id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milscm_2023_009.sny_202310_backup_merge_mml_sm_test_results.facility_id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milscm_2023_009.sny_202310_backup_merge_mml_sm_test_results.shinryo_ymd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milscm_2023_009.sny_202310_backup_merge_mml_sm_test_results.data_type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milscm_2023_009.sny_202310_backup_merge_mml_sm_test_results.master_id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milscm_2023_009.sny_202310_backup_merge_mml_sm_test_results.uid IS '文書ユニークID';</v>
      </c>
    </row>
    <row r="20" spans="1:52" s="25" customFormat="1">
      <c r="A20" s="4"/>
      <c r="B20" s="21">
        <f t="shared" si="2"/>
        <v>8</v>
      </c>
      <c r="C20" s="13" t="s">
        <v>1539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milscm_2023_009.sny_202310_backup_merge_mml_sm_test_results.summary_seq IS '臨床サマリーSEQ';</v>
      </c>
    </row>
    <row r="21" spans="1:52" s="25" customFormat="1">
      <c r="A21" s="4"/>
      <c r="B21" s="21">
        <f t="shared" si="2"/>
        <v>9</v>
      </c>
      <c r="C21" s="13" t="s">
        <v>1540</v>
      </c>
      <c r="D21" s="13" t="s">
        <v>1541</v>
      </c>
      <c r="E21" s="7" t="s">
        <v>127</v>
      </c>
      <c r="F21" s="7" t="s">
        <v>204</v>
      </c>
      <c r="G21" s="7" t="str">
        <f t="shared" si="3"/>
        <v>integer</v>
      </c>
      <c r="H21" s="58"/>
      <c r="I21" s="23" t="s">
        <v>127</v>
      </c>
      <c r="J21" s="24" t="s">
        <v>1544</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milscm_2023_009.sny_202310_backup_merge_mml_sm_test_results.kensa_seq IS '個々の検査結果SEQ';</v>
      </c>
    </row>
    <row r="22" spans="1:52" s="25" customFormat="1" ht="34.799999999999997">
      <c r="A22" s="4"/>
      <c r="B22" s="21">
        <f t="shared" si="2"/>
        <v>10</v>
      </c>
      <c r="C22" s="13" t="s">
        <v>1542</v>
      </c>
      <c r="D22" s="13" t="s">
        <v>1543</v>
      </c>
      <c r="E22" s="7"/>
      <c r="F22" s="7" t="s">
        <v>865</v>
      </c>
      <c r="G22" s="7" t="str">
        <f t="shared" si="3"/>
        <v>text</v>
      </c>
      <c r="H22" s="58"/>
      <c r="I22" s="23"/>
      <c r="J22" s="24" t="s">
        <v>1545</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milscm_2023_009.sny_202310_backup_merge_mml_sm_test_results.kensa_result_value IS '個々の検査結果';</v>
      </c>
    </row>
    <row r="23" spans="1:52" s="25" customFormat="1" ht="35.4" thickBot="1">
      <c r="A23" s="4"/>
      <c r="B23" s="27">
        <f>ROW()-12</f>
        <v>11</v>
      </c>
      <c r="C23" s="57" t="s">
        <v>1526</v>
      </c>
      <c r="D23" s="57" t="s">
        <v>1527</v>
      </c>
      <c r="E23" s="56"/>
      <c r="F23" s="56" t="s">
        <v>865</v>
      </c>
      <c r="G23" s="56" t="str">
        <f t="shared" si="3"/>
        <v>text</v>
      </c>
      <c r="H23" s="59"/>
      <c r="I23" s="60"/>
      <c r="J23" s="64" t="s">
        <v>1546</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ENT_01_C4-31</v>
      </c>
      <c r="E6" s="234"/>
      <c r="F6" s="234"/>
      <c r="G6" s="234"/>
      <c r="H6" s="234"/>
      <c r="I6" s="234"/>
      <c r="J6" s="235"/>
    </row>
    <row r="7" spans="1:45">
      <c r="B7" s="223" t="s">
        <v>115</v>
      </c>
      <c r="C7" s="224"/>
      <c r="D7" s="225" t="s">
        <v>1547</v>
      </c>
      <c r="E7" s="226"/>
      <c r="F7" s="226"/>
      <c r="G7" s="226"/>
      <c r="H7" s="226"/>
      <c r="I7" s="226"/>
      <c r="J7" s="227"/>
    </row>
    <row r="8" spans="1:45">
      <c r="B8" s="223" t="s">
        <v>116</v>
      </c>
      <c r="C8" s="224"/>
      <c r="D8" s="225" t="str">
        <f>エンティティ一覧!AE2&amp;"_"&amp;D5&amp;"_merge_mml_lb_test"</f>
        <v>sny_202310_backup_merge_mml_lb_test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milscm_2023_009.sny_202310_backup_merge_mml_lb_test;</v>
      </c>
      <c r="O10" s="76"/>
      <c r="P10" s="76"/>
      <c r="Q10" s="76"/>
      <c r="R10" s="76"/>
      <c r="S10" s="76"/>
      <c r="T10" s="76"/>
      <c r="AJ10" s="76" t="str">
        <f>"ALTER TABLE ONLY "&amp;エンティティ一覧!$O$2&amp;"."&amp;D$8</f>
        <v>ALTER TABLE ONLY milscm_2023_009.sny_202310_backup_merge_mml_lb_test</v>
      </c>
      <c r="AS10" s="76" t="str">
        <f>"ALTER TABLE "&amp;エンティティ一覧!$O$2&amp;"."&amp;D$8&amp;" OWNER TO pgmisgrp1;"</f>
        <v>ALTER TABLE milscm_2023_009.sny_202310_backup_merge_mml_lb_test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milscm_2023_009.sny_202310_backup_merge_mml_lb_test</v>
      </c>
      <c r="O11" s="76"/>
      <c r="P11" s="76"/>
      <c r="Q11" s="76"/>
      <c r="R11" s="76"/>
      <c r="S11" s="76"/>
      <c r="T11" s="76"/>
      <c r="AJ11" s="76" t="str">
        <f>"ADD CONSTRAINT "&amp;D$8&amp;"_pkey PRIMARY KEY"</f>
        <v>ADD CONSTRAINT sny_202310_backup_merge_mml_lb_test_pkey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milscm_2023_009.sny_202310_backup_merge_mml_lb_test IS 'バックアップ_検歴情報モジュール_検歴情報';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milscm_2023_009.sny_202310_backup_merge_mml_lb_test.mil_karute_id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milscm_2023_009.sny_202310_backup_merge_mml_lb_test.facility_id IS '施設ID';</v>
      </c>
    </row>
    <row r="16" spans="1:45" s="25" customFormat="1" ht="69.599999999999994">
      <c r="A16" s="4"/>
      <c r="B16" s="21">
        <f t="shared" si="2"/>
        <v>4</v>
      </c>
      <c r="C16" s="13" t="s">
        <v>1246</v>
      </c>
      <c r="D16" s="13" t="s">
        <v>1247</v>
      </c>
      <c r="E16" s="7"/>
      <c r="F16" s="7" t="s">
        <v>865</v>
      </c>
      <c r="G16" s="7" t="str">
        <f t="shared" ref="G16:G20" si="7">IF(F16="フラグ","boolean",IF(F16="文字列","text",IF(F16="整数","integer",IF(F16="実数","numeric",""))))</f>
        <v>text</v>
      </c>
      <c r="H16" s="58"/>
      <c r="I16" s="23" t="s">
        <v>127</v>
      </c>
      <c r="J16" s="24" t="s">
        <v>1315</v>
      </c>
      <c r="M16" s="4"/>
      <c r="N16" s="76"/>
      <c r="O16" s="76"/>
      <c r="P16" s="76" t="str">
        <f t="shared" ref="P16:P20" si="8">IF(B16&lt;&gt;1,","&amp;D16,D16)</f>
        <v>,shinryo_ymd</v>
      </c>
      <c r="Q16" s="76" t="str">
        <f t="shared" ref="Q16:Q20" si="9">UPPER(G16)</f>
        <v>TEXT</v>
      </c>
      <c r="R16" s="76" t="str">
        <f t="shared" ref="R16:R20" si="10">IF(H16&lt;&gt;"","default "&amp;IF(G16="text","'"&amp;H16&amp;"'",H16),"")</f>
        <v/>
      </c>
      <c r="S16" s="76" t="str">
        <f t="shared" ref="S16:S20" si="11">IF(I16="○","NOT NULL","")</f>
        <v>NOT NULL</v>
      </c>
      <c r="T16" s="76" t="str">
        <f t="shared" ref="T16:T20" si="12">"-- "&amp;C16</f>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milscm_2023_009.sny_202310_backup_merge_mml_lb_test.shinryo_ymd IS '診療年月日';</v>
      </c>
    </row>
    <row r="17" spans="1:45" s="25" customFormat="1">
      <c r="A17" s="4"/>
      <c r="B17" s="21">
        <f t="shared" si="2"/>
        <v>5</v>
      </c>
      <c r="C17" s="13" t="s">
        <v>1304</v>
      </c>
      <c r="D17" s="13" t="s">
        <v>208</v>
      </c>
      <c r="E17" s="7"/>
      <c r="F17" s="7" t="s">
        <v>865</v>
      </c>
      <c r="G17" s="7" t="str">
        <f t="shared" si="7"/>
        <v>text</v>
      </c>
      <c r="H17" s="58" t="s">
        <v>1289</v>
      </c>
      <c r="I17" s="23" t="s">
        <v>127</v>
      </c>
      <c r="J17" s="24" t="s">
        <v>1290</v>
      </c>
      <c r="M17" s="4"/>
      <c r="N17" s="76"/>
      <c r="O17" s="76"/>
      <c r="P17" s="76" t="str">
        <f t="shared" si="8"/>
        <v>,data_type</v>
      </c>
      <c r="Q17" s="76" t="str">
        <f t="shared" si="9"/>
        <v>TEXT</v>
      </c>
      <c r="R17" s="76" t="str">
        <f t="shared" si="10"/>
        <v>default 'MML'</v>
      </c>
      <c r="S17" s="76" t="str">
        <f t="shared" si="11"/>
        <v>NOT NULL</v>
      </c>
      <c r="T17" s="76" t="str">
        <f t="shared" si="12"/>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milscm_2023_009.sny_202310_backup_merge_mml_lb_test.data_type IS 'データ種別';</v>
      </c>
    </row>
    <row r="18" spans="1:45" s="25" customFormat="1" ht="34.799999999999997">
      <c r="A18" s="4"/>
      <c r="B18" s="21">
        <f t="shared" si="2"/>
        <v>6</v>
      </c>
      <c r="C18" s="13" t="s">
        <v>1249</v>
      </c>
      <c r="D18" s="13" t="s">
        <v>1250</v>
      </c>
      <c r="E18" s="7" t="s">
        <v>127</v>
      </c>
      <c r="F18" s="7" t="s">
        <v>865</v>
      </c>
      <c r="G18" s="7" t="str">
        <f t="shared" si="7"/>
        <v>text</v>
      </c>
      <c r="H18" s="58"/>
      <c r="I18" s="23" t="s">
        <v>127</v>
      </c>
      <c r="J18" s="24" t="s">
        <v>1291</v>
      </c>
      <c r="M18" s="4"/>
      <c r="N18" s="76"/>
      <c r="O18" s="76"/>
      <c r="P18" s="76" t="str">
        <f t="shared" si="8"/>
        <v>,master_id</v>
      </c>
      <c r="Q18" s="76" t="str">
        <f t="shared" si="9"/>
        <v>TEXT</v>
      </c>
      <c r="R18" s="76" t="str">
        <f t="shared" si="10"/>
        <v/>
      </c>
      <c r="S18" s="76" t="str">
        <f t="shared" si="11"/>
        <v>NOT NULL</v>
      </c>
      <c r="T18" s="76" t="str">
        <f t="shared" si="12"/>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milscm_2023_009.sny_202310_backup_merge_mml_lb_test.master_id IS '患者ID';</v>
      </c>
    </row>
    <row r="19" spans="1:45" s="25" customFormat="1" ht="34.799999999999997">
      <c r="A19" s="4"/>
      <c r="B19" s="21">
        <f t="shared" si="2"/>
        <v>7</v>
      </c>
      <c r="C19" s="13" t="s">
        <v>1251</v>
      </c>
      <c r="D19" s="13" t="s">
        <v>1252</v>
      </c>
      <c r="E19" s="7" t="s">
        <v>127</v>
      </c>
      <c r="F19" s="7" t="s">
        <v>865</v>
      </c>
      <c r="G19" s="7" t="str">
        <f t="shared" si="7"/>
        <v>text</v>
      </c>
      <c r="H19" s="58"/>
      <c r="I19" s="23" t="s">
        <v>127</v>
      </c>
      <c r="J19" s="24" t="s">
        <v>1292</v>
      </c>
      <c r="M19" s="4"/>
      <c r="N19" s="76"/>
      <c r="O19" s="76"/>
      <c r="P19" s="76" t="str">
        <f t="shared" si="8"/>
        <v>,uid</v>
      </c>
      <c r="Q19" s="76" t="str">
        <f t="shared" si="9"/>
        <v>TEXT</v>
      </c>
      <c r="R19" s="76" t="str">
        <f t="shared" si="10"/>
        <v/>
      </c>
      <c r="S19" s="76" t="str">
        <f t="shared" si="11"/>
        <v>NOT NULL</v>
      </c>
      <c r="T19" s="76" t="str">
        <f t="shared" si="12"/>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milscm_2023_009.sny_202310_backup_merge_mml_lb_test.uid IS '文書ユニークID';</v>
      </c>
    </row>
    <row r="20" spans="1:45" s="25" customFormat="1">
      <c r="A20" s="4"/>
      <c r="B20" s="21">
        <f t="shared" si="2"/>
        <v>8</v>
      </c>
      <c r="C20" s="13" t="s">
        <v>1548</v>
      </c>
      <c r="D20" s="13" t="s">
        <v>1549</v>
      </c>
      <c r="E20" s="7" t="s">
        <v>127</v>
      </c>
      <c r="F20" s="7" t="s">
        <v>204</v>
      </c>
      <c r="G20" s="7" t="str">
        <f t="shared" si="7"/>
        <v>integer</v>
      </c>
      <c r="H20" s="58"/>
      <c r="I20" s="23" t="s">
        <v>127</v>
      </c>
      <c r="J20" s="24" t="s">
        <v>1586</v>
      </c>
      <c r="M20" s="4"/>
      <c r="N20" s="76"/>
      <c r="O20" s="76"/>
      <c r="P20" s="76" t="str">
        <f t="shared" si="8"/>
        <v>,kenreki_seq</v>
      </c>
      <c r="Q20" s="76" t="str">
        <f t="shared" si="9"/>
        <v>INTEGER</v>
      </c>
      <c r="R20" s="76" t="str">
        <f t="shared" si="10"/>
        <v/>
      </c>
      <c r="S20" s="76" t="str">
        <f t="shared" si="11"/>
        <v>NOT NULL</v>
      </c>
      <c r="T20" s="76" t="str">
        <f t="shared" si="12"/>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milscm_2023_009.sny_202310_backup_merge_mml_lb_test.kenreki_seq IS '検歴SEQ';</v>
      </c>
    </row>
    <row r="21" spans="1:45" s="25" customFormat="1">
      <c r="A21" s="4"/>
      <c r="B21" s="21">
        <f t="shared" si="2"/>
        <v>9</v>
      </c>
      <c r="C21" s="13" t="s">
        <v>1550</v>
      </c>
      <c r="D21" s="13" t="s">
        <v>1551</v>
      </c>
      <c r="E21" s="7"/>
      <c r="F21" s="7" t="s">
        <v>865</v>
      </c>
      <c r="G21" s="7" t="str">
        <f t="shared" si="3"/>
        <v>text</v>
      </c>
      <c r="H21" s="58"/>
      <c r="I21" s="23"/>
      <c r="J21" s="24" t="s">
        <v>1587</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milscm_2023_009.sny_202310_backup_merge_mml_lb_test.irai_id IS '依頼ID';</v>
      </c>
    </row>
    <row r="22" spans="1:45" s="25" customFormat="1" ht="52.2">
      <c r="A22" s="4"/>
      <c r="B22" s="21">
        <f t="shared" si="2"/>
        <v>10</v>
      </c>
      <c r="C22" s="13" t="s">
        <v>1552</v>
      </c>
      <c r="D22" s="13" t="s">
        <v>1553</v>
      </c>
      <c r="E22" s="7"/>
      <c r="F22" s="7" t="s">
        <v>865</v>
      </c>
      <c r="G22" s="7" t="str">
        <f t="shared" si="3"/>
        <v>text</v>
      </c>
      <c r="H22" s="58"/>
      <c r="I22" s="23"/>
      <c r="J22" s="24" t="s">
        <v>1588</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milscm_2023_009.sny_202310_backup_merge_mml_lb_test.sample_time IS '採取日時';</v>
      </c>
    </row>
    <row r="23" spans="1:45" s="25" customFormat="1" ht="34.799999999999997">
      <c r="A23" s="4"/>
      <c r="B23" s="21">
        <f t="shared" si="2"/>
        <v>11</v>
      </c>
      <c r="C23" s="13" t="s">
        <v>1554</v>
      </c>
      <c r="D23" s="13" t="s">
        <v>1555</v>
      </c>
      <c r="E23" s="7"/>
      <c r="F23" s="7" t="s">
        <v>865</v>
      </c>
      <c r="G23" s="7" t="str">
        <f t="shared" si="3"/>
        <v>text</v>
      </c>
      <c r="H23" s="58"/>
      <c r="I23" s="23"/>
      <c r="J23" s="24" t="s">
        <v>1589</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milscm_2023_009.sny_202310_backup_merge_mml_lb_test.uketsuke_time IS '受付日時';</v>
      </c>
    </row>
    <row r="24" spans="1:45" s="25" customFormat="1" ht="34.799999999999997">
      <c r="A24" s="4"/>
      <c r="B24" s="21">
        <f t="shared" si="2"/>
        <v>12</v>
      </c>
      <c r="C24" s="13" t="s">
        <v>1556</v>
      </c>
      <c r="D24" s="13" t="s">
        <v>1557</v>
      </c>
      <c r="E24" s="7"/>
      <c r="F24" s="7" t="s">
        <v>865</v>
      </c>
      <c r="G24" s="7" t="str">
        <f t="shared" si="3"/>
        <v>text</v>
      </c>
      <c r="H24" s="58"/>
      <c r="I24" s="23"/>
      <c r="J24" s="24" t="s">
        <v>1590</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milscm_2023_009.sny_202310_backup_merge_mml_lb_test.report_time IS '報告日時';</v>
      </c>
    </row>
    <row r="25" spans="1:45" s="25" customFormat="1">
      <c r="A25" s="4"/>
      <c r="B25" s="21">
        <f t="shared" si="2"/>
        <v>13</v>
      </c>
      <c r="C25" s="13" t="s">
        <v>1558</v>
      </c>
      <c r="D25" s="13" t="s">
        <v>1559</v>
      </c>
      <c r="E25" s="7"/>
      <c r="F25" s="7" t="s">
        <v>865</v>
      </c>
      <c r="G25" s="7" t="str">
        <f t="shared" si="3"/>
        <v>text</v>
      </c>
      <c r="H25" s="58"/>
      <c r="I25" s="23"/>
      <c r="J25" s="24" t="s">
        <v>1591</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milscm_2023_009.sny_202310_backup_merge_mml_lb_test.status IS '報告状態';</v>
      </c>
    </row>
    <row r="26" spans="1:45" s="25" customFormat="1" ht="52.2">
      <c r="A26" s="4"/>
      <c r="B26" s="21">
        <f t="shared" si="2"/>
        <v>14</v>
      </c>
      <c r="C26" s="13" t="s">
        <v>1560</v>
      </c>
      <c r="D26" s="13" t="s">
        <v>1561</v>
      </c>
      <c r="E26" s="7"/>
      <c r="F26" s="7" t="s">
        <v>865</v>
      </c>
      <c r="G26" s="7" t="str">
        <f t="shared" si="3"/>
        <v>text</v>
      </c>
      <c r="H26" s="58"/>
      <c r="I26" s="23"/>
      <c r="J26" s="24" t="s">
        <v>1592</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milscm_2023_009.sny_202310_backup_merge_mml_lb_test.status_code IS '報告状態コード';</v>
      </c>
    </row>
    <row r="27" spans="1:45" s="25" customFormat="1">
      <c r="A27" s="4"/>
      <c r="B27" s="21">
        <f t="shared" si="2"/>
        <v>15</v>
      </c>
      <c r="C27" s="13" t="s">
        <v>1562</v>
      </c>
      <c r="D27" s="13" t="s">
        <v>1563</v>
      </c>
      <c r="E27" s="7"/>
      <c r="F27" s="7" t="s">
        <v>865</v>
      </c>
      <c r="G27" s="7" t="str">
        <f t="shared" si="3"/>
        <v>text</v>
      </c>
      <c r="H27" s="58"/>
      <c r="I27" s="23"/>
      <c r="J27" s="24" t="s">
        <v>1593</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milscm_2023_009.sny_202310_backup_merge_mml_lb_test.set_name IS 'セット名';</v>
      </c>
    </row>
    <row r="28" spans="1:45" s="25" customFormat="1" ht="34.799999999999997">
      <c r="A28" s="4"/>
      <c r="B28" s="21">
        <f t="shared" si="2"/>
        <v>16</v>
      </c>
      <c r="C28" s="13" t="s">
        <v>1564</v>
      </c>
      <c r="D28" s="13" t="s">
        <v>1565</v>
      </c>
      <c r="E28" s="7"/>
      <c r="F28" s="7" t="s">
        <v>865</v>
      </c>
      <c r="G28" s="7" t="str">
        <f t="shared" si="3"/>
        <v>text</v>
      </c>
      <c r="H28" s="58"/>
      <c r="I28" s="23"/>
      <c r="J28" s="24" t="s">
        <v>1594</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milscm_2023_009.sny_202310_backup_merge_mml_lb_test.set_name_code IS 'セット名コード';</v>
      </c>
    </row>
    <row r="29" spans="1:45" s="25" customFormat="1" ht="34.799999999999997">
      <c r="A29" s="4"/>
      <c r="B29" s="21">
        <f t="shared" si="2"/>
        <v>17</v>
      </c>
      <c r="C29" s="13" t="s">
        <v>1566</v>
      </c>
      <c r="D29" s="13" t="s">
        <v>1567</v>
      </c>
      <c r="E29" s="7"/>
      <c r="F29" s="7" t="s">
        <v>865</v>
      </c>
      <c r="G29" s="7" t="str">
        <f t="shared" si="3"/>
        <v>text</v>
      </c>
      <c r="H29" s="58"/>
      <c r="I29" s="23"/>
      <c r="J29" s="24" t="s">
        <v>1595</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milscm_2023_009.sny_202310_backup_merge_mml_lb_test.set_name_code_id IS 'セット名コードID';</v>
      </c>
    </row>
    <row r="30" spans="1:45" s="25" customFormat="1">
      <c r="A30" s="4"/>
      <c r="B30" s="21">
        <f t="shared" si="2"/>
        <v>18</v>
      </c>
      <c r="C30" s="13" t="s">
        <v>1568</v>
      </c>
      <c r="D30" s="13" t="s">
        <v>1569</v>
      </c>
      <c r="E30" s="7"/>
      <c r="F30" s="7" t="s">
        <v>865</v>
      </c>
      <c r="G30" s="7" t="str">
        <f t="shared" si="3"/>
        <v>text</v>
      </c>
      <c r="H30" s="58"/>
      <c r="I30" s="23"/>
      <c r="J30" s="24" t="s">
        <v>1596</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milscm_2023_009.sny_202310_backup_merge_mml_lb_test.irai_facility IS '依頼施設';</v>
      </c>
    </row>
    <row r="31" spans="1:45" s="25" customFormat="1">
      <c r="A31" s="4"/>
      <c r="B31" s="21">
        <f t="shared" si="2"/>
        <v>19</v>
      </c>
      <c r="C31" s="13" t="s">
        <v>1570</v>
      </c>
      <c r="D31" s="13" t="s">
        <v>1571</v>
      </c>
      <c r="E31" s="7"/>
      <c r="F31" s="7" t="s">
        <v>865</v>
      </c>
      <c r="G31" s="7" t="str">
        <f t="shared" si="3"/>
        <v>text</v>
      </c>
      <c r="H31" s="58"/>
      <c r="I31" s="23"/>
      <c r="J31" s="24" t="s">
        <v>1597</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milscm_2023_009.sny_202310_backup_merge_mml_lb_test.irai_facility_code IS '依頼施設コード';</v>
      </c>
    </row>
    <row r="32" spans="1:45" s="25" customFormat="1" ht="34.799999999999997">
      <c r="A32" s="4"/>
      <c r="B32" s="21">
        <f t="shared" si="2"/>
        <v>20</v>
      </c>
      <c r="C32" s="13" t="s">
        <v>1572</v>
      </c>
      <c r="D32" s="13" t="s">
        <v>1573</v>
      </c>
      <c r="E32" s="7"/>
      <c r="F32" s="7" t="s">
        <v>865</v>
      </c>
      <c r="G32" s="7" t="str">
        <f t="shared" si="3"/>
        <v>text</v>
      </c>
      <c r="H32" s="58"/>
      <c r="I32" s="23"/>
      <c r="J32" s="24" t="s">
        <v>1598</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milscm_2023_009.sny_202310_backup_merge_mml_lb_test.irai_facility_code_id IS '依頼施設コードID';</v>
      </c>
    </row>
    <row r="33" spans="1:52" s="25" customFormat="1">
      <c r="A33" s="4"/>
      <c r="B33" s="21">
        <f t="shared" si="2"/>
        <v>21</v>
      </c>
      <c r="C33" s="13" t="s">
        <v>1574</v>
      </c>
      <c r="D33" s="13" t="s">
        <v>1575</v>
      </c>
      <c r="E33" s="7"/>
      <c r="F33" s="7" t="s">
        <v>865</v>
      </c>
      <c r="G33" s="7" t="str">
        <f t="shared" si="3"/>
        <v>text</v>
      </c>
      <c r="H33" s="58"/>
      <c r="I33" s="23"/>
      <c r="J33" s="24" t="s">
        <v>1599</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milscm_2023_009.sny_202310_backup_merge_mml_lb_test.irai_department IS '依頼診療科';</v>
      </c>
    </row>
    <row r="34" spans="1:52" s="25" customFormat="1" ht="34.799999999999997">
      <c r="A34" s="4"/>
      <c r="B34" s="21">
        <f t="shared" si="2"/>
        <v>22</v>
      </c>
      <c r="C34" s="13" t="s">
        <v>1576</v>
      </c>
      <c r="D34" s="13" t="s">
        <v>1577</v>
      </c>
      <c r="E34" s="7"/>
      <c r="F34" s="7" t="s">
        <v>865</v>
      </c>
      <c r="G34" s="7" t="str">
        <f t="shared" si="3"/>
        <v>text</v>
      </c>
      <c r="H34" s="58"/>
      <c r="I34" s="23"/>
      <c r="J34" s="24" t="s">
        <v>1600</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milscm_2023_009.sny_202310_backup_merge_mml_lb_test.irai_department_code IS '依頼診療科コード';</v>
      </c>
    </row>
    <row r="35" spans="1:52" s="25" customFormat="1">
      <c r="A35" s="4"/>
      <c r="B35" s="21">
        <f t="shared" si="2"/>
        <v>23</v>
      </c>
      <c r="C35" s="13" t="s">
        <v>1578</v>
      </c>
      <c r="D35" s="13" t="s">
        <v>1579</v>
      </c>
      <c r="E35" s="7"/>
      <c r="F35" s="7" t="s">
        <v>865</v>
      </c>
      <c r="G35" s="7" t="str">
        <f t="shared" si="3"/>
        <v>text</v>
      </c>
      <c r="H35" s="58"/>
      <c r="I35" s="23"/>
      <c r="J35" s="24" t="s">
        <v>1601</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milscm_2023_009.sny_202310_backup_merge_mml_lb_test.irai_ward IS '依頼病棟';</v>
      </c>
    </row>
    <row r="36" spans="1:52" s="25" customFormat="1" ht="34.799999999999997">
      <c r="A36" s="4"/>
      <c r="B36" s="21">
        <f t="shared" si="2"/>
        <v>24</v>
      </c>
      <c r="C36" s="13" t="s">
        <v>1580</v>
      </c>
      <c r="D36" s="13" t="s">
        <v>1581</v>
      </c>
      <c r="E36" s="7"/>
      <c r="F36" s="7" t="s">
        <v>865</v>
      </c>
      <c r="G36" s="7" t="str">
        <f t="shared" si="3"/>
        <v>text</v>
      </c>
      <c r="H36" s="58"/>
      <c r="I36" s="23"/>
      <c r="J36" s="24" t="s">
        <v>1602</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milscm_2023_009.sny_202310_backup_merge_mml_lb_test.irai_ward_code IS '依頼病棟コード';</v>
      </c>
    </row>
    <row r="37" spans="1:52" s="25" customFormat="1" ht="34.799999999999997">
      <c r="A37" s="4"/>
      <c r="B37" s="21">
        <f t="shared" si="2"/>
        <v>25</v>
      </c>
      <c r="C37" s="13" t="s">
        <v>1582</v>
      </c>
      <c r="D37" s="13" t="s">
        <v>1583</v>
      </c>
      <c r="E37" s="7"/>
      <c r="F37" s="7" t="s">
        <v>865</v>
      </c>
      <c r="G37" s="7" t="str">
        <f t="shared" si="3"/>
        <v>text</v>
      </c>
      <c r="H37" s="58"/>
      <c r="I37" s="23"/>
      <c r="J37" s="24" t="s">
        <v>1603</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milscm_2023_009.sny_202310_backup_merge_mml_lb_test.irai_ward_code_id IS '依頼病棟コードID';</v>
      </c>
    </row>
    <row r="38" spans="1:52" s="25" customFormat="1" ht="18" thickBot="1">
      <c r="A38" s="4"/>
      <c r="B38" s="27">
        <f>ROW()-12</f>
        <v>26</v>
      </c>
      <c r="C38" s="57" t="s">
        <v>1584</v>
      </c>
      <c r="D38" s="57" t="s">
        <v>1585</v>
      </c>
      <c r="E38" s="56"/>
      <c r="F38" s="56" t="s">
        <v>865</v>
      </c>
      <c r="G38" s="56" t="str">
        <f t="shared" si="3"/>
        <v>text</v>
      </c>
      <c r="H38" s="59"/>
      <c r="I38" s="60"/>
      <c r="J38" s="64" t="s">
        <v>1604</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topLeftCell="A5" zoomScale="85" zoomScaleNormal="85" workbookViewId="0">
      <selection activeCell="D5" sqref="D5:J5"/>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ENT_01_C4-33</v>
      </c>
      <c r="E6" s="234"/>
      <c r="F6" s="234"/>
      <c r="G6" s="234"/>
      <c r="H6" s="234"/>
      <c r="I6" s="234"/>
      <c r="J6" s="235"/>
    </row>
    <row r="7" spans="1:45">
      <c r="B7" s="223" t="s">
        <v>115</v>
      </c>
      <c r="C7" s="224"/>
      <c r="D7" s="225" t="s">
        <v>1605</v>
      </c>
      <c r="E7" s="226"/>
      <c r="F7" s="226"/>
      <c r="G7" s="226"/>
      <c r="H7" s="226"/>
      <c r="I7" s="226"/>
      <c r="J7" s="227"/>
    </row>
    <row r="8" spans="1:45">
      <c r="B8" s="223" t="s">
        <v>116</v>
      </c>
      <c r="C8" s="224"/>
      <c r="D8" s="225" t="str">
        <f>エンティティ一覧!AE2&amp;"_"&amp;D5&amp;"_merge_mml_lb_specimen"</f>
        <v>sny_202310_backup_merge_mml_lb_specimen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milscm_2023_009.sny_202310_backup_merge_mml_lb_specimen;</v>
      </c>
      <c r="O10" s="76"/>
      <c r="P10" s="76"/>
      <c r="Q10" s="76"/>
      <c r="R10" s="76"/>
      <c r="S10" s="76"/>
      <c r="T10" s="76"/>
      <c r="AJ10" s="76" t="str">
        <f>"ALTER TABLE ONLY "&amp;エンティティ一覧!$O$2&amp;"."&amp;D$8</f>
        <v>ALTER TABLE ONLY milscm_2023_009.sny_202310_backup_merge_mml_lb_specimen</v>
      </c>
      <c r="AS10" s="76" t="str">
        <f>"ALTER TABLE "&amp;エンティティ一覧!$O$2&amp;"."&amp;D$8&amp;" OWNER TO pgmisgrp1;"</f>
        <v>ALTER TABLE milscm_2023_009.sny_202310_backup_merge_mml_lb_specimen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milscm_2023_009.sny_202310_backup_merge_mml_lb_specimen</v>
      </c>
      <c r="O11" s="76"/>
      <c r="P11" s="76"/>
      <c r="Q11" s="76"/>
      <c r="R11" s="76"/>
      <c r="S11" s="76"/>
      <c r="T11" s="76"/>
      <c r="AJ11" s="76" t="str">
        <f>"ADD CONSTRAINT "&amp;D$8&amp;"_pkey PRIMARY KEY"</f>
        <v>ADD CONSTRAINT sny_202310_backup_merge_mml_lb_specimen_pkey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milscm_2023_009.sny_202310_backup_merge_mml_lb_specimen IS 'バックアップ_検歴情報モジュール_検歴検体材料';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milscm_2023_009.sny_202310_backup_merge_mml_lb_specimen.mil_karute_id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milscm_2023_009.sny_202310_backup_merge_mml_lb_specimen.facility_id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milscm_2023_009.sny_202310_backup_merge_mml_lb_specimen.shinryo_ymd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milscm_2023_009.sny_202310_backup_merge_mml_lb_specimen.data_type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milscm_2023_009.sny_202310_backup_merge_mml_lb_specimen.master_id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milscm_2023_009.sny_202310_backup_merge_mml_lb_specimen.uid IS '文書ユニークID';</v>
      </c>
    </row>
    <row r="20" spans="1:52"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milscm_2023_009.sny_202310_backup_merge_mml_lb_specimen.kenreki_seq IS '検歴SEQ';</v>
      </c>
    </row>
    <row r="21" spans="1:52" s="25" customFormat="1">
      <c r="A21" s="4"/>
      <c r="B21" s="21">
        <f t="shared" si="2"/>
        <v>9</v>
      </c>
      <c r="C21" s="13" t="s">
        <v>1606</v>
      </c>
      <c r="D21" s="13" t="s">
        <v>1607</v>
      </c>
      <c r="E21" s="7" t="s">
        <v>127</v>
      </c>
      <c r="F21" s="7" t="s">
        <v>204</v>
      </c>
      <c r="G21" s="7" t="str">
        <f t="shared" si="3"/>
        <v>integer</v>
      </c>
      <c r="H21" s="58"/>
      <c r="I21" s="23" t="s">
        <v>127</v>
      </c>
      <c r="J21" s="24" t="s">
        <v>1618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milscm_2023_009.sny_202310_backup_merge_mml_lb_specimen.labo_test_seq IS '検体結果情報SEQ';</v>
      </c>
    </row>
    <row r="22" spans="1:52" s="25" customFormat="1" ht="69.599999999999994">
      <c r="A22" s="4"/>
      <c r="B22" s="21">
        <f t="shared" si="2"/>
        <v>10</v>
      </c>
      <c r="C22" s="13" t="s">
        <v>1608</v>
      </c>
      <c r="D22" s="13" t="s">
        <v>1609</v>
      </c>
      <c r="E22" s="7" t="s">
        <v>127</v>
      </c>
      <c r="F22" s="7" t="s">
        <v>204</v>
      </c>
      <c r="G22" s="7" t="str">
        <f t="shared" si="3"/>
        <v>integer</v>
      </c>
      <c r="H22" s="58">
        <v>1</v>
      </c>
      <c r="I22" s="23" t="s">
        <v>127</v>
      </c>
      <c r="J22" s="24" t="s">
        <v>1619</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milscm_2023_009.sny_202310_backup_merge_mml_lb_specimen.specimen_seq IS '検体材料SEQ';</v>
      </c>
    </row>
    <row r="23" spans="1:52" s="25" customFormat="1">
      <c r="A23" s="4"/>
      <c r="B23" s="21">
        <f t="shared" si="2"/>
        <v>11</v>
      </c>
      <c r="C23" s="13" t="s">
        <v>1610</v>
      </c>
      <c r="D23" s="13" t="s">
        <v>1611</v>
      </c>
      <c r="E23" s="7"/>
      <c r="F23" s="7" t="s">
        <v>865</v>
      </c>
      <c r="G23" s="7" t="str">
        <f t="shared" si="3"/>
        <v>text</v>
      </c>
      <c r="H23" s="58"/>
      <c r="I23" s="23"/>
      <c r="J23" s="24" t="s">
        <v>1620</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milscm_2023_009.sny_202310_backup_merge_mml_lb_specimen.specimen_name IS '検体材料';</v>
      </c>
    </row>
    <row r="24" spans="1:52" s="25" customFormat="1" ht="34.799999999999997">
      <c r="A24" s="4"/>
      <c r="B24" s="21">
        <f t="shared" si="2"/>
        <v>12</v>
      </c>
      <c r="C24" s="13" t="s">
        <v>1612</v>
      </c>
      <c r="D24" s="13" t="s">
        <v>1613</v>
      </c>
      <c r="E24" s="7"/>
      <c r="F24" s="7" t="s">
        <v>865</v>
      </c>
      <c r="G24" s="7" t="str">
        <f t="shared" si="3"/>
        <v>text</v>
      </c>
      <c r="H24" s="58"/>
      <c r="I24" s="23"/>
      <c r="J24" s="24" t="s">
        <v>1621</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milscm_2023_009.sny_202310_backup_merge_mml_lb_specimen.sp_code IS '検体材料コード';</v>
      </c>
    </row>
    <row r="25" spans="1:52" s="25" customFormat="1" ht="52.2">
      <c r="A25" s="4"/>
      <c r="B25" s="21">
        <f t="shared" si="2"/>
        <v>13</v>
      </c>
      <c r="C25" s="13" t="s">
        <v>1614</v>
      </c>
      <c r="D25" s="13" t="s">
        <v>1615</v>
      </c>
      <c r="E25" s="7"/>
      <c r="F25" s="7" t="s">
        <v>865</v>
      </c>
      <c r="G25" s="7" t="str">
        <f t="shared" si="3"/>
        <v>text</v>
      </c>
      <c r="H25" s="58"/>
      <c r="I25" s="23"/>
      <c r="J25" s="24" t="s">
        <v>1622</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milscm_2023_009.sny_202310_backup_merge_mml_lb_specimen.sp_code_id IS '検体材料コードのテーブル名';</v>
      </c>
    </row>
    <row r="26" spans="1:52" s="25" customFormat="1" ht="18" thickBot="1">
      <c r="A26" s="4"/>
      <c r="B26" s="27">
        <f>ROW()-12</f>
        <v>14</v>
      </c>
      <c r="C26" s="57" t="s">
        <v>1616</v>
      </c>
      <c r="D26" s="57" t="s">
        <v>1617</v>
      </c>
      <c r="E26" s="56"/>
      <c r="F26" s="56" t="s">
        <v>865</v>
      </c>
      <c r="G26" s="56" t="str">
        <f t="shared" si="3"/>
        <v>text</v>
      </c>
      <c r="H26" s="59"/>
      <c r="I26" s="60"/>
      <c r="J26" s="64" t="s">
        <v>1623</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ENT_01_C4-35</v>
      </c>
      <c r="E6" s="234"/>
      <c r="F6" s="234"/>
      <c r="G6" s="234"/>
      <c r="H6" s="234"/>
      <c r="I6" s="234"/>
      <c r="J6" s="235"/>
    </row>
    <row r="7" spans="1:45">
      <c r="B7" s="223" t="s">
        <v>115</v>
      </c>
      <c r="C7" s="224"/>
      <c r="D7" s="225" t="s">
        <v>1624</v>
      </c>
      <c r="E7" s="226"/>
      <c r="F7" s="226"/>
      <c r="G7" s="226"/>
      <c r="H7" s="226"/>
      <c r="I7" s="226"/>
      <c r="J7" s="227"/>
    </row>
    <row r="8" spans="1:45">
      <c r="B8" s="223" t="s">
        <v>116</v>
      </c>
      <c r="C8" s="224"/>
      <c r="D8" s="225" t="str">
        <f>エンティティ一覧!AE2&amp;"_"&amp;D5&amp;"_merge_mml_lb_item"</f>
        <v>sny_202310_backup_merge_mml_lb_item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milscm_2023_009.sny_202310_backup_merge_mml_lb_item;</v>
      </c>
      <c r="O10" s="76"/>
      <c r="P10" s="76"/>
      <c r="Q10" s="76"/>
      <c r="R10" s="76"/>
      <c r="S10" s="76"/>
      <c r="T10" s="76"/>
      <c r="AJ10" s="76" t="str">
        <f>"ALTER TABLE ONLY "&amp;エンティティ一覧!$O$2&amp;"."&amp;D$8</f>
        <v>ALTER TABLE ONLY milscm_2023_009.sny_202310_backup_merge_mml_lb_item</v>
      </c>
      <c r="AS10" s="76" t="str">
        <f>"ALTER TABLE "&amp;エンティティ一覧!$O$2&amp;"."&amp;D$8&amp;" OWNER TO pgmisgrp1;"</f>
        <v>ALTER TABLE milscm_2023_009.sny_202310_backup_merge_mml_lb_item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milscm_2023_009.sny_202310_backup_merge_mml_lb_item</v>
      </c>
      <c r="O11" s="76"/>
      <c r="P11" s="76"/>
      <c r="Q11" s="76"/>
      <c r="R11" s="76"/>
      <c r="S11" s="76"/>
      <c r="T11" s="76"/>
      <c r="AJ11" s="76" t="str">
        <f>"ADD CONSTRAINT "&amp;D$8&amp;"_pkey PRIMARY KEY"</f>
        <v>ADD CONSTRAINT sny_202310_backup_merge_mml_lb_item_pkey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milscm_2023_009.sny_202310_backup_merge_mml_lb_item IS 'バックアップ_検歴情報モジュール_検歴項目情報';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1286</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milscm_2023_009.sny_202310_backup_merge_mml_lb_item.mil_karute_id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milscm_2023_009.sny_202310_backup_merge_mml_lb_item.facility_id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milscm_2023_009.sny_202310_backup_merge_mml_lb_item.shinryo_ymd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milscm_2023_009.sny_202310_backup_merge_mml_lb_item.data_type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milscm_2023_009.sny_202310_backup_merge_mml_lb_item.master_id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milscm_2023_009.sny_202310_backup_merge_mml_lb_item.uid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milscm_2023_009.sny_202310_backup_merge_mml_lb_item.kenreki_seq IS '検歴SEQ';</v>
      </c>
    </row>
    <row r="21" spans="1:45" s="25" customFormat="1">
      <c r="A21" s="4"/>
      <c r="B21" s="21">
        <f t="shared" si="2"/>
        <v>9</v>
      </c>
      <c r="C21" s="13" t="s">
        <v>1606</v>
      </c>
      <c r="D21" s="13" t="s">
        <v>1607</v>
      </c>
      <c r="E21" s="7" t="s">
        <v>127</v>
      </c>
      <c r="F21" s="7" t="s">
        <v>204</v>
      </c>
      <c r="G21" s="7" t="str">
        <f t="shared" si="3"/>
        <v>integer</v>
      </c>
      <c r="H21" s="58"/>
      <c r="I21" s="23" t="s">
        <v>127</v>
      </c>
      <c r="J21" s="24" t="s">
        <v>1662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milscm_2023_009.sny_202310_backup_merge_mml_lb_item.labo_test_seq IS '検体結果情報SEQ';</v>
      </c>
    </row>
    <row r="22" spans="1:45" s="25" customFormat="1">
      <c r="A22" s="4"/>
      <c r="B22" s="21">
        <f t="shared" si="2"/>
        <v>10</v>
      </c>
      <c r="C22" s="13" t="s">
        <v>1625</v>
      </c>
      <c r="D22" s="13" t="s">
        <v>1626</v>
      </c>
      <c r="E22" s="7" t="s">
        <v>127</v>
      </c>
      <c r="F22" s="7" t="s">
        <v>204</v>
      </c>
      <c r="G22" s="7" t="str">
        <f t="shared" si="3"/>
        <v>integer</v>
      </c>
      <c r="H22" s="58"/>
      <c r="I22" s="23" t="s">
        <v>127</v>
      </c>
      <c r="J22" s="24" t="s">
        <v>1663</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milscm_2023_009.sny_202310_backup_merge_mml_lb_item.item_info_seq IS '項目情報SEQ';</v>
      </c>
    </row>
    <row r="23" spans="1:45" s="25" customFormat="1">
      <c r="A23" s="4"/>
      <c r="B23" s="21">
        <f t="shared" si="2"/>
        <v>11</v>
      </c>
      <c r="C23" s="13" t="s">
        <v>1627</v>
      </c>
      <c r="D23" s="13" t="s">
        <v>1628</v>
      </c>
      <c r="E23" s="7"/>
      <c r="F23" s="7" t="s">
        <v>865</v>
      </c>
      <c r="G23" s="7" t="str">
        <f t="shared" si="3"/>
        <v>text</v>
      </c>
      <c r="H23" s="58"/>
      <c r="I23" s="23"/>
      <c r="J23" s="24" t="s">
        <v>1664</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milscm_2023_009.sny_202310_backup_merge_mml_lb_item.item_name IS '項目名';</v>
      </c>
    </row>
    <row r="24" spans="1:45" s="25" customFormat="1">
      <c r="A24" s="4"/>
      <c r="B24" s="21">
        <f t="shared" si="2"/>
        <v>12</v>
      </c>
      <c r="C24" s="13" t="s">
        <v>1629</v>
      </c>
      <c r="D24" s="13" t="s">
        <v>1630</v>
      </c>
      <c r="E24" s="7"/>
      <c r="F24" s="7" t="s">
        <v>865</v>
      </c>
      <c r="G24" s="7" t="str">
        <f t="shared" si="3"/>
        <v>text</v>
      </c>
      <c r="H24" s="58"/>
      <c r="I24" s="23"/>
      <c r="J24" s="24" t="s">
        <v>1665</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milscm_2023_009.sny_202310_backup_merge_mml_lb_item.facility_it_code IS '施設固有コード';</v>
      </c>
    </row>
    <row r="25" spans="1:45" s="25" customFormat="1">
      <c r="A25" s="4"/>
      <c r="B25" s="21">
        <f t="shared" si="2"/>
        <v>13</v>
      </c>
      <c r="C25" s="13" t="s">
        <v>1631</v>
      </c>
      <c r="D25" s="13" t="s">
        <v>1632</v>
      </c>
      <c r="E25" s="7"/>
      <c r="F25" s="7" t="s">
        <v>865</v>
      </c>
      <c r="G25" s="7" t="str">
        <f t="shared" si="3"/>
        <v>text</v>
      </c>
      <c r="H25" s="58"/>
      <c r="I25" s="23"/>
      <c r="J25" s="24" t="s">
        <v>1666</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milscm_2023_009.sny_202310_backup_merge_mml_lb_item.facility_it_code_id IS '施設固有コード体系名';</v>
      </c>
    </row>
    <row r="26" spans="1:45" s="25" customFormat="1">
      <c r="A26" s="4"/>
      <c r="B26" s="21">
        <f t="shared" si="2"/>
        <v>14</v>
      </c>
      <c r="C26" s="13" t="s">
        <v>1633</v>
      </c>
      <c r="D26" s="13" t="s">
        <v>1634</v>
      </c>
      <c r="E26" s="7"/>
      <c r="F26" s="7" t="s">
        <v>865</v>
      </c>
      <c r="G26" s="7" t="str">
        <f t="shared" si="3"/>
        <v>text</v>
      </c>
      <c r="H26" s="58"/>
      <c r="I26" s="23"/>
      <c r="J26" s="24" t="s">
        <v>1667</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milscm_2023_009.sny_202310_backup_merge_mml_lb_item.jlac10_a_code IS 'JLAC10の分析物コード';</v>
      </c>
    </row>
    <row r="27" spans="1:45" s="25" customFormat="1">
      <c r="A27" s="4"/>
      <c r="B27" s="21">
        <f t="shared" si="2"/>
        <v>15</v>
      </c>
      <c r="C27" s="13" t="s">
        <v>1635</v>
      </c>
      <c r="D27" s="13" t="s">
        <v>1636</v>
      </c>
      <c r="E27" s="7"/>
      <c r="F27" s="7" t="s">
        <v>865</v>
      </c>
      <c r="G27" s="7" t="str">
        <f t="shared" si="3"/>
        <v>text</v>
      </c>
      <c r="H27" s="58"/>
      <c r="I27" s="23"/>
      <c r="J27" s="24" t="s">
        <v>1668</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milscm_2023_009.sny_202310_backup_merge_mml_lb_item.jlac10_i_code IS 'JLAC10の識別コード';</v>
      </c>
    </row>
    <row r="28" spans="1:45" s="25" customFormat="1">
      <c r="A28" s="4"/>
      <c r="B28" s="21">
        <f t="shared" si="2"/>
        <v>16</v>
      </c>
      <c r="C28" s="13" t="s">
        <v>1637</v>
      </c>
      <c r="D28" s="13" t="s">
        <v>1638</v>
      </c>
      <c r="E28" s="7"/>
      <c r="F28" s="7" t="s">
        <v>865</v>
      </c>
      <c r="G28" s="7" t="str">
        <f t="shared" si="3"/>
        <v>text</v>
      </c>
      <c r="H28" s="58"/>
      <c r="I28" s="23"/>
      <c r="J28" s="24" t="s">
        <v>1669</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milscm_2023_009.sny_202310_backup_merge_mml_lb_item.jlac10_s_code IS 'JLAC10の材料コード';</v>
      </c>
    </row>
    <row r="29" spans="1:45" s="25" customFormat="1">
      <c r="A29" s="4"/>
      <c r="B29" s="21">
        <f t="shared" si="2"/>
        <v>17</v>
      </c>
      <c r="C29" s="13" t="s">
        <v>1639</v>
      </c>
      <c r="D29" s="13" t="s">
        <v>1640</v>
      </c>
      <c r="E29" s="7"/>
      <c r="F29" s="7" t="s">
        <v>865</v>
      </c>
      <c r="G29" s="7" t="str">
        <f t="shared" si="3"/>
        <v>text</v>
      </c>
      <c r="H29" s="58"/>
      <c r="I29" s="23"/>
      <c r="J29" s="24" t="s">
        <v>1670</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milscm_2023_009.sny_202310_backup_merge_mml_lb_item.jlac10_m_code IS 'JLAC10の測定法コード';</v>
      </c>
    </row>
    <row r="30" spans="1:45" s="25" customFormat="1">
      <c r="A30" s="4"/>
      <c r="B30" s="21">
        <f t="shared" si="2"/>
        <v>18</v>
      </c>
      <c r="C30" s="13" t="s">
        <v>1641</v>
      </c>
      <c r="D30" s="13" t="s">
        <v>1642</v>
      </c>
      <c r="E30" s="7"/>
      <c r="F30" s="7" t="s">
        <v>865</v>
      </c>
      <c r="G30" s="7" t="str">
        <f t="shared" si="3"/>
        <v>text</v>
      </c>
      <c r="H30" s="58"/>
      <c r="I30" s="23"/>
      <c r="J30" s="24" t="s">
        <v>1671</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milscm_2023_009.sny_202310_backup_merge_mml_lb_item.jlac10_r_code IS 'JLAC10の結果識別コード';</v>
      </c>
    </row>
    <row r="31" spans="1:45" s="25" customFormat="1">
      <c r="A31" s="4"/>
      <c r="B31" s="21">
        <f t="shared" si="2"/>
        <v>19</v>
      </c>
      <c r="C31" s="13" t="s">
        <v>1643</v>
      </c>
      <c r="D31" s="13" t="s">
        <v>1644</v>
      </c>
      <c r="E31" s="7"/>
      <c r="F31" s="7" t="s">
        <v>865</v>
      </c>
      <c r="G31" s="7" t="str">
        <f t="shared" si="3"/>
        <v>text</v>
      </c>
      <c r="H31" s="58"/>
      <c r="I31" s="23"/>
      <c r="J31" s="24" t="s">
        <v>1672</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milscm_2023_009.sny_202310_backup_merge_mml_lb_item.value IS '検査結果値';</v>
      </c>
    </row>
    <row r="32" spans="1:45" s="25" customFormat="1">
      <c r="A32" s="4"/>
      <c r="B32" s="21">
        <f t="shared" si="2"/>
        <v>20</v>
      </c>
      <c r="C32" s="13" t="s">
        <v>1645</v>
      </c>
      <c r="D32" s="13" t="s">
        <v>1646</v>
      </c>
      <c r="E32" s="7"/>
      <c r="F32" s="7" t="s">
        <v>865</v>
      </c>
      <c r="G32" s="7" t="str">
        <f t="shared" si="3"/>
        <v>text</v>
      </c>
      <c r="H32" s="58"/>
      <c r="I32" s="23"/>
      <c r="J32" s="24" t="s">
        <v>1673</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milscm_2023_009.sny_202310_backup_merge_mml_lb_item.num_value IS '数値結果';</v>
      </c>
    </row>
    <row r="33" spans="1:52" s="25" customFormat="1">
      <c r="A33" s="4"/>
      <c r="B33" s="21">
        <f t="shared" si="2"/>
        <v>21</v>
      </c>
      <c r="C33" s="13" t="s">
        <v>1647</v>
      </c>
      <c r="D33" s="13" t="s">
        <v>1648</v>
      </c>
      <c r="E33" s="7"/>
      <c r="F33" s="7" t="s">
        <v>865</v>
      </c>
      <c r="G33" s="7" t="str">
        <f t="shared" si="3"/>
        <v>text</v>
      </c>
      <c r="H33" s="58"/>
      <c r="I33" s="23"/>
      <c r="J33" s="24" t="s">
        <v>1674</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milscm_2023_009.sny_202310_backup_merge_mml_lb_item.up_value IS '上限値';</v>
      </c>
    </row>
    <row r="34" spans="1:52" s="25" customFormat="1">
      <c r="A34" s="4"/>
      <c r="B34" s="21">
        <f t="shared" si="2"/>
        <v>22</v>
      </c>
      <c r="C34" s="13" t="s">
        <v>1649</v>
      </c>
      <c r="D34" s="13" t="s">
        <v>1650</v>
      </c>
      <c r="E34" s="7"/>
      <c r="F34" s="7" t="s">
        <v>865</v>
      </c>
      <c r="G34" s="7" t="str">
        <f t="shared" si="3"/>
        <v>text</v>
      </c>
      <c r="H34" s="58"/>
      <c r="I34" s="23"/>
      <c r="J34" s="24" t="s">
        <v>1675</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milscm_2023_009.sny_202310_backup_merge_mml_lb_item.low_value IS '下限値';</v>
      </c>
    </row>
    <row r="35" spans="1:52" s="25" customFormat="1">
      <c r="A35" s="4"/>
      <c r="B35" s="21">
        <f t="shared" si="2"/>
        <v>23</v>
      </c>
      <c r="C35" s="13" t="s">
        <v>1651</v>
      </c>
      <c r="D35" s="13" t="s">
        <v>1652</v>
      </c>
      <c r="E35" s="7"/>
      <c r="F35" s="7" t="s">
        <v>865</v>
      </c>
      <c r="G35" s="7" t="str">
        <f t="shared" si="3"/>
        <v>text</v>
      </c>
      <c r="H35" s="58"/>
      <c r="I35" s="23"/>
      <c r="J35" s="24" t="s">
        <v>1676</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milscm_2023_009.sny_202310_backup_merge_mml_lb_item.normal_value IS '文字列で示す基準値';</v>
      </c>
    </row>
    <row r="36" spans="1:52" s="25" customFormat="1" ht="52.2">
      <c r="A36" s="4"/>
      <c r="B36" s="21">
        <f t="shared" si="2"/>
        <v>24</v>
      </c>
      <c r="C36" s="13" t="s">
        <v>1653</v>
      </c>
      <c r="D36" s="13" t="s">
        <v>1654</v>
      </c>
      <c r="E36" s="7"/>
      <c r="F36" s="7" t="s">
        <v>865</v>
      </c>
      <c r="G36" s="7" t="str">
        <f t="shared" ref="G36:G37" si="7">IF(F36="フラグ","boolean",IF(F36="文字列","text",IF(F36="整数","integer",IF(F36="実数","numeric",""))))</f>
        <v>text</v>
      </c>
      <c r="H36" s="58"/>
      <c r="I36" s="23"/>
      <c r="J36" s="24" t="s">
        <v>1677</v>
      </c>
      <c r="M36" s="4"/>
      <c r="N36" s="76"/>
      <c r="O36" s="76"/>
      <c r="P36" s="76" t="str">
        <f t="shared" ref="P36:P37" si="8">IF(B36&lt;&gt;1,","&amp;D36,D36)</f>
        <v>,out_flag</v>
      </c>
      <c r="Q36" s="76" t="str">
        <f t="shared" ref="Q36:Q37" si="9">UPPER(G36)</f>
        <v>TEXT</v>
      </c>
      <c r="R36" s="76" t="str">
        <f t="shared" ref="R36:R37" si="10">IF(H36&lt;&gt;"","default "&amp;IF(G36="text","'"&amp;H36&amp;"'",H36),"")</f>
        <v/>
      </c>
      <c r="S36" s="76" t="str">
        <f t="shared" ref="S36:S37" si="11">IF(I36="○","NOT NULL","")</f>
        <v/>
      </c>
      <c r="T36" s="76" t="str">
        <f t="shared" ref="T36:T37" si="12">"-- "&amp;C36</f>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milscm_2023_009.sny_202310_backup_merge_mml_lb_item.out_flag IS '異常値フラグ';</v>
      </c>
    </row>
    <row r="37" spans="1:52" s="25" customFormat="1">
      <c r="A37" s="4"/>
      <c r="B37" s="21">
        <f t="shared" si="2"/>
        <v>25</v>
      </c>
      <c r="C37" s="13" t="s">
        <v>1655</v>
      </c>
      <c r="D37" s="13" t="s">
        <v>276</v>
      </c>
      <c r="E37" s="7"/>
      <c r="F37" s="7" t="s">
        <v>865</v>
      </c>
      <c r="G37" s="7" t="str">
        <f t="shared" si="7"/>
        <v>text</v>
      </c>
      <c r="H37" s="58"/>
      <c r="I37" s="23"/>
      <c r="J37" s="24" t="s">
        <v>1678</v>
      </c>
      <c r="M37" s="4"/>
      <c r="N37" s="76"/>
      <c r="O37" s="76"/>
      <c r="P37" s="76" t="str">
        <f t="shared" si="8"/>
        <v>,unit</v>
      </c>
      <c r="Q37" s="76" t="str">
        <f t="shared" si="9"/>
        <v>TEXT</v>
      </c>
      <c r="R37" s="76" t="str">
        <f t="shared" si="10"/>
        <v/>
      </c>
      <c r="S37" s="76" t="str">
        <f t="shared" si="11"/>
        <v/>
      </c>
      <c r="T37" s="76" t="str">
        <f t="shared" si="12"/>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milscm_2023_009.sny_202310_backup_merge_mml_lb_item.unit IS '単位';</v>
      </c>
    </row>
    <row r="38" spans="1:52" s="25" customFormat="1" ht="34.799999999999997">
      <c r="A38" s="4"/>
      <c r="B38" s="21">
        <f t="shared" si="2"/>
        <v>26</v>
      </c>
      <c r="C38" s="13" t="s">
        <v>1656</v>
      </c>
      <c r="D38" s="13" t="s">
        <v>1657</v>
      </c>
      <c r="E38" s="7"/>
      <c r="F38" s="7" t="s">
        <v>865</v>
      </c>
      <c r="G38" s="7" t="str">
        <f t="shared" si="3"/>
        <v>text</v>
      </c>
      <c r="H38" s="58"/>
      <c r="I38" s="23"/>
      <c r="J38" s="24" t="s">
        <v>1679</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milscm_2023_009.sny_202310_backup_merge_mml_lb_item.unit_code IS '単位コード';</v>
      </c>
    </row>
    <row r="39" spans="1:52" s="25" customFormat="1" ht="34.799999999999997">
      <c r="A39" s="4"/>
      <c r="B39" s="21">
        <f t="shared" si="2"/>
        <v>27</v>
      </c>
      <c r="C39" s="13" t="s">
        <v>1658</v>
      </c>
      <c r="D39" s="13" t="s">
        <v>1659</v>
      </c>
      <c r="E39" s="7"/>
      <c r="F39" s="7" t="s">
        <v>865</v>
      </c>
      <c r="G39" s="7" t="str">
        <f t="shared" si="3"/>
        <v>text</v>
      </c>
      <c r="H39" s="58"/>
      <c r="I39" s="23"/>
      <c r="J39" s="24" t="s">
        <v>1680</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milscm_2023_009.sny_202310_backup_merge_mml_lb_item.unit_code_id IS '単位コードID';</v>
      </c>
    </row>
    <row r="40" spans="1:52" s="25" customFormat="1" ht="18" thickBot="1">
      <c r="A40" s="4"/>
      <c r="B40" s="27">
        <f>ROW()-12</f>
        <v>28</v>
      </c>
      <c r="C40" s="57" t="s">
        <v>1660</v>
      </c>
      <c r="D40" s="57" t="s">
        <v>1661</v>
      </c>
      <c r="E40" s="56"/>
      <c r="F40" s="56" t="s">
        <v>865</v>
      </c>
      <c r="G40" s="56" t="str">
        <f t="shared" si="3"/>
        <v>text</v>
      </c>
      <c r="H40" s="59"/>
      <c r="I40" s="60"/>
      <c r="J40" s="64" t="s">
        <v>1681</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milscm_2023_009.sny_202310_backup_merge_mml_lb_item.item_free_comment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ENT_01_C4-37</v>
      </c>
      <c r="E6" s="234"/>
      <c r="F6" s="234"/>
      <c r="G6" s="234"/>
      <c r="H6" s="234"/>
      <c r="I6" s="234"/>
      <c r="J6" s="235"/>
    </row>
    <row r="7" spans="1:45">
      <c r="B7" s="223" t="s">
        <v>115</v>
      </c>
      <c r="C7" s="224"/>
      <c r="D7" s="225" t="s">
        <v>1682</v>
      </c>
      <c r="E7" s="226"/>
      <c r="F7" s="226"/>
      <c r="G7" s="226"/>
      <c r="H7" s="226"/>
      <c r="I7" s="226"/>
      <c r="J7" s="227"/>
    </row>
    <row r="8" spans="1:45">
      <c r="B8" s="223" t="s">
        <v>116</v>
      </c>
      <c r="C8" s="224"/>
      <c r="D8" s="225" t="str">
        <f>エンティティ一覧!AE2&amp;"_"&amp;D5&amp;"_merge_mml_vs_vitalsign"</f>
        <v>sny_202310_backup_merge_mml_vs_vitalsign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milscm_2023_009.sny_202310_backup_merge_mml_vs_vitalsign;</v>
      </c>
      <c r="O10" s="76"/>
      <c r="P10" s="76"/>
      <c r="Q10" s="76"/>
      <c r="R10" s="76"/>
      <c r="S10" s="76"/>
      <c r="T10" s="76"/>
      <c r="AJ10" s="76" t="str">
        <f>"ALTER TABLE ONLY "&amp;エンティティ一覧!$O$2&amp;"."&amp;D$8</f>
        <v>ALTER TABLE ONLY milscm_2023_009.sny_202310_backup_merge_mml_vs_vitalsign</v>
      </c>
      <c r="AS10" s="76" t="str">
        <f>"ALTER TABLE "&amp;エンティティ一覧!$O$2&amp;"."&amp;D$8&amp;" OWNER TO pgmisgrp1;"</f>
        <v>ALTER TABLE milscm_2023_009.sny_202310_backup_merge_mml_vs_vitalsign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milscm_2023_009.sny_202310_backup_merge_mml_vs_vitalsign</v>
      </c>
      <c r="O11" s="76"/>
      <c r="P11" s="76"/>
      <c r="Q11" s="76"/>
      <c r="R11" s="76"/>
      <c r="S11" s="76"/>
      <c r="T11" s="76"/>
      <c r="AJ11" s="76" t="str">
        <f>"ADD CONSTRAINT "&amp;D$8&amp;"_pkey PRIMARY KEY"</f>
        <v>ADD CONSTRAINT sny_202310_backup_merge_mml_vs_vitalsign_pkey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milscm_2023_009.sny_202310_backup_merge_mml_vs_vitalsign IS 'バックアップ_バイタルサインモジュール_バイタルサイン';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milscm_2023_009.sny_202310_backup_merge_mml_vs_vitalsign.torikomi_ym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milscm_2023_009.sny_202310_backup_merge_mml_vs_vitalsign.facility_id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milscm_2023_009.sny_202310_backup_merge_mml_vs_vitalsign.data_type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milscm_2023_009.sny_202310_backup_merge_mml_vs_vitalsign.master_id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milscm_2023_009.sny_202310_backup_merge_mml_vs_vitalsign.uid IS '文書ユニークID';</v>
      </c>
    </row>
    <row r="20" spans="1:45"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milscm_2023_009.sny_202310_backup_merge_mml_vs_vitalsign.vital_seq IS 'バイタルSEQ';</v>
      </c>
    </row>
    <row r="21" spans="1:45" s="25" customFormat="1">
      <c r="A21" s="4"/>
      <c r="B21" s="21">
        <f t="shared" si="2"/>
        <v>9</v>
      </c>
      <c r="C21" s="13" t="s">
        <v>1685</v>
      </c>
      <c r="D21" s="13" t="s">
        <v>1686</v>
      </c>
      <c r="E21" s="7"/>
      <c r="F21" s="7" t="s">
        <v>865</v>
      </c>
      <c r="G21" s="7" t="str">
        <f t="shared" si="3"/>
        <v>text</v>
      </c>
      <c r="H21" s="58"/>
      <c r="I21" s="23"/>
      <c r="J21" s="24" t="s">
        <v>1707</v>
      </c>
      <c r="M21" s="4"/>
      <c r="N21" s="76"/>
      <c r="O21" s="76"/>
      <c r="P21" s="76" t="str">
        <f t="shared" si="4"/>
        <v>,department_name</v>
      </c>
      <c r="Q21" s="76" t="str">
        <f t="shared" si="0"/>
        <v>TEXT</v>
      </c>
      <c r="R21" s="76" t="str">
        <f t="shared" si="1"/>
        <v/>
      </c>
      <c r="S21" s="76" t="str">
        <f t="shared" si="5"/>
        <v/>
      </c>
      <c r="T21" s="76" t="str">
        <f t="shared" si="6"/>
        <v>-- 診療科名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milscm_2023_009.sny_202310_backup_merge_mml_vs_vitalsign.department_name IS '診療科名';</v>
      </c>
    </row>
    <row r="22" spans="1:45" s="25" customFormat="1" ht="34.799999999999997">
      <c r="A22" s="4"/>
      <c r="B22" s="21">
        <f t="shared" si="2"/>
        <v>10</v>
      </c>
      <c r="C22" s="13" t="s">
        <v>603</v>
      </c>
      <c r="D22" s="13" t="s">
        <v>1687</v>
      </c>
      <c r="E22" s="7"/>
      <c r="F22" s="7" t="s">
        <v>865</v>
      </c>
      <c r="G22" s="7" t="str">
        <f t="shared" si="3"/>
        <v>text</v>
      </c>
      <c r="H22" s="58"/>
      <c r="I22" s="23"/>
      <c r="J22" s="24" t="s">
        <v>1708</v>
      </c>
      <c r="M22" s="4"/>
      <c r="N22" s="76"/>
      <c r="O22" s="76"/>
      <c r="P22" s="76" t="str">
        <f t="shared" si="4"/>
        <v>,department_code</v>
      </c>
      <c r="Q22" s="76" t="str">
        <f t="shared" si="0"/>
        <v>TEXT</v>
      </c>
      <c r="R22" s="76" t="str">
        <f t="shared" si="1"/>
        <v/>
      </c>
      <c r="S22" s="76" t="str">
        <f t="shared" si="5"/>
        <v/>
      </c>
      <c r="T22" s="76" t="str">
        <f t="shared" si="6"/>
        <v>-- 診療科コード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milscm_2023_009.sny_202310_backup_merge_mml_vs_vitalsign.department_code IS '診療科コード';</v>
      </c>
    </row>
    <row r="23" spans="1:45" s="25" customFormat="1">
      <c r="A23" s="4"/>
      <c r="B23" s="21">
        <f t="shared" si="2"/>
        <v>11</v>
      </c>
      <c r="C23" s="13" t="s">
        <v>1688</v>
      </c>
      <c r="D23" s="13" t="s">
        <v>1689</v>
      </c>
      <c r="E23" s="7"/>
      <c r="F23" s="7" t="s">
        <v>865</v>
      </c>
      <c r="G23" s="7" t="str">
        <f t="shared" si="3"/>
        <v>text</v>
      </c>
      <c r="H23" s="58"/>
      <c r="I23" s="23"/>
      <c r="J23" s="24" t="s">
        <v>1709</v>
      </c>
      <c r="M23" s="4"/>
      <c r="N23" s="76"/>
      <c r="O23" s="76"/>
      <c r="P23" s="76" t="str">
        <f t="shared" si="4"/>
        <v>,ward</v>
      </c>
      <c r="Q23" s="76" t="str">
        <f t="shared" si="0"/>
        <v>TEXT</v>
      </c>
      <c r="R23" s="76" t="str">
        <f t="shared" si="1"/>
        <v/>
      </c>
      <c r="S23" s="76" t="str">
        <f t="shared" si="5"/>
        <v/>
      </c>
      <c r="T23" s="76" t="str">
        <f t="shared" si="6"/>
        <v>-- 病棟</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milscm_2023_009.sny_202310_backup_merge_mml_vs_vitalsign.ward IS '病棟';</v>
      </c>
    </row>
    <row r="24" spans="1:45" s="25" customFormat="1" ht="34.799999999999997">
      <c r="A24" s="4"/>
      <c r="B24" s="21">
        <f t="shared" si="2"/>
        <v>12</v>
      </c>
      <c r="C24" s="13" t="s">
        <v>238</v>
      </c>
      <c r="D24" s="13" t="s">
        <v>239</v>
      </c>
      <c r="E24" s="7"/>
      <c r="F24" s="7" t="s">
        <v>865</v>
      </c>
      <c r="G24" s="7" t="str">
        <f t="shared" si="3"/>
        <v>text</v>
      </c>
      <c r="H24" s="58"/>
      <c r="I24" s="23"/>
      <c r="J24" s="24" t="s">
        <v>1710</v>
      </c>
      <c r="M24" s="4"/>
      <c r="N24" s="76"/>
      <c r="O24" s="76"/>
      <c r="P24" s="76" t="str">
        <f t="shared" si="4"/>
        <v>,ward_code</v>
      </c>
      <c r="Q24" s="76" t="str">
        <f t="shared" si="0"/>
        <v>TEXT</v>
      </c>
      <c r="R24" s="76" t="str">
        <f t="shared" si="1"/>
        <v/>
      </c>
      <c r="S24" s="76" t="str">
        <f t="shared" si="5"/>
        <v/>
      </c>
      <c r="T24" s="76" t="str">
        <f t="shared" si="6"/>
        <v>-- 病棟コード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milscm_2023_009.sny_202310_backup_merge_mml_vs_vitalsign.ward_code IS '病棟コード';</v>
      </c>
    </row>
    <row r="25" spans="1:45" s="25" customFormat="1" ht="34.799999999999997">
      <c r="A25" s="4"/>
      <c r="B25" s="21">
        <f t="shared" si="2"/>
        <v>13</v>
      </c>
      <c r="C25" s="13" t="s">
        <v>1690</v>
      </c>
      <c r="D25" s="13" t="s">
        <v>1691</v>
      </c>
      <c r="E25" s="7"/>
      <c r="F25" s="7" t="s">
        <v>865</v>
      </c>
      <c r="G25" s="7" t="str">
        <f t="shared" si="3"/>
        <v>text</v>
      </c>
      <c r="H25" s="58"/>
      <c r="I25" s="23"/>
      <c r="J25" s="24" t="s">
        <v>1711</v>
      </c>
      <c r="M25" s="4"/>
      <c r="N25" s="76"/>
      <c r="O25" s="76"/>
      <c r="P25" s="76" t="str">
        <f t="shared" si="4"/>
        <v>,ward_code_id</v>
      </c>
      <c r="Q25" s="76" t="str">
        <f t="shared" si="0"/>
        <v>TEXT</v>
      </c>
      <c r="R25" s="76" t="str">
        <f t="shared" si="1"/>
        <v/>
      </c>
      <c r="S25" s="76" t="str">
        <f t="shared" si="5"/>
        <v/>
      </c>
      <c r="T25" s="76" t="str">
        <f t="shared" si="6"/>
        <v>-- 病棟コードID</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milscm_2023_009.sny_202310_backup_merge_mml_vs_vitalsign.ward_code_id IS '病棟コードID';</v>
      </c>
    </row>
    <row r="26" spans="1:45" s="25" customFormat="1" ht="34.799999999999997">
      <c r="A26" s="4"/>
      <c r="B26" s="21">
        <f t="shared" si="2"/>
        <v>14</v>
      </c>
      <c r="C26" s="13" t="s">
        <v>1692</v>
      </c>
      <c r="D26" s="13" t="s">
        <v>1693</v>
      </c>
      <c r="E26" s="7"/>
      <c r="F26" s="7" t="s">
        <v>865</v>
      </c>
      <c r="G26" s="7" t="str">
        <f t="shared" si="3"/>
        <v>text</v>
      </c>
      <c r="H26" s="58"/>
      <c r="I26" s="23"/>
      <c r="J26" s="24" t="s">
        <v>1712</v>
      </c>
      <c r="M26" s="4"/>
      <c r="N26" s="76"/>
      <c r="O26" s="76"/>
      <c r="P26" s="76" t="str">
        <f t="shared" si="4"/>
        <v>,vital_sign_time</v>
      </c>
      <c r="Q26" s="76" t="str">
        <f t="shared" si="0"/>
        <v>TEXT</v>
      </c>
      <c r="R26" s="76" t="str">
        <f t="shared" si="1"/>
        <v/>
      </c>
      <c r="S26" s="76" t="str">
        <f t="shared" si="5"/>
        <v/>
      </c>
      <c r="T26" s="76" t="str">
        <f t="shared" si="6"/>
        <v>-- バイタルサインの計測時間</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milscm_2023_009.sny_202310_backup_merge_mml_vs_vitalsign.vital_sign_time IS 'バイタルサインの計測時間';</v>
      </c>
    </row>
    <row r="27" spans="1:45" s="25" customFormat="1">
      <c r="A27" s="4"/>
      <c r="B27" s="21">
        <f t="shared" si="2"/>
        <v>15</v>
      </c>
      <c r="C27" s="13" t="s">
        <v>1694</v>
      </c>
      <c r="D27" s="13" t="s">
        <v>1695</v>
      </c>
      <c r="E27" s="7"/>
      <c r="F27" s="7" t="s">
        <v>865</v>
      </c>
      <c r="G27" s="7" t="str">
        <f t="shared" si="3"/>
        <v>text</v>
      </c>
      <c r="H27" s="58"/>
      <c r="I27" s="23"/>
      <c r="J27" s="24" t="s">
        <v>1713</v>
      </c>
      <c r="M27" s="4"/>
      <c r="N27" s="76"/>
      <c r="O27" s="76"/>
      <c r="P27" s="76" t="str">
        <f t="shared" si="4"/>
        <v>,keisoku_tejun</v>
      </c>
      <c r="Q27" s="76" t="str">
        <f t="shared" si="0"/>
        <v>TEXT</v>
      </c>
      <c r="R27" s="76" t="str">
        <f t="shared" si="1"/>
        <v/>
      </c>
      <c r="S27" s="76" t="str">
        <f t="shared" si="5"/>
        <v/>
      </c>
      <c r="T27" s="76" t="str">
        <f t="shared" si="6"/>
        <v>-- 計測手順</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milscm_2023_009.sny_202310_backup_merge_mml_vs_vitalsign.keisoku_tejun IS '計測手順';</v>
      </c>
    </row>
    <row r="28" spans="1:45" s="25" customFormat="1">
      <c r="A28" s="4"/>
      <c r="B28" s="21">
        <f t="shared" si="2"/>
        <v>16</v>
      </c>
      <c r="C28" s="13" t="s">
        <v>1696</v>
      </c>
      <c r="D28" s="13" t="s">
        <v>1697</v>
      </c>
      <c r="E28" s="7"/>
      <c r="F28" s="7" t="s">
        <v>865</v>
      </c>
      <c r="G28" s="7" t="str">
        <f t="shared" si="3"/>
        <v>text</v>
      </c>
      <c r="H28" s="58"/>
      <c r="I28" s="23"/>
      <c r="J28" s="24" t="s">
        <v>1714</v>
      </c>
      <c r="M28" s="4"/>
      <c r="N28" s="76"/>
      <c r="O28" s="76"/>
      <c r="P28" s="76" t="str">
        <f t="shared" si="4"/>
        <v>,keisoku_device</v>
      </c>
      <c r="Q28" s="76" t="str">
        <f t="shared" si="0"/>
        <v>TEXT</v>
      </c>
      <c r="R28" s="76" t="str">
        <f t="shared" si="1"/>
        <v/>
      </c>
      <c r="S28" s="76" t="str">
        <f t="shared" si="5"/>
        <v/>
      </c>
      <c r="T28" s="76" t="str">
        <f t="shared" si="6"/>
        <v>-- 計測器具</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milscm_2023_009.sny_202310_backup_merge_mml_vs_vitalsign.keisoku_device IS '計測器具';</v>
      </c>
    </row>
    <row r="29" spans="1:45" s="25" customFormat="1">
      <c r="A29" s="4"/>
      <c r="B29" s="21">
        <f t="shared" si="2"/>
        <v>17</v>
      </c>
      <c r="C29" s="13" t="s">
        <v>1698</v>
      </c>
      <c r="D29" s="13" t="s">
        <v>1699</v>
      </c>
      <c r="E29" s="7"/>
      <c r="F29" s="7" t="s">
        <v>865</v>
      </c>
      <c r="G29" s="7" t="str">
        <f t="shared" si="3"/>
        <v>text</v>
      </c>
      <c r="H29" s="58"/>
      <c r="I29" s="23"/>
      <c r="J29" s="24" t="s">
        <v>1715</v>
      </c>
      <c r="M29" s="4"/>
      <c r="N29" s="76"/>
      <c r="O29" s="76"/>
      <c r="P29" s="76" t="str">
        <f t="shared" si="4"/>
        <v>,keisoku_bui</v>
      </c>
      <c r="Q29" s="76" t="str">
        <f t="shared" si="0"/>
        <v>TEXT</v>
      </c>
      <c r="R29" s="76" t="str">
        <f t="shared" si="1"/>
        <v/>
      </c>
      <c r="S29" s="76" t="str">
        <f t="shared" si="5"/>
        <v/>
      </c>
      <c r="T29" s="76" t="str">
        <f t="shared" si="6"/>
        <v>-- 計測部位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milscm_2023_009.sny_202310_backup_merge_mml_vs_vitalsign.keisoku_bui IS '計測部位';</v>
      </c>
    </row>
    <row r="30" spans="1:45" s="25" customFormat="1">
      <c r="A30" s="4"/>
      <c r="B30" s="21">
        <f t="shared" si="2"/>
        <v>18</v>
      </c>
      <c r="C30" s="13" t="s">
        <v>1700</v>
      </c>
      <c r="D30" s="13" t="s">
        <v>1701</v>
      </c>
      <c r="E30" s="7"/>
      <c r="F30" s="7" t="s">
        <v>865</v>
      </c>
      <c r="G30" s="7" t="str">
        <f t="shared" si="3"/>
        <v>text</v>
      </c>
      <c r="H30" s="58"/>
      <c r="I30" s="23"/>
      <c r="J30" s="24" t="s">
        <v>1716</v>
      </c>
      <c r="M30" s="4"/>
      <c r="N30" s="76"/>
      <c r="O30" s="76"/>
      <c r="P30" s="76" t="str">
        <f t="shared" si="4"/>
        <v>,keisoku_position</v>
      </c>
      <c r="Q30" s="76" t="str">
        <f t="shared" si="0"/>
        <v>TEXT</v>
      </c>
      <c r="R30" s="76" t="str">
        <f t="shared" si="1"/>
        <v/>
      </c>
      <c r="S30" s="76" t="str">
        <f t="shared" si="5"/>
        <v/>
      </c>
      <c r="T30" s="76" t="str">
        <f t="shared" si="6"/>
        <v>-- 計測時体位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milscm_2023_009.sny_202310_backup_merge_mml_vs_vitalsign.keisoku_position IS '計測時体位';</v>
      </c>
    </row>
    <row r="31" spans="1:45" s="25" customFormat="1" ht="30">
      <c r="A31" s="4"/>
      <c r="B31" s="21">
        <f t="shared" si="2"/>
        <v>19</v>
      </c>
      <c r="C31" s="13" t="s">
        <v>1702</v>
      </c>
      <c r="D31" s="13" t="s">
        <v>1703</v>
      </c>
      <c r="E31" s="7"/>
      <c r="F31" s="7" t="s">
        <v>865</v>
      </c>
      <c r="G31" s="7" t="str">
        <f t="shared" si="3"/>
        <v>text</v>
      </c>
      <c r="H31" s="58"/>
      <c r="I31" s="23"/>
      <c r="J31" s="24" t="s">
        <v>1717</v>
      </c>
      <c r="M31" s="4"/>
      <c r="N31" s="76"/>
      <c r="O31" s="76"/>
      <c r="P31" s="76" t="str">
        <f t="shared" si="4"/>
        <v>,keisoku_method_comment</v>
      </c>
      <c r="Q31" s="76" t="str">
        <f t="shared" si="0"/>
        <v>TEXT</v>
      </c>
      <c r="R31" s="76" t="str">
        <f t="shared" si="1"/>
        <v/>
      </c>
      <c r="S31" s="76" t="str">
        <f t="shared" si="5"/>
        <v/>
      </c>
      <c r="T31" s="76" t="str">
        <f t="shared" si="6"/>
        <v>-- 計測方法コメント</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milscm_2023_009.sny_202310_backup_merge_mml_vs_vitalsign.keisoku_method_comment IS '計測方法コメント';</v>
      </c>
    </row>
    <row r="32" spans="1:45" s="25" customFormat="1" ht="18" thickBot="1">
      <c r="A32" s="4"/>
      <c r="B32" s="27">
        <f>ROW()-12</f>
        <v>20</v>
      </c>
      <c r="C32" s="57" t="s">
        <v>1704</v>
      </c>
      <c r="D32" s="57" t="s">
        <v>1705</v>
      </c>
      <c r="E32" s="56"/>
      <c r="F32" s="56" t="s">
        <v>865</v>
      </c>
      <c r="G32" s="56" t="str">
        <f t="shared" si="3"/>
        <v>text</v>
      </c>
      <c r="H32" s="59"/>
      <c r="I32" s="60"/>
      <c r="J32" s="64" t="s">
        <v>1718</v>
      </c>
      <c r="N32" s="76"/>
      <c r="O32" s="76"/>
      <c r="P32" s="76" t="str">
        <f t="shared" si="4"/>
        <v>,kiroku_comment</v>
      </c>
      <c r="Q32" s="76" t="str">
        <f t="shared" si="0"/>
        <v>TEXT</v>
      </c>
      <c r="R32" s="76" t="str">
        <f t="shared" si="1"/>
        <v/>
      </c>
      <c r="S32" s="76" t="str">
        <f t="shared" si="5"/>
        <v/>
      </c>
      <c r="T32" s="76" t="str">
        <f t="shared" si="6"/>
        <v>-- 記録コメント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milscm_2023_009.sny_202310_backup_merge_mml_vs_vitalsign.kiroku_comment IS '記録コメント';</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ENT_01_C4-38</v>
      </c>
      <c r="E6" s="234"/>
      <c r="F6" s="234"/>
      <c r="G6" s="234"/>
      <c r="H6" s="234"/>
      <c r="I6" s="234"/>
      <c r="J6" s="235"/>
    </row>
    <row r="7" spans="1:45">
      <c r="B7" s="223" t="s">
        <v>115</v>
      </c>
      <c r="C7" s="224"/>
      <c r="D7" s="225" t="s">
        <v>1719</v>
      </c>
      <c r="E7" s="226"/>
      <c r="F7" s="226"/>
      <c r="G7" s="226"/>
      <c r="H7" s="226"/>
      <c r="I7" s="226"/>
      <c r="J7" s="227"/>
    </row>
    <row r="8" spans="1:45">
      <c r="B8" s="223" t="s">
        <v>116</v>
      </c>
      <c r="C8" s="224"/>
      <c r="D8" s="225" t="str">
        <f>エンティティ一覧!AE2&amp;"_"&amp;D5&amp;"_merge_mml_vs_item"</f>
        <v>sny_202310_backup_merge_mml_vs_item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milscm_2023_009.sny_202310_backup_merge_mml_vs_item;</v>
      </c>
      <c r="O10" s="76"/>
      <c r="P10" s="76"/>
      <c r="Q10" s="76"/>
      <c r="R10" s="76"/>
      <c r="S10" s="76"/>
      <c r="T10" s="76"/>
      <c r="AJ10" s="76" t="str">
        <f>"ALTER TABLE ONLY "&amp;エンティティ一覧!$O$2&amp;"."&amp;D$8</f>
        <v>ALTER TABLE ONLY milscm_2023_009.sny_202310_backup_merge_mml_vs_item</v>
      </c>
      <c r="AS10" s="76" t="str">
        <f>"ALTER TABLE "&amp;エンティティ一覧!$O$2&amp;"."&amp;D$8&amp;" OWNER TO pgmisgrp1;"</f>
        <v>ALTER TABLE milscm_2023_009.sny_202310_backup_merge_mml_vs_item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milscm_2023_009.sny_202310_backup_merge_mml_vs_item</v>
      </c>
      <c r="O11" s="76"/>
      <c r="P11" s="76"/>
      <c r="Q11" s="76"/>
      <c r="R11" s="76"/>
      <c r="S11" s="76"/>
      <c r="T11" s="76"/>
      <c r="AJ11" s="76" t="str">
        <f>"ADD CONSTRAINT "&amp;D$8&amp;"_pkey PRIMARY KEY"</f>
        <v>ADD CONSTRAINT sny_202310_backup_merge_mml_vs_item_pkey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milscm_2023_009.sny_202310_backup_merge_mml_vs_item IS 'バックアップ_バイタルサインモジュール_記録項目';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milscm_2023_009.sny_202310_backup_merge_mml_vs_item.torikomi_ym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milscm_2023_009.sny_202310_backup_merge_mml_vs_item.mil_karute_id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milscm_2023_009.sny_202310_backup_merge_mml_vs_item.facility_id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milscm_2023_009.sny_202310_backup_merge_mml_vs_item.shinryo_ymd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milscm_2023_009.sny_202310_backup_merge_mml_vs_item.data_type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milscm_2023_009.sny_202310_backup_merge_mml_vs_item.master_id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milscm_2023_009.sny_202310_backup_merge_mml_vs_item.uid IS '文書ユニークID';</v>
      </c>
    </row>
    <row r="20" spans="1:52" s="25" customFormat="1">
      <c r="A20" s="4"/>
      <c r="B20" s="21">
        <f t="shared" si="2"/>
        <v>8</v>
      </c>
      <c r="C20" s="13" t="s">
        <v>1683</v>
      </c>
      <c r="D20" s="13" t="s">
        <v>1684</v>
      </c>
      <c r="E20" s="7" t="s">
        <v>127</v>
      </c>
      <c r="F20" s="7" t="s">
        <v>204</v>
      </c>
      <c r="G20" s="7" t="str">
        <f t="shared" si="3"/>
        <v>integer</v>
      </c>
      <c r="H20" s="58"/>
      <c r="I20" s="23" t="s">
        <v>127</v>
      </c>
      <c r="J20" s="24" t="s">
        <v>1706</v>
      </c>
      <c r="M20" s="4"/>
      <c r="N20" s="76"/>
      <c r="O20" s="76"/>
      <c r="P20" s="76" t="str">
        <f t="shared" si="4"/>
        <v>,vital_seq</v>
      </c>
      <c r="Q20" s="76" t="str">
        <f t="shared" si="0"/>
        <v>INTEGER</v>
      </c>
      <c r="R20" s="76" t="str">
        <f t="shared" si="1"/>
        <v/>
      </c>
      <c r="S20" s="76" t="str">
        <f t="shared" si="5"/>
        <v>NOT NULL</v>
      </c>
      <c r="T20" s="76" t="str">
        <f t="shared" si="6"/>
        <v>-- バイタルSEQ</v>
      </c>
      <c r="U20" s="4"/>
      <c r="AA20" s="4"/>
      <c r="AB20" s="4"/>
      <c r="AC20" s="4"/>
      <c r="AD20" s="4"/>
      <c r="AE20" s="4"/>
      <c r="AF20" s="4"/>
      <c r="AG20" s="4"/>
      <c r="AH20" s="4"/>
      <c r="AI20" s="4"/>
      <c r="AJ20" s="76" t="str">
        <f>IF(E20="○",IF(COUNTA(E$13:E20)=1,"",",")&amp;D20,"")</f>
        <v>,vital_seq</v>
      </c>
      <c r="AK20" s="4"/>
      <c r="AL20" s="4"/>
      <c r="AM20" s="4"/>
      <c r="AN20" s="4"/>
      <c r="AO20" s="4"/>
      <c r="AP20" s="4"/>
      <c r="AQ20" s="4"/>
      <c r="AR20" s="4"/>
      <c r="AS20" s="76" t="str">
        <f>"COMMENT ON COLUMN "&amp;エンティティ一覧!$O$2&amp;"."&amp;D$8&amp;"."&amp;D20&amp;" IS '"&amp;C20&amp;"';"</f>
        <v>COMMENT ON COLUMN milscm_2023_009.sny_202310_backup_merge_mml_vs_item.vital_seq IS 'バイタルSEQ';</v>
      </c>
    </row>
    <row r="21" spans="1:52" s="25" customFormat="1">
      <c r="A21" s="4"/>
      <c r="B21" s="21">
        <f t="shared" si="2"/>
        <v>9</v>
      </c>
      <c r="C21" s="13" t="s">
        <v>1720</v>
      </c>
      <c r="D21" s="13" t="s">
        <v>1721</v>
      </c>
      <c r="E21" s="7" t="s">
        <v>127</v>
      </c>
      <c r="F21" s="7" t="s">
        <v>204</v>
      </c>
      <c r="G21" s="7" t="str">
        <f t="shared" si="3"/>
        <v>integer</v>
      </c>
      <c r="H21" s="58"/>
      <c r="I21" s="23" t="s">
        <v>127</v>
      </c>
      <c r="J21" s="24" t="s">
        <v>1728</v>
      </c>
      <c r="M21" s="4"/>
      <c r="N21" s="76"/>
      <c r="O21" s="76"/>
      <c r="P21" s="76" t="str">
        <f t="shared" si="4"/>
        <v>,item_seq</v>
      </c>
      <c r="Q21" s="76" t="str">
        <f t="shared" si="0"/>
        <v>INTEGER</v>
      </c>
      <c r="R21" s="76" t="str">
        <f t="shared" si="1"/>
        <v/>
      </c>
      <c r="S21" s="76" t="str">
        <f t="shared" si="5"/>
        <v>NOT NULL</v>
      </c>
      <c r="T21" s="76" t="str">
        <f t="shared" si="6"/>
        <v>-- 項目SEQ</v>
      </c>
      <c r="U21" s="4"/>
      <c r="AA21" s="4"/>
      <c r="AB21" s="4"/>
      <c r="AC21" s="4"/>
      <c r="AD21" s="4"/>
      <c r="AE21" s="4"/>
      <c r="AF21" s="4"/>
      <c r="AG21" s="4"/>
      <c r="AH21" s="4"/>
      <c r="AI21" s="4"/>
      <c r="AJ21" s="76" t="str">
        <f>IF(E21="○",IF(COUNTA(E$13:E21)=1,"",",")&amp;D21,"")</f>
        <v>,item_seq</v>
      </c>
      <c r="AK21" s="4"/>
      <c r="AL21" s="4"/>
      <c r="AM21" s="4"/>
      <c r="AN21" s="4"/>
      <c r="AO21" s="4"/>
      <c r="AP21" s="4"/>
      <c r="AQ21" s="4"/>
      <c r="AR21" s="4"/>
      <c r="AS21" s="76" t="str">
        <f>"COMMENT ON COLUMN "&amp;エンティティ一覧!$O$2&amp;"."&amp;D$8&amp;"."&amp;D21&amp;" IS '"&amp;C21&amp;"';"</f>
        <v>COMMENT ON COLUMN milscm_2023_009.sny_202310_backup_merge_mml_vs_item.item_seq IS '項目SEQ';</v>
      </c>
    </row>
    <row r="22" spans="1:52" s="25" customFormat="1" ht="34.799999999999997">
      <c r="A22" s="4"/>
      <c r="B22" s="21">
        <f t="shared" si="2"/>
        <v>10</v>
      </c>
      <c r="C22" s="13" t="s">
        <v>1627</v>
      </c>
      <c r="D22" s="13" t="s">
        <v>1628</v>
      </c>
      <c r="E22" s="7"/>
      <c r="F22" s="7" t="s">
        <v>865</v>
      </c>
      <c r="G22" s="7" t="str">
        <f t="shared" si="3"/>
        <v>text</v>
      </c>
      <c r="H22" s="58"/>
      <c r="I22" s="23"/>
      <c r="J22" s="24" t="s">
        <v>1729</v>
      </c>
      <c r="M22" s="4"/>
      <c r="N22" s="76"/>
      <c r="O22" s="76"/>
      <c r="P22" s="76" t="str">
        <f t="shared" si="4"/>
        <v>,item_name</v>
      </c>
      <c r="Q22" s="76" t="str">
        <f t="shared" si="0"/>
        <v>TEXT</v>
      </c>
      <c r="R22" s="76" t="str">
        <f t="shared" si="1"/>
        <v/>
      </c>
      <c r="S22" s="76" t="str">
        <f t="shared" si="5"/>
        <v/>
      </c>
      <c r="T22" s="76" t="str">
        <f t="shared" si="6"/>
        <v>-- 項目名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milscm_2023_009.sny_202310_backup_merge_mml_vs_item.item_name IS '項目名';</v>
      </c>
    </row>
    <row r="23" spans="1:52" s="25" customFormat="1" ht="30">
      <c r="A23" s="4"/>
      <c r="B23" s="21">
        <f t="shared" si="2"/>
        <v>11</v>
      </c>
      <c r="C23" s="13" t="s">
        <v>1722</v>
      </c>
      <c r="D23" s="13" t="s">
        <v>1723</v>
      </c>
      <c r="E23" s="7"/>
      <c r="F23" s="7" t="s">
        <v>865</v>
      </c>
      <c r="G23" s="7" t="str">
        <f t="shared" si="3"/>
        <v>text</v>
      </c>
      <c r="H23" s="58"/>
      <c r="I23" s="23"/>
      <c r="J23" s="24" t="s">
        <v>1730</v>
      </c>
      <c r="M23" s="4"/>
      <c r="N23" s="76"/>
      <c r="O23" s="76"/>
      <c r="P23" s="76" t="str">
        <f t="shared" si="4"/>
        <v>,vital_sign_value</v>
      </c>
      <c r="Q23" s="76" t="str">
        <f t="shared" si="0"/>
        <v>TEXT</v>
      </c>
      <c r="R23" s="76" t="str">
        <f t="shared" si="1"/>
        <v/>
      </c>
      <c r="S23" s="76" t="str">
        <f t="shared" si="5"/>
        <v/>
      </c>
      <c r="T23" s="76" t="str">
        <f t="shared" si="6"/>
        <v>-- 文字列で表記されるバイタルサインの値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milscm_2023_009.sny_202310_backup_merge_mml_vs_item.vital_sign_value IS '文字列で表記されるバイタルサインの値';</v>
      </c>
    </row>
    <row r="24" spans="1:52" s="25" customFormat="1" ht="30">
      <c r="A24" s="4"/>
      <c r="B24" s="21">
        <f t="shared" si="2"/>
        <v>12</v>
      </c>
      <c r="C24" s="13" t="s">
        <v>1724</v>
      </c>
      <c r="D24" s="13" t="s">
        <v>1725</v>
      </c>
      <c r="E24" s="7"/>
      <c r="F24" s="7" t="s">
        <v>865</v>
      </c>
      <c r="G24" s="7" t="str">
        <f t="shared" si="3"/>
        <v>text</v>
      </c>
      <c r="H24" s="58"/>
      <c r="I24" s="23"/>
      <c r="J24" s="24" t="s">
        <v>1731</v>
      </c>
      <c r="M24" s="4"/>
      <c r="N24" s="76"/>
      <c r="O24" s="76"/>
      <c r="P24" s="76" t="str">
        <f t="shared" si="4"/>
        <v>,vital_sign_num_value</v>
      </c>
      <c r="Q24" s="76" t="str">
        <f t="shared" si="0"/>
        <v>TEXT</v>
      </c>
      <c r="R24" s="76" t="str">
        <f t="shared" si="1"/>
        <v/>
      </c>
      <c r="S24" s="76" t="str">
        <f t="shared" si="5"/>
        <v/>
      </c>
      <c r="T24" s="76" t="str">
        <f t="shared" si="6"/>
        <v>-- 数値で表記されるバイタルサインの値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milscm_2023_009.sny_202310_backup_merge_mml_vs_item.vital_sign_num_value IS '数値で表記されるバイタルサインの値';</v>
      </c>
    </row>
    <row r="25" spans="1:52" s="25" customFormat="1" ht="35.4" thickBot="1">
      <c r="A25" s="4"/>
      <c r="B25" s="27">
        <f>ROW()-12</f>
        <v>13</v>
      </c>
      <c r="C25" s="57" t="s">
        <v>1726</v>
      </c>
      <c r="D25" s="57" t="s">
        <v>1727</v>
      </c>
      <c r="E25" s="56"/>
      <c r="F25" s="56" t="s">
        <v>865</v>
      </c>
      <c r="G25" s="56" t="str">
        <f t="shared" si="3"/>
        <v>text</v>
      </c>
      <c r="H25" s="59"/>
      <c r="I25" s="60"/>
      <c r="J25" s="64" t="s">
        <v>1732</v>
      </c>
      <c r="N25" s="76"/>
      <c r="O25" s="76"/>
      <c r="P25" s="76" t="str">
        <f t="shared" si="4"/>
        <v>,vital_sign_unit</v>
      </c>
      <c r="Q25" s="76" t="str">
        <f t="shared" si="0"/>
        <v>TEXT</v>
      </c>
      <c r="R25" s="76" t="str">
        <f t="shared" si="1"/>
        <v/>
      </c>
      <c r="S25" s="76" t="str">
        <f t="shared" si="5"/>
        <v/>
      </c>
      <c r="T25" s="76" t="str">
        <f t="shared" si="6"/>
        <v>-- バイタルサインの単位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milscm_2023_009.sny_202310_backup_merge_mml_vs_item.vital_sign_unit IS 'バイタルサインの単位';</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ENT_01_C4-40</v>
      </c>
      <c r="E6" s="234"/>
      <c r="F6" s="234"/>
      <c r="G6" s="234"/>
      <c r="H6" s="234"/>
      <c r="I6" s="234"/>
      <c r="J6" s="235"/>
    </row>
    <row r="7" spans="1:45">
      <c r="B7" s="223" t="s">
        <v>115</v>
      </c>
      <c r="C7" s="224"/>
      <c r="D7" s="225" t="s">
        <v>1733</v>
      </c>
      <c r="E7" s="226"/>
      <c r="F7" s="226"/>
      <c r="G7" s="226"/>
      <c r="H7" s="226"/>
      <c r="I7" s="226"/>
      <c r="J7" s="227"/>
    </row>
    <row r="8" spans="1:45">
      <c r="B8" s="223" t="s">
        <v>116</v>
      </c>
      <c r="C8" s="224"/>
      <c r="D8" s="225" t="str">
        <f>エンティティ一覧!AE2&amp;"_"&amp;D5&amp;"_merge_mml_fs_vitalsign"</f>
        <v>sny_202310_backup_merge_mml_fs_vitalsign</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milscm_2023_009.sny_202310_backup_merge_mml_fs_vitalsign;</v>
      </c>
      <c r="O10" s="76"/>
      <c r="P10" s="76"/>
      <c r="Q10" s="76"/>
      <c r="R10" s="76"/>
      <c r="S10" s="76"/>
      <c r="T10" s="76"/>
      <c r="AJ10" s="76" t="str">
        <f>"ALTER TABLE ONLY "&amp;エンティティ一覧!$O$2&amp;"."&amp;D$8</f>
        <v>ALTER TABLE ONLY milscm_2023_009.sny_202310_backup_merge_mml_fs_vitalsign</v>
      </c>
      <c r="AS10" s="76" t="str">
        <f>"ALTER TABLE "&amp;エンティティ一覧!$O$2&amp;"."&amp;D$8&amp;" OWNER TO pgmisgrp1;"</f>
        <v>ALTER TABLE milscm_2023_009.sny_202310_backup_merge_mml_fs_vitalsign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milscm_2023_009.sny_202310_backup_merge_mml_fs_vitalsign</v>
      </c>
      <c r="O11" s="76"/>
      <c r="P11" s="76"/>
      <c r="Q11" s="76"/>
      <c r="R11" s="76"/>
      <c r="S11" s="76"/>
      <c r="T11" s="76"/>
      <c r="AJ11" s="76" t="str">
        <f>"ADD CONSTRAINT "&amp;D$8&amp;"_pkey PRIMARY KEY"</f>
        <v>ADD CONSTRAINT sny_202310_backup_merge_mml_fs_vitalsign_pkey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milscm_2023_009.sny_202310_backup_merge_mml_fs_vitalsign IS 'バックアップ_体温表モジュール_バイタルサイン';</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milscm_2023_009.sny_202310_backup_merge_mml_fs_vitalsign.torikomi_ym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milscm_2023_009.sny_202310_backup_merge_mml_fs_vitalsign.mil_karute_id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milscm_2023_009.sny_202310_backup_merge_mml_fs_vitalsign.facility_id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milscm_2023_009.sny_202310_backup_merge_mml_fs_vitalsign.shinryo_ymd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milscm_2023_009.sny_202310_backup_merge_mml_fs_vitalsign.data_type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milscm_2023_009.sny_202310_backup_merge_mml_fs_vitalsign.master_id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milscm_2023_009.sny_202310_backup_merge_mml_fs_vitalsign.uid IS '文書ユニークID';</v>
      </c>
    </row>
    <row r="20" spans="1:45"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milscm_2023_009.sny_202310_backup_merge_mml_fs_vitalsign.taionhyo_seq IS '体温表SEQ';</v>
      </c>
    </row>
    <row r="21" spans="1:45"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milscm_2023_009.sny_202310_backup_merge_mml_fs_vitalsign.vital_seq IS 'バイタルSEQ';</v>
      </c>
    </row>
    <row r="22" spans="1:45" s="25" customFormat="1">
      <c r="A22" s="4"/>
      <c r="B22" s="21">
        <f t="shared" si="2"/>
        <v>10</v>
      </c>
      <c r="C22" s="13" t="s">
        <v>1685</v>
      </c>
      <c r="D22" s="13" t="s">
        <v>1686</v>
      </c>
      <c r="E22" s="7"/>
      <c r="F22" s="7" t="s">
        <v>865</v>
      </c>
      <c r="G22" s="7" t="str">
        <f t="shared" si="3"/>
        <v>text</v>
      </c>
      <c r="H22" s="58"/>
      <c r="I22" s="23"/>
      <c r="J22" s="24" t="s">
        <v>1707</v>
      </c>
      <c r="M22" s="4"/>
      <c r="N22" s="76"/>
      <c r="O22" s="76"/>
      <c r="P22" s="76" t="str">
        <f t="shared" si="4"/>
        <v>,department_name</v>
      </c>
      <c r="Q22" s="76" t="str">
        <f t="shared" si="0"/>
        <v>TEXT</v>
      </c>
      <c r="R22" s="76" t="str">
        <f t="shared" si="1"/>
        <v/>
      </c>
      <c r="S22" s="76" t="str">
        <f t="shared" si="5"/>
        <v/>
      </c>
      <c r="T22" s="76" t="str">
        <f t="shared" si="6"/>
        <v>-- 診療科名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milscm_2023_009.sny_202310_backup_merge_mml_fs_vitalsign.department_name IS '診療科名';</v>
      </c>
    </row>
    <row r="23" spans="1:45" s="25" customFormat="1" ht="34.799999999999997">
      <c r="A23" s="4"/>
      <c r="B23" s="21">
        <f t="shared" si="2"/>
        <v>11</v>
      </c>
      <c r="C23" s="13" t="s">
        <v>603</v>
      </c>
      <c r="D23" s="13" t="s">
        <v>1687</v>
      </c>
      <c r="E23" s="7"/>
      <c r="F23" s="7" t="s">
        <v>865</v>
      </c>
      <c r="G23" s="7" t="str">
        <f t="shared" si="3"/>
        <v>text</v>
      </c>
      <c r="H23" s="58"/>
      <c r="I23" s="23"/>
      <c r="J23" s="24" t="s">
        <v>1708</v>
      </c>
      <c r="M23" s="4"/>
      <c r="N23" s="76"/>
      <c r="O23" s="76"/>
      <c r="P23" s="76" t="str">
        <f t="shared" si="4"/>
        <v>,department_code</v>
      </c>
      <c r="Q23" s="76" t="str">
        <f t="shared" si="0"/>
        <v>TEXT</v>
      </c>
      <c r="R23" s="76" t="str">
        <f t="shared" si="1"/>
        <v/>
      </c>
      <c r="S23" s="76" t="str">
        <f t="shared" si="5"/>
        <v/>
      </c>
      <c r="T23" s="76" t="str">
        <f t="shared" si="6"/>
        <v>-- 診療科コード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milscm_2023_009.sny_202310_backup_merge_mml_fs_vitalsign.department_code IS '診療科コード';</v>
      </c>
    </row>
    <row r="24" spans="1:45" s="25" customFormat="1">
      <c r="A24" s="4"/>
      <c r="B24" s="21">
        <f t="shared" si="2"/>
        <v>12</v>
      </c>
      <c r="C24" s="13" t="s">
        <v>1688</v>
      </c>
      <c r="D24" s="13" t="s">
        <v>1689</v>
      </c>
      <c r="E24" s="7"/>
      <c r="F24" s="7" t="s">
        <v>865</v>
      </c>
      <c r="G24" s="7" t="str">
        <f t="shared" si="3"/>
        <v>text</v>
      </c>
      <c r="H24" s="58"/>
      <c r="I24" s="23"/>
      <c r="J24" s="24" t="s">
        <v>1709</v>
      </c>
      <c r="M24" s="4"/>
      <c r="N24" s="76"/>
      <c r="O24" s="76"/>
      <c r="P24" s="76" t="str">
        <f t="shared" si="4"/>
        <v>,ward</v>
      </c>
      <c r="Q24" s="76" t="str">
        <f t="shared" si="0"/>
        <v>TEXT</v>
      </c>
      <c r="R24" s="76" t="str">
        <f t="shared" si="1"/>
        <v/>
      </c>
      <c r="S24" s="76" t="str">
        <f t="shared" si="5"/>
        <v/>
      </c>
      <c r="T24" s="76" t="str">
        <f t="shared" si="6"/>
        <v>-- 病棟</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milscm_2023_009.sny_202310_backup_merge_mml_fs_vitalsign.ward IS '病棟';</v>
      </c>
    </row>
    <row r="25" spans="1:45" s="25" customFormat="1" ht="34.799999999999997">
      <c r="A25" s="4"/>
      <c r="B25" s="21">
        <f t="shared" si="2"/>
        <v>13</v>
      </c>
      <c r="C25" s="13" t="s">
        <v>238</v>
      </c>
      <c r="D25" s="13" t="s">
        <v>239</v>
      </c>
      <c r="E25" s="7"/>
      <c r="F25" s="7" t="s">
        <v>865</v>
      </c>
      <c r="G25" s="7" t="str">
        <f t="shared" si="3"/>
        <v>text</v>
      </c>
      <c r="H25" s="58"/>
      <c r="I25" s="23"/>
      <c r="J25" s="24" t="s">
        <v>1710</v>
      </c>
      <c r="M25" s="4"/>
      <c r="N25" s="76"/>
      <c r="O25" s="76"/>
      <c r="P25" s="76" t="str">
        <f t="shared" si="4"/>
        <v>,ward_code</v>
      </c>
      <c r="Q25" s="76" t="str">
        <f t="shared" si="0"/>
        <v>TEXT</v>
      </c>
      <c r="R25" s="76" t="str">
        <f t="shared" si="1"/>
        <v/>
      </c>
      <c r="S25" s="76" t="str">
        <f t="shared" si="5"/>
        <v/>
      </c>
      <c r="T25" s="76" t="str">
        <f t="shared" si="6"/>
        <v>-- 病棟コード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milscm_2023_009.sny_202310_backup_merge_mml_fs_vitalsign.ward_code IS '病棟コード';</v>
      </c>
    </row>
    <row r="26" spans="1:45" s="25" customFormat="1" ht="34.799999999999997">
      <c r="A26" s="4"/>
      <c r="B26" s="21">
        <f t="shared" si="2"/>
        <v>14</v>
      </c>
      <c r="C26" s="13" t="s">
        <v>1690</v>
      </c>
      <c r="D26" s="13" t="s">
        <v>1691</v>
      </c>
      <c r="E26" s="7"/>
      <c r="F26" s="7" t="s">
        <v>865</v>
      </c>
      <c r="G26" s="7" t="str">
        <f t="shared" si="3"/>
        <v>text</v>
      </c>
      <c r="H26" s="58"/>
      <c r="I26" s="23"/>
      <c r="J26" s="24" t="s">
        <v>1711</v>
      </c>
      <c r="M26" s="4"/>
      <c r="N26" s="76"/>
      <c r="O26" s="76"/>
      <c r="P26" s="76" t="str">
        <f t="shared" si="4"/>
        <v>,ward_code_id</v>
      </c>
      <c r="Q26" s="76" t="str">
        <f t="shared" si="0"/>
        <v>TEXT</v>
      </c>
      <c r="R26" s="76" t="str">
        <f t="shared" si="1"/>
        <v/>
      </c>
      <c r="S26" s="76" t="str">
        <f t="shared" si="5"/>
        <v/>
      </c>
      <c r="T26" s="76" t="str">
        <f t="shared" si="6"/>
        <v>-- 病棟コードID</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milscm_2023_009.sny_202310_backup_merge_mml_fs_vitalsign.ward_code_id IS '病棟コードID';</v>
      </c>
    </row>
    <row r="27" spans="1:45" s="25" customFormat="1">
      <c r="A27" s="4"/>
      <c r="B27" s="21">
        <f t="shared" si="2"/>
        <v>15</v>
      </c>
      <c r="C27" s="13" t="s">
        <v>1692</v>
      </c>
      <c r="D27" s="13" t="s">
        <v>1693</v>
      </c>
      <c r="E27" s="7"/>
      <c r="F27" s="7" t="s">
        <v>865</v>
      </c>
      <c r="G27" s="7" t="str">
        <f t="shared" si="3"/>
        <v>text</v>
      </c>
      <c r="H27" s="58"/>
      <c r="I27" s="23"/>
      <c r="J27" s="24" t="s">
        <v>1301</v>
      </c>
      <c r="M27" s="4"/>
      <c r="N27" s="76"/>
      <c r="O27" s="76"/>
      <c r="P27" s="76" t="str">
        <f t="shared" si="4"/>
        <v>,vital_sign_time</v>
      </c>
      <c r="Q27" s="76" t="str">
        <f t="shared" si="0"/>
        <v>TEXT</v>
      </c>
      <c r="R27" s="76" t="str">
        <f t="shared" si="1"/>
        <v/>
      </c>
      <c r="S27" s="76" t="str">
        <f t="shared" si="5"/>
        <v/>
      </c>
      <c r="T27" s="76" t="str">
        <f t="shared" si="6"/>
        <v>-- バイタルサインの計測時間</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milscm_2023_009.sny_202310_backup_merge_mml_fs_vitalsign.vital_sign_time IS 'バイタルサインの計測時間';</v>
      </c>
    </row>
    <row r="28" spans="1:45" s="25" customFormat="1">
      <c r="A28" s="4"/>
      <c r="B28" s="21">
        <f t="shared" si="2"/>
        <v>16</v>
      </c>
      <c r="C28" s="13" t="s">
        <v>1694</v>
      </c>
      <c r="D28" s="13" t="s">
        <v>1695</v>
      </c>
      <c r="E28" s="7"/>
      <c r="F28" s="7" t="s">
        <v>865</v>
      </c>
      <c r="G28" s="7" t="str">
        <f t="shared" si="3"/>
        <v>text</v>
      </c>
      <c r="H28" s="58"/>
      <c r="I28" s="23"/>
      <c r="J28" s="24" t="s">
        <v>1713</v>
      </c>
      <c r="M28" s="4"/>
      <c r="N28" s="76"/>
      <c r="O28" s="76"/>
      <c r="P28" s="76" t="str">
        <f t="shared" si="4"/>
        <v>,keisoku_tejun</v>
      </c>
      <c r="Q28" s="76" t="str">
        <f t="shared" si="0"/>
        <v>TEXT</v>
      </c>
      <c r="R28" s="76" t="str">
        <f t="shared" si="1"/>
        <v/>
      </c>
      <c r="S28" s="76" t="str">
        <f t="shared" si="5"/>
        <v/>
      </c>
      <c r="T28" s="76" t="str">
        <f t="shared" si="6"/>
        <v>-- 計測手順</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milscm_2023_009.sny_202310_backup_merge_mml_fs_vitalsign.keisoku_tejun IS '計測手順';</v>
      </c>
    </row>
    <row r="29" spans="1:45" s="25" customFormat="1">
      <c r="A29" s="4"/>
      <c r="B29" s="21">
        <f t="shared" si="2"/>
        <v>17</v>
      </c>
      <c r="C29" s="13" t="s">
        <v>1696</v>
      </c>
      <c r="D29" s="13" t="s">
        <v>1697</v>
      </c>
      <c r="E29" s="7"/>
      <c r="F29" s="7" t="s">
        <v>865</v>
      </c>
      <c r="G29" s="7" t="str">
        <f t="shared" si="3"/>
        <v>text</v>
      </c>
      <c r="H29" s="58"/>
      <c r="I29" s="23"/>
      <c r="J29" s="24" t="s">
        <v>1714</v>
      </c>
      <c r="M29" s="4"/>
      <c r="N29" s="76"/>
      <c r="O29" s="76"/>
      <c r="P29" s="76" t="str">
        <f t="shared" si="4"/>
        <v>,keisoku_device</v>
      </c>
      <c r="Q29" s="76" t="str">
        <f t="shared" si="0"/>
        <v>TEXT</v>
      </c>
      <c r="R29" s="76" t="str">
        <f t="shared" si="1"/>
        <v/>
      </c>
      <c r="S29" s="76" t="str">
        <f t="shared" si="5"/>
        <v/>
      </c>
      <c r="T29" s="76" t="str">
        <f t="shared" si="6"/>
        <v>-- 計測器具</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milscm_2023_009.sny_202310_backup_merge_mml_fs_vitalsign.keisoku_device IS '計測器具';</v>
      </c>
    </row>
    <row r="30" spans="1:45" s="25" customFormat="1">
      <c r="A30" s="4"/>
      <c r="B30" s="21">
        <f t="shared" si="2"/>
        <v>18</v>
      </c>
      <c r="C30" s="13" t="s">
        <v>1698</v>
      </c>
      <c r="D30" s="13" t="s">
        <v>1699</v>
      </c>
      <c r="E30" s="7"/>
      <c r="F30" s="7" t="s">
        <v>865</v>
      </c>
      <c r="G30" s="7" t="str">
        <f t="shared" si="3"/>
        <v>text</v>
      </c>
      <c r="H30" s="58"/>
      <c r="I30" s="23"/>
      <c r="J30" s="24" t="s">
        <v>1715</v>
      </c>
      <c r="M30" s="4"/>
      <c r="N30" s="76"/>
      <c r="O30" s="76"/>
      <c r="P30" s="76" t="str">
        <f t="shared" si="4"/>
        <v>,keisoku_bui</v>
      </c>
      <c r="Q30" s="76" t="str">
        <f t="shared" si="0"/>
        <v>TEXT</v>
      </c>
      <c r="R30" s="76" t="str">
        <f t="shared" si="1"/>
        <v/>
      </c>
      <c r="S30" s="76" t="str">
        <f t="shared" si="5"/>
        <v/>
      </c>
      <c r="T30" s="76" t="str">
        <f t="shared" si="6"/>
        <v>-- 計測部位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milscm_2023_009.sny_202310_backup_merge_mml_fs_vitalsign.keisoku_bui IS '計測部位';</v>
      </c>
    </row>
    <row r="31" spans="1:45" s="25" customFormat="1">
      <c r="A31" s="4"/>
      <c r="B31" s="21">
        <f t="shared" si="2"/>
        <v>19</v>
      </c>
      <c r="C31" s="13" t="s">
        <v>1700</v>
      </c>
      <c r="D31" s="13" t="s">
        <v>1701</v>
      </c>
      <c r="E31" s="7"/>
      <c r="F31" s="7" t="s">
        <v>865</v>
      </c>
      <c r="G31" s="7" t="str">
        <f t="shared" si="3"/>
        <v>text</v>
      </c>
      <c r="H31" s="58"/>
      <c r="I31" s="23"/>
      <c r="J31" s="24" t="s">
        <v>1716</v>
      </c>
      <c r="M31" s="4"/>
      <c r="N31" s="76"/>
      <c r="O31" s="76"/>
      <c r="P31" s="76" t="str">
        <f t="shared" si="4"/>
        <v>,keisoku_position</v>
      </c>
      <c r="Q31" s="76" t="str">
        <f t="shared" si="0"/>
        <v>TEXT</v>
      </c>
      <c r="R31" s="76" t="str">
        <f t="shared" si="1"/>
        <v/>
      </c>
      <c r="S31" s="76" t="str">
        <f t="shared" si="5"/>
        <v/>
      </c>
      <c r="T31" s="76" t="str">
        <f t="shared" si="6"/>
        <v>-- 計測時体位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milscm_2023_009.sny_202310_backup_merge_mml_fs_vitalsign.keisoku_position IS '計測時体位';</v>
      </c>
    </row>
    <row r="32" spans="1:45" s="25" customFormat="1" ht="30">
      <c r="A32" s="4"/>
      <c r="B32" s="21">
        <f t="shared" si="2"/>
        <v>20</v>
      </c>
      <c r="C32" s="13" t="s">
        <v>1702</v>
      </c>
      <c r="D32" s="13" t="s">
        <v>1703</v>
      </c>
      <c r="E32" s="7"/>
      <c r="F32" s="7" t="s">
        <v>865</v>
      </c>
      <c r="G32" s="7" t="str">
        <f t="shared" si="3"/>
        <v>text</v>
      </c>
      <c r="H32" s="58"/>
      <c r="I32" s="23"/>
      <c r="J32" s="24" t="s">
        <v>1717</v>
      </c>
      <c r="M32" s="4"/>
      <c r="N32" s="76"/>
      <c r="O32" s="76"/>
      <c r="P32" s="76" t="str">
        <f t="shared" si="4"/>
        <v>,keisoku_method_comment</v>
      </c>
      <c r="Q32" s="76" t="str">
        <f t="shared" si="0"/>
        <v>TEXT</v>
      </c>
      <c r="R32" s="76" t="str">
        <f t="shared" si="1"/>
        <v/>
      </c>
      <c r="S32" s="76" t="str">
        <f t="shared" si="5"/>
        <v/>
      </c>
      <c r="T32" s="76" t="str">
        <f t="shared" si="6"/>
        <v>-- 計測方法コメント</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milscm_2023_009.sny_202310_backup_merge_mml_fs_vitalsign.keisoku_method_comment IS '計測方法コメント';</v>
      </c>
    </row>
    <row r="33" spans="1:52" s="25" customFormat="1" ht="18" thickBot="1">
      <c r="A33" s="4"/>
      <c r="B33" s="27">
        <f>ROW()-12</f>
        <v>21</v>
      </c>
      <c r="C33" s="57" t="s">
        <v>1704</v>
      </c>
      <c r="D33" s="57" t="s">
        <v>1705</v>
      </c>
      <c r="E33" s="56"/>
      <c r="F33" s="56" t="s">
        <v>865</v>
      </c>
      <c r="G33" s="56" t="str">
        <f t="shared" si="3"/>
        <v>text</v>
      </c>
      <c r="H33" s="59"/>
      <c r="I33" s="60"/>
      <c r="J33" s="64" t="s">
        <v>1718</v>
      </c>
      <c r="N33" s="76"/>
      <c r="O33" s="76"/>
      <c r="P33" s="76" t="str">
        <f t="shared" si="4"/>
        <v>,kiroku_comment</v>
      </c>
      <c r="Q33" s="76" t="str">
        <f t="shared" si="0"/>
        <v>TEXT</v>
      </c>
      <c r="R33" s="76" t="str">
        <f t="shared" si="1"/>
        <v/>
      </c>
      <c r="S33" s="76" t="str">
        <f t="shared" si="5"/>
        <v/>
      </c>
      <c r="T33" s="76" t="str">
        <f t="shared" si="6"/>
        <v>-- 記録コメント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milscm_2023_009.sny_202310_backup_merge_mml_fs_vitalsign.kiroku_comment IS '記録コメント';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01</v>
      </c>
      <c r="E4" s="239"/>
      <c r="F4" s="239"/>
      <c r="G4" s="239"/>
      <c r="H4" s="239"/>
      <c r="I4" s="239"/>
      <c r="J4" s="240"/>
    </row>
    <row r="5" spans="1:45">
      <c r="B5" s="223" t="s">
        <v>3706</v>
      </c>
      <c r="C5" s="224"/>
      <c r="D5" s="233" t="str">
        <f>VLOOKUP(D7,エンティティ一覧!A1:'エンティティ一覧'!AM10161,7,FALSE)</f>
        <v>backup</v>
      </c>
      <c r="E5" s="234"/>
      <c r="F5" s="234"/>
      <c r="G5" s="234"/>
      <c r="H5" s="234"/>
      <c r="I5" s="234"/>
      <c r="J5" s="235"/>
    </row>
    <row r="6" spans="1:45">
      <c r="B6" s="223" t="s">
        <v>3707</v>
      </c>
      <c r="C6" s="224"/>
      <c r="D6" s="233" t="str">
        <f>VLOOKUP(D7,エンティティ一覧!A1:'エンティティ一覧'!AM10161,15,FALSE)</f>
        <v>ENT_01_C4-41</v>
      </c>
      <c r="E6" s="234"/>
      <c r="F6" s="234"/>
      <c r="G6" s="234"/>
      <c r="H6" s="234"/>
      <c r="I6" s="234"/>
      <c r="J6" s="235"/>
    </row>
    <row r="7" spans="1:45">
      <c r="B7" s="223" t="s">
        <v>115</v>
      </c>
      <c r="C7" s="224"/>
      <c r="D7" s="225" t="s">
        <v>1737</v>
      </c>
      <c r="E7" s="226"/>
      <c r="F7" s="226"/>
      <c r="G7" s="226"/>
      <c r="H7" s="226"/>
      <c r="I7" s="226"/>
      <c r="J7" s="227"/>
    </row>
    <row r="8" spans="1:45">
      <c r="B8" s="223" t="s">
        <v>116</v>
      </c>
      <c r="C8" s="224"/>
      <c r="D8" s="225" t="str">
        <f>エンティティ一覧!AE2&amp;"_"&amp;D5&amp;"_merge_mml_fs_item"</f>
        <v>sny_202310_backup_merge_mml_fs_item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milscm_2023_009.sny_202310_backup_merge_mml_fs_item;</v>
      </c>
      <c r="O10" s="76"/>
      <c r="P10" s="76"/>
      <c r="Q10" s="76"/>
      <c r="R10" s="76"/>
      <c r="S10" s="76"/>
      <c r="T10" s="76"/>
      <c r="AJ10" s="76" t="str">
        <f>"ALTER TABLE ONLY "&amp;エンティティ一覧!$O$2&amp;"."&amp;D$8</f>
        <v>ALTER TABLE ONLY milscm_2023_009.sny_202310_backup_merge_mml_fs_item</v>
      </c>
      <c r="AS10" s="76" t="str">
        <f>"ALTER TABLE "&amp;エンティティ一覧!$O$2&amp;"."&amp;D$8&amp;" OWNER TO pgmisgrp1;"</f>
        <v>ALTER TABLE milscm_2023_009.sny_202310_backup_merge_mml_fs_item OWNER TO pgmisgrp1;</v>
      </c>
    </row>
    <row r="11" spans="1:45" ht="18" thickBot="1">
      <c r="B11" s="20" t="s">
        <v>118</v>
      </c>
      <c r="C11" s="19"/>
      <c r="D11" s="5"/>
      <c r="E11" s="5"/>
      <c r="F11" s="5"/>
      <c r="G11" s="5"/>
      <c r="H11" s="5"/>
      <c r="I11" s="5"/>
      <c r="J11" s="18"/>
      <c r="N11" s="76" t="str">
        <f>"CREATE TABLE  "&amp;エンティティ一覧!$O$2&amp;"."&amp;D$8</f>
        <v>CREATE TABLE  milscm_2023_009.sny_202310_backup_merge_mml_fs_item</v>
      </c>
      <c r="O11" s="76"/>
      <c r="P11" s="76"/>
      <c r="Q11" s="76"/>
      <c r="R11" s="76"/>
      <c r="S11" s="76"/>
      <c r="T11" s="76"/>
      <c r="AJ11" s="76" t="str">
        <f>"ADD CONSTRAINT "&amp;D$8&amp;"_pkey PRIMARY KEY"</f>
        <v>ADD CONSTRAINT sny_202310_backup_merge_mml_fs_item_pkey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milscm_2023_009.sny_202310_backup_merge_mml_fs_item IS 'バックアップ_体温表モジュール_記録項目';</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milscm_2023_009.sny_202310_backup_merge_mml_fs_item.torikomi_ym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milscm_2023_009.sny_202310_backup_merge_mml_fs_item.mil_karute_id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milscm_2023_009.sny_202310_backup_merge_mml_fs_item.facility_id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milscm_2023_009.sny_202310_backup_merge_mml_fs_item.shinryo_ymd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milscm_2023_009.sny_202310_backup_merge_mml_fs_item.data_type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milscm_2023_009.sny_202310_backup_merge_mml_fs_item.master_id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milscm_2023_009.sny_202310_backup_merge_mml_fs_item.uid IS '文書ユニークID';</v>
      </c>
    </row>
    <row r="20" spans="1:52" s="25" customFormat="1">
      <c r="A20" s="4"/>
      <c r="B20" s="21">
        <f t="shared" si="2"/>
        <v>8</v>
      </c>
      <c r="C20" s="13" t="s">
        <v>1734</v>
      </c>
      <c r="D20" s="13" t="s">
        <v>1735</v>
      </c>
      <c r="E20" s="7" t="s">
        <v>127</v>
      </c>
      <c r="F20" s="7" t="s">
        <v>204</v>
      </c>
      <c r="G20" s="7" t="str">
        <f t="shared" si="3"/>
        <v>integer</v>
      </c>
      <c r="H20" s="58"/>
      <c r="I20" s="23" t="s">
        <v>127</v>
      </c>
      <c r="J20" s="24" t="s">
        <v>1736</v>
      </c>
      <c r="M20" s="4"/>
      <c r="N20" s="76"/>
      <c r="O20" s="76"/>
      <c r="P20" s="76" t="str">
        <f t="shared" si="4"/>
        <v>,taionhyo_seq</v>
      </c>
      <c r="Q20" s="76" t="str">
        <f t="shared" si="0"/>
        <v>INTEGER</v>
      </c>
      <c r="R20" s="76" t="str">
        <f t="shared" si="1"/>
        <v/>
      </c>
      <c r="S20" s="76" t="str">
        <f t="shared" si="5"/>
        <v>NOT NULL</v>
      </c>
      <c r="T20" s="76" t="str">
        <f t="shared" si="6"/>
        <v>-- 体温表SEQ</v>
      </c>
      <c r="U20" s="4"/>
      <c r="AA20" s="4"/>
      <c r="AB20" s="4"/>
      <c r="AC20" s="4"/>
      <c r="AD20" s="4"/>
      <c r="AE20" s="4"/>
      <c r="AF20" s="4"/>
      <c r="AG20" s="4"/>
      <c r="AH20" s="4"/>
      <c r="AI20" s="4"/>
      <c r="AJ20" s="76" t="str">
        <f>IF(E20="○",IF(COUNTA(E$13:E20)=1,"",",")&amp;D20,"")</f>
        <v>,taionhyo_seq</v>
      </c>
      <c r="AK20" s="4"/>
      <c r="AL20" s="4"/>
      <c r="AM20" s="4"/>
      <c r="AN20" s="4"/>
      <c r="AO20" s="4"/>
      <c r="AP20" s="4"/>
      <c r="AQ20" s="4"/>
      <c r="AR20" s="4"/>
      <c r="AS20" s="76" t="str">
        <f>"COMMENT ON COLUMN "&amp;エンティティ一覧!$O$2&amp;"."&amp;D$8&amp;"."&amp;D20&amp;" IS '"&amp;C20&amp;"';"</f>
        <v>COMMENT ON COLUMN milscm_2023_009.sny_202310_backup_merge_mml_fs_item.taionhyo_seq IS '体温表SEQ';</v>
      </c>
    </row>
    <row r="21" spans="1:52" s="25" customFormat="1">
      <c r="A21" s="4"/>
      <c r="B21" s="21">
        <f t="shared" si="2"/>
        <v>9</v>
      </c>
      <c r="C21" s="13" t="s">
        <v>1683</v>
      </c>
      <c r="D21" s="13" t="s">
        <v>1684</v>
      </c>
      <c r="E21" s="7" t="s">
        <v>127</v>
      </c>
      <c r="F21" s="7" t="s">
        <v>204</v>
      </c>
      <c r="G21" s="7" t="str">
        <f t="shared" si="3"/>
        <v>integer</v>
      </c>
      <c r="H21" s="58"/>
      <c r="I21" s="23" t="s">
        <v>127</v>
      </c>
      <c r="J21" s="24" t="s">
        <v>1706</v>
      </c>
      <c r="M21" s="4"/>
      <c r="N21" s="76"/>
      <c r="O21" s="76"/>
      <c r="P21" s="76" t="str">
        <f t="shared" si="4"/>
        <v>,vital_seq</v>
      </c>
      <c r="Q21" s="76" t="str">
        <f t="shared" si="0"/>
        <v>INTEGER</v>
      </c>
      <c r="R21" s="76" t="str">
        <f t="shared" si="1"/>
        <v/>
      </c>
      <c r="S21" s="76" t="str">
        <f t="shared" si="5"/>
        <v>NOT NULL</v>
      </c>
      <c r="T21" s="76" t="str">
        <f t="shared" si="6"/>
        <v>-- バイタルSEQ</v>
      </c>
      <c r="U21" s="4"/>
      <c r="AA21" s="4"/>
      <c r="AB21" s="4"/>
      <c r="AC21" s="4"/>
      <c r="AD21" s="4"/>
      <c r="AE21" s="4"/>
      <c r="AF21" s="4"/>
      <c r="AG21" s="4"/>
      <c r="AH21" s="4"/>
      <c r="AI21" s="4"/>
      <c r="AJ21" s="76" t="str">
        <f>IF(E21="○",IF(COUNTA(E$13:E21)=1,"",",")&amp;D21,"")</f>
        <v>,vital_seq</v>
      </c>
      <c r="AK21" s="4"/>
      <c r="AL21" s="4"/>
      <c r="AM21" s="4"/>
      <c r="AN21" s="4"/>
      <c r="AO21" s="4"/>
      <c r="AP21" s="4"/>
      <c r="AQ21" s="4"/>
      <c r="AR21" s="4"/>
      <c r="AS21" s="76" t="str">
        <f>"COMMENT ON COLUMN "&amp;エンティティ一覧!$O$2&amp;"."&amp;D$8&amp;"."&amp;D21&amp;" IS '"&amp;C21&amp;"';"</f>
        <v>COMMENT ON COLUMN milscm_2023_009.sny_202310_backup_merge_mml_fs_item.vital_seq IS 'バイタルSEQ';</v>
      </c>
    </row>
    <row r="22" spans="1:52" s="25" customFormat="1">
      <c r="A22" s="4"/>
      <c r="B22" s="21">
        <f t="shared" si="2"/>
        <v>10</v>
      </c>
      <c r="C22" s="13" t="s">
        <v>1738</v>
      </c>
      <c r="D22" s="13" t="s">
        <v>1721</v>
      </c>
      <c r="E22" s="7" t="s">
        <v>127</v>
      </c>
      <c r="F22" s="7" t="s">
        <v>204</v>
      </c>
      <c r="G22" s="7" t="str">
        <f t="shared" si="3"/>
        <v>integer</v>
      </c>
      <c r="H22" s="58"/>
      <c r="I22" s="23" t="s">
        <v>127</v>
      </c>
      <c r="J22" s="24"/>
      <c r="M22" s="4"/>
      <c r="N22" s="76"/>
      <c r="O22" s="76"/>
      <c r="P22" s="76" t="str">
        <f t="shared" si="4"/>
        <v>,item_seq</v>
      </c>
      <c r="Q22" s="76" t="str">
        <f t="shared" si="0"/>
        <v>INTEGER</v>
      </c>
      <c r="R22" s="76" t="str">
        <f t="shared" si="1"/>
        <v/>
      </c>
      <c r="S22" s="76" t="str">
        <f t="shared" si="5"/>
        <v>NOT NULL</v>
      </c>
      <c r="T22" s="76" t="str">
        <f t="shared" si="6"/>
        <v>-- 項目SEQ</v>
      </c>
      <c r="U22" s="4"/>
      <c r="AA22" s="4"/>
      <c r="AB22" s="4"/>
      <c r="AC22" s="4"/>
      <c r="AD22" s="4"/>
      <c r="AE22" s="4"/>
      <c r="AF22" s="4"/>
      <c r="AG22" s="4"/>
      <c r="AH22" s="4"/>
      <c r="AI22" s="4"/>
      <c r="AJ22" s="76" t="str">
        <f>IF(E22="○",IF(COUNTA(E$13:E22)=1,"",",")&amp;D22,"")</f>
        <v>,item_seq</v>
      </c>
      <c r="AK22" s="4"/>
      <c r="AL22" s="4"/>
      <c r="AM22" s="4"/>
      <c r="AN22" s="4"/>
      <c r="AO22" s="4"/>
      <c r="AP22" s="4"/>
      <c r="AQ22" s="4"/>
      <c r="AR22" s="4"/>
      <c r="AS22" s="76" t="str">
        <f>"COMMENT ON COLUMN "&amp;エンティティ一覧!$O$2&amp;"."&amp;D$8&amp;"."&amp;D22&amp;" IS '"&amp;C22&amp;"';"</f>
        <v>COMMENT ON COLUMN milscm_2023_009.sny_202310_backup_merge_mml_fs_item.item_seq IS '項目SEQ';</v>
      </c>
    </row>
    <row r="23" spans="1:52" s="25" customFormat="1">
      <c r="A23" s="4"/>
      <c r="B23" s="21">
        <f t="shared" si="2"/>
        <v>11</v>
      </c>
      <c r="C23" s="13" t="s">
        <v>1627</v>
      </c>
      <c r="D23" s="13" t="s">
        <v>1628</v>
      </c>
      <c r="E23" s="7"/>
      <c r="F23" s="7" t="s">
        <v>865</v>
      </c>
      <c r="G23" s="7" t="str">
        <f t="shared" ref="G23" si="7">IF(F23="フラグ","boolean",IF(F23="文字列","text",IF(F23="整数","integer",IF(F23="実数","numeric",""))))</f>
        <v>text</v>
      </c>
      <c r="H23" s="58"/>
      <c r="I23" s="23"/>
      <c r="J23" s="24"/>
      <c r="M23" s="4"/>
      <c r="N23" s="76"/>
      <c r="O23" s="76"/>
      <c r="P23" s="76" t="str">
        <f t="shared" ref="P23" si="8">IF(B23&lt;&gt;1,","&amp;D23,D23)</f>
        <v>,item_name</v>
      </c>
      <c r="Q23" s="76" t="str">
        <f t="shared" ref="Q23" si="9">UPPER(G23)</f>
        <v>TEXT</v>
      </c>
      <c r="R23" s="76" t="str">
        <f t="shared" ref="R23" si="10">IF(H23&lt;&gt;"","default "&amp;IF(G23="text","'"&amp;H23&amp;"'",H23),"")</f>
        <v/>
      </c>
      <c r="S23" s="76" t="str">
        <f t="shared" ref="S23" si="11">IF(I23="○","NOT NULL","")</f>
        <v/>
      </c>
      <c r="T23" s="76" t="str">
        <f t="shared" ref="T23" si="12">"-- "&amp;C23</f>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milscm_2023_009.sny_202310_backup_merge_mml_fs_item.item_name IS '項目名';</v>
      </c>
    </row>
    <row r="24" spans="1:52" s="25" customFormat="1" ht="30">
      <c r="A24" s="4"/>
      <c r="B24" s="21">
        <f t="shared" si="2"/>
        <v>12</v>
      </c>
      <c r="C24" s="13" t="s">
        <v>1722</v>
      </c>
      <c r="D24" s="13" t="s">
        <v>1723</v>
      </c>
      <c r="E24" s="7"/>
      <c r="F24" s="7" t="s">
        <v>865</v>
      </c>
      <c r="G24" s="7" t="str">
        <f t="shared" si="3"/>
        <v>text</v>
      </c>
      <c r="H24" s="58"/>
      <c r="I24" s="23"/>
      <c r="J24" s="24"/>
      <c r="M24" s="4"/>
      <c r="N24" s="76"/>
      <c r="O24" s="76"/>
      <c r="P24" s="76" t="str">
        <f t="shared" si="4"/>
        <v>,vital_sign_value</v>
      </c>
      <c r="Q24" s="76" t="str">
        <f t="shared" si="0"/>
        <v>TEXT</v>
      </c>
      <c r="R24" s="76" t="str">
        <f t="shared" si="1"/>
        <v/>
      </c>
      <c r="S24" s="76" t="str">
        <f t="shared" si="5"/>
        <v/>
      </c>
      <c r="T24" s="76" t="str">
        <f t="shared" si="6"/>
        <v>-- 文字列で表記されるバイタルサインの値</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milscm_2023_009.sny_202310_backup_merge_mml_fs_item.vital_sign_value IS '文字列で表記されるバイタルサインの値';</v>
      </c>
    </row>
    <row r="25" spans="1:52" s="25" customFormat="1" ht="30">
      <c r="A25" s="4"/>
      <c r="B25" s="21">
        <f t="shared" si="2"/>
        <v>13</v>
      </c>
      <c r="C25" s="13" t="s">
        <v>1724</v>
      </c>
      <c r="D25" s="13" t="s">
        <v>1725</v>
      </c>
      <c r="E25" s="7"/>
      <c r="F25" s="7" t="s">
        <v>865</v>
      </c>
      <c r="G25" s="7" t="str">
        <f t="shared" si="3"/>
        <v>text</v>
      </c>
      <c r="H25" s="58"/>
      <c r="I25" s="23"/>
      <c r="J25" s="24"/>
      <c r="M25" s="4"/>
      <c r="N25" s="76"/>
      <c r="O25" s="76"/>
      <c r="P25" s="76" t="str">
        <f t="shared" si="4"/>
        <v>,vital_sign_num_value</v>
      </c>
      <c r="Q25" s="76" t="str">
        <f t="shared" si="0"/>
        <v>TEXT</v>
      </c>
      <c r="R25" s="76" t="str">
        <f t="shared" si="1"/>
        <v/>
      </c>
      <c r="S25" s="76" t="str">
        <f t="shared" si="5"/>
        <v/>
      </c>
      <c r="T25" s="76" t="str">
        <f t="shared" si="6"/>
        <v>-- 数値で表記されるバイタルサインの値</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milscm_2023_009.sny_202310_backup_merge_mml_fs_item.vital_sign_num_value IS '数値で表記されるバイタルサインの値';</v>
      </c>
    </row>
    <row r="26" spans="1:52" s="25" customFormat="1" ht="18" thickBot="1">
      <c r="A26" s="4"/>
      <c r="B26" s="27">
        <f>ROW()-12</f>
        <v>14</v>
      </c>
      <c r="C26" s="57" t="s">
        <v>1726</v>
      </c>
      <c r="D26" s="57" t="s">
        <v>1727</v>
      </c>
      <c r="E26" s="56"/>
      <c r="F26" s="56" t="s">
        <v>865</v>
      </c>
      <c r="G26" s="56" t="str">
        <f t="shared" si="3"/>
        <v>text</v>
      </c>
      <c r="H26" s="59"/>
      <c r="I26" s="60"/>
      <c r="J26" s="64"/>
      <c r="N26" s="76"/>
      <c r="O26" s="76"/>
      <c r="P26" s="76" t="str">
        <f t="shared" si="4"/>
        <v>,vital_sign_unit</v>
      </c>
      <c r="Q26" s="76" t="str">
        <f t="shared" si="0"/>
        <v>TEXT</v>
      </c>
      <c r="R26" s="76" t="str">
        <f t="shared" si="1"/>
        <v/>
      </c>
      <c r="S26" s="76" t="str">
        <f t="shared" si="5"/>
        <v/>
      </c>
      <c r="T26" s="76" t="str">
        <f t="shared" si="6"/>
        <v>-- バイタルサインの単位</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milscm_2023_009.sny_202310_backup_merge_mml_fs_item.vital_sign_unit IS 'バイタルサインの単位';</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ENT_11_01</v>
      </c>
      <c r="E6" s="234"/>
      <c r="F6" s="234"/>
      <c r="G6" s="234"/>
      <c r="H6" s="234"/>
      <c r="I6" s="234"/>
      <c r="J6" s="235"/>
    </row>
    <row r="7" spans="1:45">
      <c r="B7" s="223" t="s">
        <v>115</v>
      </c>
      <c r="C7" s="224"/>
      <c r="D7" s="225" t="s">
        <v>3828</v>
      </c>
      <c r="E7" s="226"/>
      <c r="F7" s="226"/>
      <c r="G7" s="226"/>
      <c r="H7" s="226"/>
      <c r="I7" s="226"/>
      <c r="J7" s="227"/>
    </row>
    <row r="8" spans="1:45">
      <c r="B8" s="223" t="s">
        <v>116</v>
      </c>
      <c r="C8" s="224"/>
      <c r="D8" s="225" t="str">
        <f>エンティティ一覧!AE2&amp;"_"&amp;D5&amp;"_shisetsu"</f>
        <v>sny_202310_enroll_shisetsu</v>
      </c>
      <c r="E8" s="226"/>
      <c r="F8" s="226"/>
      <c r="G8" s="226"/>
      <c r="H8" s="226"/>
      <c r="I8" s="226"/>
      <c r="J8" s="227"/>
    </row>
    <row r="9" spans="1:45" ht="19.5" customHeight="1" thickBot="1">
      <c r="B9" s="228" t="s">
        <v>117</v>
      </c>
      <c r="C9" s="229"/>
      <c r="D9" s="230" t="s">
        <v>3992</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milscm_2023_009.sny_202310_enroll_shisetsu;</v>
      </c>
      <c r="O10" s="76"/>
      <c r="P10" s="76"/>
      <c r="Q10" s="76"/>
      <c r="R10" s="76"/>
      <c r="S10" s="76"/>
      <c r="T10" s="76"/>
      <c r="AJ10" s="76" t="str">
        <f>"ALTER TABLE ONLY "&amp;エンティティ一覧!$O$2&amp;"."&amp;D$8</f>
        <v>ALTER TABLE ONLY milscm_2023_009.sny_202310_enroll_shisetsu</v>
      </c>
      <c r="AS10" s="76" t="str">
        <f>"ALTER TABLE "&amp;エンティティ一覧!$O$2&amp;"."&amp;D$8&amp;" OWNER TO pgmisgrp1;"</f>
        <v>ALTER TABLE milscm_2023_009.sny_202310_enroll_shisetsu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milscm_2023_009.sny_202310_enroll_shisetsu</v>
      </c>
      <c r="O11" s="76"/>
      <c r="P11" s="76"/>
      <c r="Q11" s="76"/>
      <c r="R11" s="76"/>
      <c r="S11" s="76"/>
      <c r="T11" s="76"/>
      <c r="AJ11" s="76" t="str">
        <f>"ADD CONSTRAINT "&amp;D$8&amp;"_pkey PRIMARY KEY"</f>
        <v>ADD CONSTRAINT sny_202310_enroll_shisetsu_pkey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milscm_2023_009.sny_202310_enroll_shisetsu IS '組入れ_対象施設';</v>
      </c>
    </row>
    <row r="13" spans="1:45" s="25" customFormat="1">
      <c r="A13" s="4"/>
      <c r="B13" s="21">
        <f>ROW()-12</f>
        <v>1</v>
      </c>
      <c r="C13" s="13" t="s">
        <v>137</v>
      </c>
      <c r="D13" s="13" t="s">
        <v>128</v>
      </c>
      <c r="E13" s="7" t="s">
        <v>127</v>
      </c>
      <c r="F13" s="7" t="s">
        <v>3821</v>
      </c>
      <c r="G13" s="7" t="str">
        <f>IF(F13="フラグ","boolean",IF(F13="文字列","text",IF(F13="整数","integer",IF(F13="実数","numeric",""))))</f>
        <v>text</v>
      </c>
      <c r="H13" s="9"/>
      <c r="I13" s="10" t="s">
        <v>127</v>
      </c>
      <c r="J13" s="24"/>
      <c r="M13" s="4"/>
      <c r="N13" s="76"/>
      <c r="O13" s="76"/>
      <c r="P13" s="76" t="str">
        <f>IF(B13&lt;&gt;1,","&amp;D13,D13)</f>
        <v>facility_id</v>
      </c>
      <c r="Q13" s="76" t="str">
        <f t="shared" ref="Q13:Q18" si="0">UPPER(G13)</f>
        <v>TEXT</v>
      </c>
      <c r="R13" s="76" t="str">
        <f t="shared" ref="R13:R18" si="1">IF(H13&lt;&gt;"","default "&amp;IF(G13="text","'"&amp;H13&amp;"'",H13),"")</f>
        <v/>
      </c>
      <c r="S13" s="76" t="str">
        <f t="shared" ref="S13:S20" si="2">IF(I13="○","NOT NULL","")</f>
        <v>NOT NULL</v>
      </c>
      <c r="T13" s="76" t="str">
        <f t="shared" ref="T13:T20" si="3">"--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milscm_2023_009.sny_202310_enroll_shisetsu.facility_id IS '施設ID';</v>
      </c>
    </row>
    <row r="14" spans="1:45" s="25" customFormat="1">
      <c r="A14" s="4"/>
      <c r="B14" s="21">
        <f>ROW()-12</f>
        <v>2</v>
      </c>
      <c r="C14" s="13" t="s">
        <v>2406</v>
      </c>
      <c r="D14" s="13" t="s">
        <v>2407</v>
      </c>
      <c r="E14" s="7"/>
      <c r="F14" s="7" t="s">
        <v>3822</v>
      </c>
      <c r="G14" s="7" t="str">
        <f>IF(F14="フラグ","boolean",IF(F14="文字列","text",IF(F14="整数","integer",IF(F14="実数","numeric",""))))</f>
        <v>text</v>
      </c>
      <c r="H14" s="9"/>
      <c r="I14" s="10"/>
      <c r="J14" s="24"/>
      <c r="M14" s="4"/>
      <c r="N14" s="76"/>
      <c r="O14" s="76"/>
      <c r="P14" s="76" t="str">
        <f>IF(B14&lt;&gt;1,","&amp;D14,D14)</f>
        <v>,facility_id_mml</v>
      </c>
      <c r="Q14" s="76" t="str">
        <f t="shared" si="0"/>
        <v>TEXT</v>
      </c>
      <c r="R14" s="76" t="str">
        <f t="shared" si="1"/>
        <v/>
      </c>
      <c r="S14" s="76" t="str">
        <f t="shared" si="2"/>
        <v/>
      </c>
      <c r="T14" s="76" t="str">
        <f t="shared" si="3"/>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milscm_2023_009.sny_202310_enroll_shisetsu.facility_id_mml IS '施設ID（MML）';</v>
      </c>
    </row>
    <row r="15" spans="1:45" s="25" customFormat="1">
      <c r="A15" s="4"/>
      <c r="B15" s="21">
        <f t="shared" ref="B15:B20" si="4">ROW()-12</f>
        <v>3</v>
      </c>
      <c r="C15" s="6" t="s">
        <v>3823</v>
      </c>
      <c r="D15" s="6" t="s">
        <v>2409</v>
      </c>
      <c r="E15" s="8"/>
      <c r="F15" s="7" t="s">
        <v>3824</v>
      </c>
      <c r="G15" s="7" t="str">
        <f t="shared" ref="G15" si="5">IF(F15="フラグ","boolean",IF(F15="文字列","text",IF(F15="整数","integer",IF(F15="実数","numeric",""))))</f>
        <v>text</v>
      </c>
      <c r="H15" s="58"/>
      <c r="I15" s="23" t="s">
        <v>127</v>
      </c>
      <c r="J15" s="24"/>
      <c r="M15" s="4"/>
      <c r="N15" s="76"/>
      <c r="O15" s="76"/>
      <c r="P15" s="76" t="str">
        <f t="shared" ref="P15" si="6">IF(B15&lt;&gt;1,","&amp;D15,D15)</f>
        <v>,facility_name</v>
      </c>
      <c r="Q15" s="76" t="str">
        <f t="shared" si="0"/>
        <v>TEXT</v>
      </c>
      <c r="R15" s="76" t="str">
        <f t="shared" si="1"/>
        <v/>
      </c>
      <c r="S15" s="76" t="str">
        <f t="shared" si="2"/>
        <v>NOT NULL</v>
      </c>
      <c r="T15" s="76" t="str">
        <f t="shared" si="3"/>
        <v>-- 施設名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milscm_2023_009.sny_202310_enroll_shisetsu.facility_name IS '施設名';</v>
      </c>
    </row>
    <row r="16" spans="1:45" s="25" customFormat="1">
      <c r="A16" s="4"/>
      <c r="B16" s="21">
        <f>ROW()-12</f>
        <v>4</v>
      </c>
      <c r="C16" s="13" t="s">
        <v>3825</v>
      </c>
      <c r="D16" s="13" t="s">
        <v>2415</v>
      </c>
      <c r="E16" s="7"/>
      <c r="F16" s="7" t="s">
        <v>3822</v>
      </c>
      <c r="G16" s="7" t="str">
        <f>IF(F16="フラグ","boolean",IF(F16="文字列","text",IF(F16="整数","integer",IF(F16="実数","numeric",""))))</f>
        <v>text</v>
      </c>
      <c r="H16" s="9"/>
      <c r="I16" s="10"/>
      <c r="J16" s="24"/>
      <c r="M16" s="4"/>
      <c r="N16" s="76"/>
      <c r="O16" s="76"/>
      <c r="P16" s="76" t="str">
        <f>IF(B16&lt;&gt;1,","&amp;D16,D16)</f>
        <v>,facility_contract_start</v>
      </c>
      <c r="Q16" s="76" t="str">
        <f t="shared" ref="Q16" si="7">UPPER(G16)</f>
        <v>TEXT</v>
      </c>
      <c r="R16" s="76" t="str">
        <f t="shared" ref="R16" si="8">IF(H16&lt;&gt;"","default "&amp;IF(G16="text","'"&amp;H16&amp;"'",H16),"")</f>
        <v/>
      </c>
      <c r="S16" s="76" t="str">
        <f t="shared" si="2"/>
        <v/>
      </c>
      <c r="T16" s="76" t="str">
        <f t="shared" si="3"/>
        <v>-- 施設データ提供開始日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milscm_2023_009.sny_202310_enroll_shisetsu.facility_contract_start IS '施設データ提供開始日';</v>
      </c>
    </row>
    <row r="17" spans="1:52" s="25" customFormat="1">
      <c r="A17" s="4"/>
      <c r="B17" s="21">
        <f t="shared" si="4"/>
        <v>5</v>
      </c>
      <c r="C17" s="6" t="s">
        <v>3826</v>
      </c>
      <c r="D17" s="6" t="s">
        <v>2417</v>
      </c>
      <c r="E17" s="8"/>
      <c r="F17" s="7" t="s">
        <v>3822</v>
      </c>
      <c r="G17" s="7" t="str">
        <f t="shared" ref="G17" si="9">IF(F17="フラグ","boolean",IF(F17="文字列","text",IF(F17="整数","integer",IF(F17="実数","numeric",""))))</f>
        <v>text</v>
      </c>
      <c r="H17" s="58"/>
      <c r="I17" s="23"/>
      <c r="J17" s="24"/>
      <c r="M17" s="4"/>
      <c r="N17" s="76"/>
      <c r="O17" s="76"/>
      <c r="P17" s="76" t="str">
        <f t="shared" ref="P17" si="10">IF(B17&lt;&gt;1,","&amp;D17,D17)</f>
        <v>,facility_contract_end</v>
      </c>
      <c r="Q17" s="76" t="str">
        <f t="shared" si="0"/>
        <v>TEXT</v>
      </c>
      <c r="R17" s="76" t="str">
        <f t="shared" si="1"/>
        <v/>
      </c>
      <c r="S17" s="76" t="str">
        <f t="shared" si="2"/>
        <v/>
      </c>
      <c r="T17" s="76" t="str">
        <f t="shared" si="3"/>
        <v>-- 施設データ提供終了日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milscm_2023_009.sny_202310_enroll_shisetsu.facility_contract_end IS '施設データ提供終了日';</v>
      </c>
    </row>
    <row r="18" spans="1:52" s="25" customFormat="1">
      <c r="A18" s="4"/>
      <c r="B18" s="21">
        <f>ROW()-12</f>
        <v>6</v>
      </c>
      <c r="C18" s="13" t="s">
        <v>3827</v>
      </c>
      <c r="D18" s="13" t="s">
        <v>2419</v>
      </c>
      <c r="E18" s="7"/>
      <c r="F18" s="7" t="s">
        <v>204</v>
      </c>
      <c r="G18" s="7" t="str">
        <f>IF(F18="フラグ","boolean",IF(F18="文字列","text",IF(F18="整数","integer",IF(F18="実数","numeric",""))))</f>
        <v>integer</v>
      </c>
      <c r="H18" s="9"/>
      <c r="I18" s="10"/>
      <c r="J18" s="24"/>
      <c r="M18" s="4"/>
      <c r="N18" s="76"/>
      <c r="O18" s="76"/>
      <c r="P18" s="76" t="str">
        <f>IF(B18&lt;&gt;1,","&amp;D18,D18)</f>
        <v>,size</v>
      </c>
      <c r="Q18" s="76" t="str">
        <f t="shared" si="0"/>
        <v>INTEGER</v>
      </c>
      <c r="R18" s="76" t="str">
        <f t="shared" si="1"/>
        <v/>
      </c>
      <c r="S18" s="76" t="str">
        <f t="shared" ref="S18:S19" si="11">IF(I18="○","NOT NULL","")</f>
        <v/>
      </c>
      <c r="T18" s="76" t="str">
        <f t="shared" ref="T18:T19" si="12">"-- "&amp;C18</f>
        <v>-- 施設規模</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milscm_2023_009.sny_202310_enroll_shisetsu.size IS '施設規模';</v>
      </c>
    </row>
    <row r="19" spans="1:52" s="25" customFormat="1">
      <c r="A19" s="4"/>
      <c r="B19" s="21">
        <f t="shared" si="4"/>
        <v>7</v>
      </c>
      <c r="C19" s="6" t="s">
        <v>4069</v>
      </c>
      <c r="D19" s="6" t="s">
        <v>4023</v>
      </c>
      <c r="E19" s="8"/>
      <c r="F19" s="7" t="s">
        <v>3822</v>
      </c>
      <c r="G19" s="7" t="str">
        <f t="shared" ref="G19" si="13">IF(F19="フラグ","boolean",IF(F19="文字列","text",IF(F19="整数","integer",IF(F19="実数","numeric",""))))</f>
        <v>text</v>
      </c>
      <c r="H19" s="58"/>
      <c r="I19" s="23"/>
      <c r="J19" s="24" t="s">
        <v>4068</v>
      </c>
      <c r="M19" s="4"/>
      <c r="N19" s="76"/>
      <c r="O19" s="76"/>
      <c r="P19" s="76" t="str">
        <f t="shared" ref="P19" si="14">IF(B19&lt;&gt;1,","&amp;D19,D19)</f>
        <v>,usage_start</v>
      </c>
      <c r="Q19" s="76" t="str">
        <f t="shared" ref="Q19" si="15">UPPER(G19)</f>
        <v>TEXT</v>
      </c>
      <c r="R19" s="76" t="str">
        <f t="shared" ref="R19" si="16">IF(H19&lt;&gt;"","default "&amp;IF(G19="text","'"&amp;H19&amp;"'",H19),"")</f>
        <v/>
      </c>
      <c r="S19" s="76" t="str">
        <f t="shared" si="11"/>
        <v/>
      </c>
      <c r="T19" s="76" t="str">
        <f t="shared" si="12"/>
        <v>-- データ利用開始年月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milscm_2023_009.sny_202310_enroll_shisetsu.usage_start IS 'データ利用開始年月';</v>
      </c>
    </row>
    <row r="20" spans="1:52" s="25" customFormat="1" ht="18" thickBot="1">
      <c r="A20" s="4"/>
      <c r="B20" s="70">
        <f t="shared" si="4"/>
        <v>8</v>
      </c>
      <c r="C20" s="71" t="s">
        <v>4070</v>
      </c>
      <c r="D20" s="71" t="s">
        <v>4024</v>
      </c>
      <c r="E20" s="74"/>
      <c r="F20" s="72" t="s">
        <v>3822</v>
      </c>
      <c r="G20" s="72" t="str">
        <f t="shared" ref="G20" si="17">IF(F20="フラグ","boolean",IF(F20="文字列","text",IF(F20="整数","integer",IF(F20="実数","numeric",""))))</f>
        <v>text</v>
      </c>
      <c r="H20" s="73"/>
      <c r="I20" s="74"/>
      <c r="J20" s="75" t="s">
        <v>4068</v>
      </c>
      <c r="M20" s="4"/>
      <c r="N20" s="76"/>
      <c r="O20" s="76"/>
      <c r="P20" s="76" t="str">
        <f t="shared" ref="P20" si="18">IF(B20&lt;&gt;1,","&amp;D20,D20)</f>
        <v>,usage_end</v>
      </c>
      <c r="Q20" s="76" t="str">
        <f t="shared" ref="Q20" si="19">UPPER(G20)</f>
        <v>TEXT</v>
      </c>
      <c r="R20" s="76" t="str">
        <f t="shared" ref="R20" si="20">IF(H20&lt;&gt;"","default "&amp;IF(G20="text","'"&amp;H20&amp;"'",H20),"")</f>
        <v/>
      </c>
      <c r="S20" s="76" t="str">
        <f t="shared" si="2"/>
        <v/>
      </c>
      <c r="T20" s="76" t="str">
        <f t="shared" si="3"/>
        <v>-- データ利用終了年月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milscm_2023_009.sny_202310_enroll_shisetsu.usage_end IS 'データ利用終了年月';</v>
      </c>
    </row>
    <row r="21" spans="1:52">
      <c r="L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ENT_11_02</v>
      </c>
      <c r="E6" s="234"/>
      <c r="F6" s="234"/>
      <c r="G6" s="234"/>
      <c r="H6" s="234"/>
      <c r="I6" s="234"/>
      <c r="J6" s="235"/>
    </row>
    <row r="7" spans="1:45">
      <c r="B7" s="223" t="s">
        <v>115</v>
      </c>
      <c r="C7" s="224"/>
      <c r="D7" s="225" t="s">
        <v>3831</v>
      </c>
      <c r="E7" s="226"/>
      <c r="F7" s="226"/>
      <c r="G7" s="226"/>
      <c r="H7" s="226"/>
      <c r="I7" s="226"/>
      <c r="J7" s="227"/>
    </row>
    <row r="8" spans="1:45">
      <c r="B8" s="223" t="s">
        <v>116</v>
      </c>
      <c r="C8" s="224"/>
      <c r="D8" s="225" t="str">
        <f>エンティティ一覧!AE2&amp;"_"&amp;D5&amp;"_shikkan"</f>
        <v>sny_202310_enroll_shikkan</v>
      </c>
      <c r="E8" s="226"/>
      <c r="F8" s="226"/>
      <c r="G8" s="226"/>
      <c r="H8" s="226"/>
      <c r="I8" s="226"/>
      <c r="J8" s="227"/>
    </row>
    <row r="9" spans="1:45" ht="19.5" customHeight="1" thickBot="1">
      <c r="B9" s="228" t="s">
        <v>117</v>
      </c>
      <c r="C9" s="229"/>
      <c r="D9" s="230" t="s">
        <v>3995</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milscm_2023_009.sny_202310_enroll_shikkan;</v>
      </c>
      <c r="O10" s="76"/>
      <c r="P10" s="76"/>
      <c r="Q10" s="76"/>
      <c r="R10" s="76"/>
      <c r="S10" s="76"/>
      <c r="T10" s="76"/>
      <c r="AJ10" s="76" t="str">
        <f>"ALTER TABLE ONLY "&amp;エンティティ一覧!$O$2&amp;"."&amp;D$8</f>
        <v>ALTER TABLE ONLY milscm_2023_009.sny_202310_enroll_shikkan</v>
      </c>
      <c r="AS10" s="76" t="str">
        <f>"ALTER TABLE "&amp;エンティティ一覧!$O$2&amp;"."&amp;D$8&amp;" OWNER TO pgmisgrp1;"</f>
        <v>ALTER TABLE milscm_2023_009.sny_202310_enroll_shikkan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milscm_2023_009.sny_202310_enroll_shikkan</v>
      </c>
      <c r="O11" s="76"/>
      <c r="P11" s="76"/>
      <c r="Q11" s="76"/>
      <c r="R11" s="76"/>
      <c r="S11" s="76"/>
      <c r="T11" s="76"/>
      <c r="AJ11" s="76" t="str">
        <f>"ADD CONSTRAINT "&amp;D$8&amp;"_pkey PRIMARY KEY"</f>
        <v>ADD CONSTRAINT sny_202310_enroll_shikkan_pkey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milscm_2023_009.sny_202310_enroll_shikkan IS '組入れ_対象疾患';</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milscm_2023_009.sny_202310_enroll_shikkan.facility_id IS '施設ID';</v>
      </c>
    </row>
    <row r="14" spans="1:45" s="25" customFormat="1">
      <c r="A14" s="4"/>
      <c r="B14" s="21">
        <f>ROW()-12</f>
        <v>2</v>
      </c>
      <c r="C14" s="13" t="s">
        <v>2792</v>
      </c>
      <c r="D14" s="13" t="s">
        <v>1250</v>
      </c>
      <c r="E14" s="7" t="s">
        <v>127</v>
      </c>
      <c r="F14" s="7" t="s">
        <v>737</v>
      </c>
      <c r="G14" s="7" t="str">
        <f>IF(F14="フラグ","boolean",IF(F14="文字列","text",IF(F14="整数","integer",IF(F14="実数","numeric",""))))</f>
        <v>text</v>
      </c>
      <c r="H14" s="9"/>
      <c r="I14" s="10" t="s">
        <v>127</v>
      </c>
      <c r="J14" s="24"/>
      <c r="M14" s="4"/>
      <c r="N14" s="76"/>
      <c r="O14" s="76"/>
      <c r="P14" s="76" t="str">
        <f>IF(B14&lt;&gt;1,","&amp;D14,D14)</f>
        <v>,master_id</v>
      </c>
      <c r="Q14" s="76" t="str">
        <f t="shared" ref="Q14" si="2">UPPER(G14)</f>
        <v>TEXT</v>
      </c>
      <c r="R14" s="76" t="str">
        <f t="shared" ref="R14" si="3">IF(H14&lt;&gt;"","default "&amp;IF(G14="text","'"&amp;H14&amp;"'",H14),"")</f>
        <v/>
      </c>
      <c r="S14" s="76" t="str">
        <f>IF(I14="○","NOT NULL","")</f>
        <v>NOT NULL</v>
      </c>
      <c r="T14" s="76" t="str">
        <f>"-- "&amp;C14</f>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milscm_2023_009.sny_202310_enroll_shikkan.master_id IS '患者ID';</v>
      </c>
    </row>
    <row r="15" spans="1:45" s="25" customFormat="1">
      <c r="A15" s="4"/>
      <c r="B15" s="21">
        <f>ROW()-12</f>
        <v>3</v>
      </c>
      <c r="C15" s="13" t="s">
        <v>1325</v>
      </c>
      <c r="D15" s="13" t="s">
        <v>1326</v>
      </c>
      <c r="E15" s="7" t="s">
        <v>127</v>
      </c>
      <c r="F15" s="7" t="s">
        <v>737</v>
      </c>
      <c r="G15" s="7" t="str">
        <f>IF(F15="フラグ","boolean",IF(F15="文字列","text",IF(F15="整数","integer",IF(F15="実数","numeric",""))))</f>
        <v>text</v>
      </c>
      <c r="H15" s="9"/>
      <c r="I15" s="10" t="s">
        <v>127</v>
      </c>
      <c r="J15" s="24"/>
      <c r="M15" s="4"/>
      <c r="N15" s="76"/>
      <c r="O15" s="76"/>
      <c r="P15" s="76" t="str">
        <f>IF(B15&lt;&gt;1,","&amp;D15,D15)</f>
        <v>,byomei</v>
      </c>
      <c r="Q15" s="76" t="str">
        <f t="shared" ref="Q15" si="4">UPPER(G15)</f>
        <v>TEXT</v>
      </c>
      <c r="R15" s="76" t="str">
        <f t="shared" ref="R15" si="5">IF(H15&lt;&gt;"","default "&amp;IF(G15="text","'"&amp;H15&amp;"'",H15),"")</f>
        <v/>
      </c>
      <c r="S15" s="76" t="str">
        <f>IF(I15="○","NOT NULL","")</f>
        <v>NOT NULL</v>
      </c>
      <c r="T15" s="76" t="str">
        <f>"-- "&amp;C15</f>
        <v>-- 病名</v>
      </c>
      <c r="U15" s="4"/>
      <c r="AA15" s="4"/>
      <c r="AB15" s="4"/>
      <c r="AC15" s="4"/>
      <c r="AD15" s="4"/>
      <c r="AE15" s="4"/>
      <c r="AF15" s="4"/>
      <c r="AG15" s="4"/>
      <c r="AH15" s="4"/>
      <c r="AI15" s="4"/>
      <c r="AJ15" s="76" t="str">
        <f>IF(E15="○",IF(COUNTA(E$13:E15)=1,"",",")&amp;D15,"")</f>
        <v>,byomei</v>
      </c>
      <c r="AK15" s="4"/>
      <c r="AL15" s="4"/>
      <c r="AM15" s="4"/>
      <c r="AN15" s="4"/>
      <c r="AO15" s="4"/>
      <c r="AP15" s="4"/>
      <c r="AQ15" s="4"/>
      <c r="AR15" s="4"/>
      <c r="AS15" s="76" t="str">
        <f>"COMMENT ON COLUMN "&amp;エンティティ一覧!$O$2&amp;"."&amp;D$8&amp;"."&amp;D15&amp;" IS '"&amp;C15&amp;"';"</f>
        <v>COMMENT ON COLUMN milscm_2023_009.sny_202310_enroll_shikkan.byomei IS '病名';</v>
      </c>
    </row>
    <row r="16" spans="1:45" s="25" customFormat="1" ht="18" thickBot="1">
      <c r="A16" s="4"/>
      <c r="B16" s="66">
        <f t="shared" ref="B16" si="6">ROW()-12</f>
        <v>4</v>
      </c>
      <c r="C16" s="28" t="s">
        <v>3832</v>
      </c>
      <c r="D16" s="28" t="s">
        <v>1328</v>
      </c>
      <c r="E16" s="29" t="s">
        <v>127</v>
      </c>
      <c r="F16" s="56" t="s">
        <v>737</v>
      </c>
      <c r="G16" s="56" t="str">
        <f t="shared" ref="G16" si="7">IF(F16="フラグ","boolean",IF(F16="文字列","text",IF(F16="整数","integer",IF(F16="実数","numeric",""))))</f>
        <v>text</v>
      </c>
      <c r="H16" s="59"/>
      <c r="I16" s="60" t="s">
        <v>127</v>
      </c>
      <c r="J16" s="61"/>
      <c r="M16" s="4"/>
      <c r="N16" s="76"/>
      <c r="O16" s="76"/>
      <c r="P16" s="76" t="str">
        <f t="shared" ref="P16" si="8">IF(B16&lt;&gt;1,","&amp;D16,D16)</f>
        <v>,byomei_code</v>
      </c>
      <c r="Q16" s="76" t="str">
        <f t="shared" si="0"/>
        <v>TEXT</v>
      </c>
      <c r="R16" s="76" t="str">
        <f t="shared" si="1"/>
        <v/>
      </c>
      <c r="S16" s="76" t="str">
        <f>IF(I16="○","NOT NULL","")</f>
        <v>NOT NULL</v>
      </c>
      <c r="T16" s="76" t="str">
        <f>"-- "&amp;C16</f>
        <v>-- 病名コード値</v>
      </c>
      <c r="U16" s="4"/>
      <c r="AA16" s="4"/>
      <c r="AB16" s="4"/>
      <c r="AC16" s="4"/>
      <c r="AD16" s="4"/>
      <c r="AE16" s="4"/>
      <c r="AF16" s="4"/>
      <c r="AG16" s="4"/>
      <c r="AH16" s="4"/>
      <c r="AI16" s="4"/>
      <c r="AJ16" s="76" t="str">
        <f>IF(E16="○",IF(COUNTA(E$13:E16)=1,"",",")&amp;D16,"")</f>
        <v>,byomei_code</v>
      </c>
      <c r="AK16" s="4"/>
      <c r="AL16" s="4"/>
      <c r="AM16" s="4"/>
      <c r="AN16" s="4"/>
      <c r="AO16" s="4"/>
      <c r="AP16" s="4"/>
      <c r="AQ16" s="4"/>
      <c r="AR16" s="4"/>
      <c r="AS16" s="76" t="str">
        <f>"COMMENT ON COLUMN "&amp;エンティティ一覧!$O$2&amp;"."&amp;D$8&amp;"."&amp;D16&amp;" IS '"&amp;C16&amp;"';"</f>
        <v>COMMENT ON COLUMN milscm_2023_009.sny_202310_enroll_shikkan.byomei_code IS '病名コード値';</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ENT_11_03</v>
      </c>
      <c r="E6" s="234"/>
      <c r="F6" s="234"/>
      <c r="G6" s="234"/>
      <c r="H6" s="234"/>
      <c r="I6" s="234"/>
      <c r="J6" s="235"/>
    </row>
    <row r="7" spans="1:45">
      <c r="B7" s="223" t="s">
        <v>115</v>
      </c>
      <c r="C7" s="224"/>
      <c r="D7" s="225" t="s">
        <v>3833</v>
      </c>
      <c r="E7" s="226"/>
      <c r="F7" s="226"/>
      <c r="G7" s="226"/>
      <c r="H7" s="226"/>
      <c r="I7" s="226"/>
      <c r="J7" s="227"/>
    </row>
    <row r="8" spans="1:45">
      <c r="B8" s="223" t="s">
        <v>116</v>
      </c>
      <c r="C8" s="224"/>
      <c r="D8" s="225" t="str">
        <f>エンティティ一覧!AE2&amp;"_"&amp;D5&amp;"_shinryou_koui"</f>
        <v>sny_202310_enroll_shinryou_koui</v>
      </c>
      <c r="E8" s="226"/>
      <c r="F8" s="226"/>
      <c r="G8" s="226"/>
      <c r="H8" s="226"/>
      <c r="I8" s="226"/>
      <c r="J8" s="227"/>
    </row>
    <row r="9" spans="1:45" ht="19.5" customHeight="1" thickBot="1">
      <c r="B9" s="228" t="s">
        <v>117</v>
      </c>
      <c r="C9" s="229"/>
      <c r="D9" s="230" t="s">
        <v>3996</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milscm_2023_009.sny_202310_enroll_shinryou_koui;</v>
      </c>
      <c r="O10" s="76"/>
      <c r="P10" s="76"/>
      <c r="Q10" s="76"/>
      <c r="R10" s="76"/>
      <c r="S10" s="76"/>
      <c r="T10" s="76"/>
      <c r="AJ10" s="76" t="str">
        <f>"ALTER TABLE ONLY "&amp;エンティティ一覧!$O$2&amp;"."&amp;D$8</f>
        <v>ALTER TABLE ONLY milscm_2023_009.sny_202310_enroll_shinryou_koui</v>
      </c>
      <c r="AS10" s="76" t="str">
        <f>"ALTER TABLE "&amp;エンティティ一覧!$O$2&amp;"."&amp;D$8&amp;" OWNER TO pgmisgrp1;"</f>
        <v>ALTER TABLE milscm_2023_009.sny_202310_enroll_shinryou_koui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milscm_2023_009.sny_202310_enroll_shinryou_koui</v>
      </c>
      <c r="O11" s="76"/>
      <c r="P11" s="76"/>
      <c r="Q11" s="76"/>
      <c r="R11" s="76"/>
      <c r="S11" s="76"/>
      <c r="T11" s="76"/>
      <c r="AJ11" s="76" t="str">
        <f>"ADD CONSTRAINT "&amp;D$8&amp;"_pkey PRIMARY KEY"</f>
        <v>ADD CONSTRAINT sny_202310_enroll_shinryou_koui_pkey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milscm_2023_009.sny_202310_enroll_shinryou_koui IS '組入れ_対象診療行為';</v>
      </c>
    </row>
    <row r="13" spans="1:45" s="25" customFormat="1">
      <c r="A13" s="4"/>
      <c r="B13" s="21">
        <f>ROW()-12</f>
        <v>1</v>
      </c>
      <c r="C13" s="13" t="s">
        <v>137</v>
      </c>
      <c r="D13" s="13" t="s">
        <v>128</v>
      </c>
      <c r="E13" s="7" t="s">
        <v>127</v>
      </c>
      <c r="F13" s="7" t="s">
        <v>737</v>
      </c>
      <c r="G13" s="7" t="str">
        <f>IF(F13="フラグ","boolean",IF(F13="文字列","text",IF(F13="整数","integer",IF(F13="実数","numeric",""))))</f>
        <v>text</v>
      </c>
      <c r="H13" s="9"/>
      <c r="I13" s="10" t="s">
        <v>127</v>
      </c>
      <c r="J13" s="24"/>
      <c r="M13" s="4"/>
      <c r="N13" s="76"/>
      <c r="O13" s="76"/>
      <c r="P13" s="76" t="str">
        <f>IF(B13&lt;&gt;1,","&amp;D13,D13)</f>
        <v>facility_id</v>
      </c>
      <c r="Q13" s="76" t="str">
        <f t="shared" ref="Q13:Q16" si="0">UPPER(G13)</f>
        <v>TEXT</v>
      </c>
      <c r="R13" s="76" t="str">
        <f t="shared" ref="R13:R16"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milscm_2023_009.sny_202310_enroll_shinryou_koui.facility_id IS '施設ID';</v>
      </c>
    </row>
    <row r="14" spans="1:45" s="25" customFormat="1">
      <c r="A14" s="4"/>
      <c r="B14" s="21">
        <f>ROW()-12</f>
        <v>2</v>
      </c>
      <c r="C14" s="13" t="s">
        <v>1740</v>
      </c>
      <c r="D14" s="13" t="s">
        <v>210</v>
      </c>
      <c r="E14" s="7" t="s">
        <v>127</v>
      </c>
      <c r="F14" s="7" t="s">
        <v>737</v>
      </c>
      <c r="G14" s="7" t="str">
        <f>IF(F14="フラグ","boolean",IF(F14="文字列","text",IF(F14="整数","integer",IF(F14="実数","numeric",""))))</f>
        <v>text</v>
      </c>
      <c r="H14" s="9"/>
      <c r="I14" s="10" t="s">
        <v>127</v>
      </c>
      <c r="J14" s="24"/>
      <c r="M14" s="4"/>
      <c r="N14" s="76"/>
      <c r="O14" s="76"/>
      <c r="P14" s="76" t="str">
        <f>IF(B14&lt;&gt;1,","&amp;D14,D14)</f>
        <v>,shikibetsu_no</v>
      </c>
      <c r="Q14" s="76" t="str">
        <f t="shared" si="0"/>
        <v>TEXT</v>
      </c>
      <c r="R14" s="76" t="str">
        <f t="shared" si="1"/>
        <v/>
      </c>
      <c r="S14" s="76" t="str">
        <f>IF(I14="○","NOT NULL","")</f>
        <v>NOT NULL</v>
      </c>
      <c r="T14" s="76" t="str">
        <f>"-- "&amp;C14</f>
        <v>-- データ識別番号</v>
      </c>
      <c r="U14" s="4"/>
      <c r="AA14" s="4"/>
      <c r="AB14" s="4"/>
      <c r="AC14" s="4"/>
      <c r="AD14" s="4"/>
      <c r="AE14" s="4"/>
      <c r="AF14" s="4"/>
      <c r="AG14" s="4"/>
      <c r="AH14" s="4"/>
      <c r="AI14" s="4"/>
      <c r="AJ14" s="76" t="str">
        <f>IF(E14="○",IF(COUNTA(E$13:E14)=1,"",",")&amp;D14,"")</f>
        <v>,shikibetsu_no</v>
      </c>
      <c r="AK14" s="4"/>
      <c r="AL14" s="4"/>
      <c r="AM14" s="4"/>
      <c r="AN14" s="4"/>
      <c r="AO14" s="4"/>
      <c r="AP14" s="4"/>
      <c r="AQ14" s="4"/>
      <c r="AR14" s="4"/>
      <c r="AS14" s="76" t="str">
        <f>"COMMENT ON COLUMN "&amp;エンティティ一覧!$O$2&amp;"."&amp;D$8&amp;"."&amp;D14&amp;" IS '"&amp;C14&amp;"';"</f>
        <v>COMMENT ON COLUMN milscm_2023_009.sny_202310_enroll_shinryou_koui.shikibetsu_no IS 'データ識別番号';</v>
      </c>
    </row>
    <row r="15" spans="1:45" s="25" customFormat="1">
      <c r="A15" s="4"/>
      <c r="B15" s="21">
        <f>ROW()-12</f>
        <v>3</v>
      </c>
      <c r="C15" s="13" t="s">
        <v>145</v>
      </c>
      <c r="D15" s="13" t="s">
        <v>154</v>
      </c>
      <c r="E15" s="7" t="s">
        <v>127</v>
      </c>
      <c r="F15" s="7" t="s">
        <v>737</v>
      </c>
      <c r="G15" s="7" t="str">
        <f>IF(F15="フラグ","boolean",IF(F15="文字列","text",IF(F15="整数","integer",IF(F15="実数","numeric",""))))</f>
        <v>text</v>
      </c>
      <c r="H15" s="9"/>
      <c r="I15" s="10" t="s">
        <v>127</v>
      </c>
      <c r="J15" s="24"/>
      <c r="M15" s="4"/>
      <c r="N15" s="76"/>
      <c r="O15" s="76"/>
      <c r="P15" s="76" t="str">
        <f>IF(B15&lt;&gt;1,","&amp;D15,D15)</f>
        <v>,receipt_densan_code</v>
      </c>
      <c r="Q15" s="76" t="str">
        <f t="shared" si="0"/>
        <v>TEXT</v>
      </c>
      <c r="R15" s="76" t="str">
        <f t="shared" si="1"/>
        <v/>
      </c>
      <c r="S15" s="76" t="str">
        <f>IF(I15="○","NOT NULL","")</f>
        <v>NOT NULL</v>
      </c>
      <c r="T15" s="76" t="str">
        <f>"-- "&amp;C15</f>
        <v>-- レセプト電算処理システム用コード</v>
      </c>
      <c r="U15" s="4"/>
      <c r="AA15" s="4"/>
      <c r="AB15" s="4"/>
      <c r="AC15" s="4"/>
      <c r="AD15" s="4"/>
      <c r="AE15" s="4"/>
      <c r="AF15" s="4"/>
      <c r="AG15" s="4"/>
      <c r="AH15" s="4"/>
      <c r="AI15" s="4"/>
      <c r="AJ15" s="76" t="str">
        <f>IF(E15="○",IF(COUNTA(E$13:E15)=1,"",",")&amp;D15,"")</f>
        <v>,receipt_densan_code</v>
      </c>
      <c r="AK15" s="4"/>
      <c r="AL15" s="4"/>
      <c r="AM15" s="4"/>
      <c r="AN15" s="4"/>
      <c r="AO15" s="4"/>
      <c r="AP15" s="4"/>
      <c r="AQ15" s="4"/>
      <c r="AR15" s="4"/>
      <c r="AS15" s="76" t="str">
        <f>"COMMENT ON COLUMN "&amp;エンティティ一覧!$O$2&amp;"."&amp;D$8&amp;"."&amp;D15&amp;" IS '"&amp;C15&amp;"';"</f>
        <v>COMMENT ON COLUMN milscm_2023_009.sny_202310_enroll_shinryou_koui.receipt_densan_code IS 'レセプト電算処理システム用コード';</v>
      </c>
    </row>
    <row r="16" spans="1:45" s="25" customFormat="1" ht="18" thickBot="1">
      <c r="A16" s="4"/>
      <c r="B16" s="66">
        <f t="shared" ref="B16" si="2">ROW()-12</f>
        <v>4</v>
      </c>
      <c r="C16" s="28" t="s">
        <v>149</v>
      </c>
      <c r="D16" s="28" t="s">
        <v>155</v>
      </c>
      <c r="E16" s="29" t="s">
        <v>127</v>
      </c>
      <c r="F16" s="56" t="s">
        <v>737</v>
      </c>
      <c r="G16" s="56" t="str">
        <f t="shared" ref="G16" si="3">IF(F16="フラグ","boolean",IF(F16="文字列","text",IF(F16="整数","integer",IF(F16="実数","numeric",""))))</f>
        <v>text</v>
      </c>
      <c r="H16" s="59"/>
      <c r="I16" s="60" t="s">
        <v>127</v>
      </c>
      <c r="J16" s="61"/>
      <c r="M16" s="4"/>
      <c r="N16" s="76"/>
      <c r="O16" s="76"/>
      <c r="P16" s="76" t="str">
        <f t="shared" ref="P16" si="4">IF(B16&lt;&gt;1,","&amp;D16,D16)</f>
        <v>,jisshi_ymd</v>
      </c>
      <c r="Q16" s="76" t="str">
        <f t="shared" si="0"/>
        <v>TEXT</v>
      </c>
      <c r="R16" s="76" t="str">
        <f t="shared" si="1"/>
        <v/>
      </c>
      <c r="S16" s="76" t="str">
        <f>IF(I16="○","NOT NULL","")</f>
        <v>NOT NULL</v>
      </c>
      <c r="T16" s="76" t="str">
        <f>"-- "&amp;C16</f>
        <v>-- 実施年月日</v>
      </c>
      <c r="U16" s="4"/>
      <c r="AA16" s="4"/>
      <c r="AB16" s="4"/>
      <c r="AC16" s="4"/>
      <c r="AD16" s="4"/>
      <c r="AE16" s="4"/>
      <c r="AF16" s="4"/>
      <c r="AG16" s="4"/>
      <c r="AH16" s="4"/>
      <c r="AI16" s="4"/>
      <c r="AJ16" s="76" t="str">
        <f>IF(E16="○",IF(COUNTA(E$13:E16)=1,"",",")&amp;D16,"")</f>
        <v>,jisshi_ymd</v>
      </c>
      <c r="AK16" s="4"/>
      <c r="AL16" s="4"/>
      <c r="AM16" s="4"/>
      <c r="AN16" s="4"/>
      <c r="AO16" s="4"/>
      <c r="AP16" s="4"/>
      <c r="AQ16" s="4"/>
      <c r="AR16" s="4"/>
      <c r="AS16" s="76" t="str">
        <f>"COMMENT ON COLUMN "&amp;エンティティ一覧!$O$2&amp;"."&amp;D$8&amp;"."&amp;D16&amp;" IS '"&amp;C16&amp;"';"</f>
        <v>COMMENT ON COLUMN milscm_2023_009.sny_202310_enroll_shinryou_koui.jisshi_ymd IS '実施年月日';</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ENT_11_04</v>
      </c>
      <c r="E6" s="234"/>
      <c r="F6" s="234"/>
      <c r="G6" s="234"/>
      <c r="H6" s="234"/>
      <c r="I6" s="234"/>
      <c r="J6" s="235"/>
    </row>
    <row r="7" spans="1:45">
      <c r="B7" s="223" t="s">
        <v>115</v>
      </c>
      <c r="C7" s="224"/>
      <c r="D7" s="225" t="s">
        <v>3835</v>
      </c>
      <c r="E7" s="226"/>
      <c r="F7" s="226"/>
      <c r="G7" s="226"/>
      <c r="H7" s="226"/>
      <c r="I7" s="226"/>
      <c r="J7" s="227"/>
    </row>
    <row r="8" spans="1:45">
      <c r="B8" s="223" t="s">
        <v>116</v>
      </c>
      <c r="C8" s="224"/>
      <c r="D8" s="225" t="str">
        <f>エンティティ一覧!AE2&amp;"_"&amp;D5&amp;"_mt_kensa"</f>
        <v>sny_202310_enroll_mt_kensa</v>
      </c>
      <c r="E8" s="226"/>
      <c r="F8" s="226"/>
      <c r="G8" s="226"/>
      <c r="H8" s="226"/>
      <c r="I8" s="226"/>
      <c r="J8" s="227"/>
    </row>
    <row r="9" spans="1:45" ht="19.5" customHeight="1" thickBot="1">
      <c r="B9" s="228" t="s">
        <v>117</v>
      </c>
      <c r="C9" s="229"/>
      <c r="D9" s="230" t="s">
        <v>3993</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milscm_2023_009.sny_202310_enroll_mt_kensa;</v>
      </c>
      <c r="O10" s="76"/>
      <c r="P10" s="76"/>
      <c r="Q10" s="76"/>
      <c r="R10" s="76"/>
      <c r="S10" s="76"/>
      <c r="T10" s="76"/>
      <c r="AJ10" s="76" t="str">
        <f>"ALTER TABLE ONLY "&amp;エンティティ一覧!$O$2&amp;"."&amp;D$8</f>
        <v>ALTER TABLE ONLY milscm_2023_009.sny_202310_enroll_mt_kensa</v>
      </c>
      <c r="AS10" s="76" t="str">
        <f>"ALTER TABLE "&amp;エンティティ一覧!$O$2&amp;"."&amp;D$8&amp;" OWNER TO pgmisgrp1;"</f>
        <v>ALTER TABLE milscm_2023_009.sny_202310_enroll_mt_kensa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milscm_2023_009.sny_202310_enroll_mt_kensa</v>
      </c>
      <c r="O11" s="76"/>
      <c r="P11" s="76"/>
      <c r="Q11" s="76"/>
      <c r="R11" s="76"/>
      <c r="S11" s="76"/>
      <c r="T11" s="76"/>
      <c r="AJ11" s="76" t="str">
        <f>"ADD CONSTRAINT "&amp;D$8&amp;"_pkey PRIMARY KEY"</f>
        <v>ADD CONSTRAINT sny_202310_enroll_mt_kensa_pkey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milscm_2023_009.sny_202310_enroll_mt_kensa IS '組入れ_検体検査マスタ';</v>
      </c>
    </row>
    <row r="13" spans="1:45" s="25" customFormat="1">
      <c r="A13" s="4"/>
      <c r="B13" s="21">
        <f t="shared" ref="B13:B21" si="0">ROW()-12</f>
        <v>1</v>
      </c>
      <c r="C13" s="6" t="s">
        <v>3837</v>
      </c>
      <c r="D13" s="6" t="s">
        <v>883</v>
      </c>
      <c r="E13" s="8" t="s">
        <v>127</v>
      </c>
      <c r="F13" s="8" t="s">
        <v>3824</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milscm_2023_009.sny_202310_enroll_mt_kensa.facility_id IS '施設ID';</v>
      </c>
    </row>
    <row r="14" spans="1:45" s="25" customFormat="1">
      <c r="A14" s="4"/>
      <c r="B14" s="21">
        <f t="shared" si="0"/>
        <v>2</v>
      </c>
      <c r="C14" s="98" t="s">
        <v>1610</v>
      </c>
      <c r="D14" s="98" t="s">
        <v>1611</v>
      </c>
      <c r="E14" s="99" t="s">
        <v>127</v>
      </c>
      <c r="F14" s="99" t="s">
        <v>3824</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milscm_2023_009.sny_202310_enroll_mt_kensa.specimen_name IS '検体材料';</v>
      </c>
    </row>
    <row r="15" spans="1:45" s="25" customFormat="1">
      <c r="A15" s="4"/>
      <c r="B15" s="21">
        <f t="shared" si="0"/>
        <v>3</v>
      </c>
      <c r="C15" s="98" t="s">
        <v>1612</v>
      </c>
      <c r="D15" s="98" t="s">
        <v>1613</v>
      </c>
      <c r="E15" s="99" t="s">
        <v>127</v>
      </c>
      <c r="F15" s="99" t="s">
        <v>3824</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milscm_2023_009.sny_202310_enroll_mt_kensa.sp_code IS '検体材料コード';</v>
      </c>
    </row>
    <row r="16" spans="1:45" s="25" customFormat="1">
      <c r="A16" s="4"/>
      <c r="B16" s="21">
        <f t="shared" si="0"/>
        <v>4</v>
      </c>
      <c r="C16" s="6" t="s">
        <v>3838</v>
      </c>
      <c r="D16" s="6" t="s">
        <v>1628</v>
      </c>
      <c r="E16" s="8" t="s">
        <v>127</v>
      </c>
      <c r="F16" s="7" t="s">
        <v>3824</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milscm_2023_009.sny_202310_enroll_mt_kensa.item_name IS '検査名';</v>
      </c>
    </row>
    <row r="17" spans="1:52" s="25" customFormat="1">
      <c r="A17" s="4"/>
      <c r="B17" s="21">
        <f t="shared" si="0"/>
        <v>5</v>
      </c>
      <c r="C17" s="6" t="s">
        <v>3839</v>
      </c>
      <c r="D17" s="6" t="s">
        <v>3840</v>
      </c>
      <c r="E17" s="8" t="s">
        <v>127</v>
      </c>
      <c r="F17" s="7" t="s">
        <v>3824</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milscm_2023_009.sny_202310_enroll_mt_kensa.item_code IS '検査名_施設固有コード';</v>
      </c>
    </row>
    <row r="18" spans="1:52" s="25" customFormat="1">
      <c r="A18" s="4"/>
      <c r="B18" s="21">
        <f t="shared" si="0"/>
        <v>6</v>
      </c>
      <c r="C18" s="6" t="s">
        <v>3846</v>
      </c>
      <c r="D18" s="6" t="s">
        <v>3847</v>
      </c>
      <c r="E18" s="8" t="s">
        <v>127</v>
      </c>
      <c r="F18" s="7" t="s">
        <v>3280</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milscm_2023_009.sny_202310_enroll_mt_kensa.unit IS '単位';</v>
      </c>
    </row>
    <row r="19" spans="1:52" s="25" customFormat="1">
      <c r="A19" s="4"/>
      <c r="B19" s="21">
        <f t="shared" si="0"/>
        <v>7</v>
      </c>
      <c r="C19" s="6" t="s">
        <v>3841</v>
      </c>
      <c r="D19" s="6" t="s">
        <v>3842</v>
      </c>
      <c r="E19" s="8"/>
      <c r="F19" s="7" t="s">
        <v>3280</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milscm_2023_009.sny_202310_enroll_mt_kensa.m_unit IS '一般単位';</v>
      </c>
    </row>
    <row r="20" spans="1:52" s="25" customFormat="1">
      <c r="A20" s="4"/>
      <c r="B20" s="21">
        <f t="shared" si="0"/>
        <v>8</v>
      </c>
      <c r="C20" s="6" t="s">
        <v>3848</v>
      </c>
      <c r="D20" s="6" t="s">
        <v>3849</v>
      </c>
      <c r="E20" s="8"/>
      <c r="F20" s="7" t="s">
        <v>3824</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milscm_2023_009.sny_202310_enroll_mt_kensa.disp_name IS '表示名';</v>
      </c>
    </row>
    <row r="21" spans="1:52" s="25" customFormat="1" ht="18" thickBot="1">
      <c r="A21" s="4"/>
      <c r="B21" s="66">
        <f t="shared" si="0"/>
        <v>9</v>
      </c>
      <c r="C21" s="28" t="s">
        <v>3843</v>
      </c>
      <c r="D21" s="28" t="s">
        <v>3844</v>
      </c>
      <c r="E21" s="29"/>
      <c r="F21" s="56" t="s">
        <v>3845</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milscm_2023_009.sny_202310_enroll_mt_kensa.rate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B9:C9"/>
    <mergeCell ref="D9:J9"/>
    <mergeCell ref="D8:J8"/>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11" priority="4"/>
  </conditionalFormatting>
  <conditionalFormatting sqref="D15">
    <cfRule type="duplicateValues" dxfId="10" priority="3"/>
  </conditionalFormatting>
  <conditionalFormatting sqref="D13">
    <cfRule type="duplicateValues" dxfId="9" priority="2"/>
  </conditionalFormatting>
  <conditionalFormatting sqref="D14">
    <cfRule type="duplicateValues" dxfId="8"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ENT_11_05</v>
      </c>
      <c r="E6" s="234"/>
      <c r="F6" s="234"/>
      <c r="G6" s="234"/>
      <c r="H6" s="234"/>
      <c r="I6" s="234"/>
      <c r="J6" s="235"/>
    </row>
    <row r="7" spans="1:45">
      <c r="B7" s="223" t="s">
        <v>115</v>
      </c>
      <c r="C7" s="224"/>
      <c r="D7" s="225" t="s">
        <v>3834</v>
      </c>
      <c r="E7" s="226"/>
      <c r="F7" s="226"/>
      <c r="G7" s="226"/>
      <c r="H7" s="226"/>
      <c r="I7" s="226"/>
      <c r="J7" s="227"/>
    </row>
    <row r="8" spans="1:45">
      <c r="B8" s="223" t="s">
        <v>116</v>
      </c>
      <c r="C8" s="224"/>
      <c r="D8" s="225" t="str">
        <f>エンティティ一覧!AE2&amp;"_"&amp;D5&amp;"_kensa"</f>
        <v>sny_202310_enroll_kensa</v>
      </c>
      <c r="E8" s="226"/>
      <c r="F8" s="226"/>
      <c r="G8" s="226"/>
      <c r="H8" s="226"/>
      <c r="I8" s="226"/>
      <c r="J8" s="227"/>
    </row>
    <row r="9" spans="1:45" ht="19.5" customHeight="1" thickBot="1">
      <c r="B9" s="228" t="s">
        <v>117</v>
      </c>
      <c r="C9" s="229"/>
      <c r="D9" s="230" t="s">
        <v>3851</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milscm_2023_009.sny_202310_enroll_kensa;</v>
      </c>
      <c r="O10" s="76"/>
      <c r="P10" s="76"/>
      <c r="Q10" s="76"/>
      <c r="R10" s="76"/>
      <c r="S10" s="76"/>
      <c r="T10" s="76"/>
      <c r="AJ10" s="76" t="str">
        <f>"ALTER TABLE ONLY "&amp;エンティティ一覧!$O$2&amp;"."&amp;D$8</f>
        <v>ALTER TABLE ONLY milscm_2023_009.sny_202310_enroll_kensa</v>
      </c>
      <c r="AS10" s="76" t="str">
        <f>"ALTER TABLE "&amp;エンティティ一覧!$O$2&amp;"."&amp;D$8&amp;" OWNER TO pgmisgrp1;"</f>
        <v>ALTER TABLE milscm_2023_009.sny_202310_enroll_kensa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milscm_2023_009.sny_202310_enroll_kensa</v>
      </c>
      <c r="O11" s="76"/>
      <c r="P11" s="76"/>
      <c r="Q11" s="76"/>
      <c r="R11" s="76"/>
      <c r="S11" s="76"/>
      <c r="T11" s="76"/>
      <c r="AJ11" s="76" t="str">
        <f>"ADD CONSTRAINT "&amp;D$8&amp;"_pkey PRIMARY KEY"</f>
        <v>ADD CONSTRAINT sny_202310_enroll_kensa_pkey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 IS '組入れ_対象検体検査';</v>
      </c>
    </row>
    <row r="13" spans="1:45" s="25" customFormat="1">
      <c r="A13" s="4"/>
      <c r="B13" s="21">
        <f t="shared" ref="B13:B20"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0"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milscm_2023_009.sny_202310_enroll_kensa.facility_id IS '施設ID';</v>
      </c>
    </row>
    <row r="14" spans="1:45" s="25" customFormat="1">
      <c r="A14" s="4"/>
      <c r="B14" s="21">
        <f t="shared" si="0"/>
        <v>2</v>
      </c>
      <c r="C14" s="13" t="s">
        <v>1249</v>
      </c>
      <c r="D14" s="13" t="s">
        <v>1250</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milscm_2023_009.sny_202310_enroll_kensa.master_id IS '患者ID';</v>
      </c>
    </row>
    <row r="15" spans="1:45" s="25" customFormat="1">
      <c r="A15" s="4"/>
      <c r="B15" s="21">
        <f t="shared" si="0"/>
        <v>3</v>
      </c>
      <c r="C15" s="13" t="s">
        <v>1610</v>
      </c>
      <c r="D15" s="13" t="s">
        <v>1611</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milscm_2023_009.sny_202310_enroll_kensa.specimen_name IS '検体材料';</v>
      </c>
    </row>
    <row r="16" spans="1:45" s="25" customFormat="1">
      <c r="A16" s="4"/>
      <c r="B16" s="21">
        <f t="shared" si="0"/>
        <v>4</v>
      </c>
      <c r="C16" s="13" t="s">
        <v>1612</v>
      </c>
      <c r="D16" s="13" t="s">
        <v>1613</v>
      </c>
      <c r="E16" s="7" t="s">
        <v>127</v>
      </c>
      <c r="F16" s="7" t="s">
        <v>865</v>
      </c>
      <c r="G16" s="7" t="str">
        <f t="shared" si="1"/>
        <v>text</v>
      </c>
      <c r="H16" s="9"/>
      <c r="I16" s="10" t="s">
        <v>127</v>
      </c>
      <c r="J16" s="24"/>
      <c r="M16" s="4"/>
      <c r="N16" s="76"/>
      <c r="O16" s="76"/>
      <c r="P16" s="76" t="str">
        <f t="shared" si="2"/>
        <v>,sp_code</v>
      </c>
      <c r="Q16" s="76" t="str">
        <f t="shared" ref="Q16:Q19" si="7">UPPER(G16)</f>
        <v>TEXT</v>
      </c>
      <c r="R16" s="76" t="str">
        <f t="shared" ref="R16:R19" si="8">IF(H16&lt;&gt;"","default "&amp;IF(G16="text","'"&amp;H16&amp;"'",H16),"")</f>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milscm_2023_009.sny_202310_enroll_kensa.sp_code IS '検体材料コード';</v>
      </c>
    </row>
    <row r="17" spans="1:52" s="25" customFormat="1">
      <c r="A17" s="4"/>
      <c r="B17" s="21">
        <f t="shared" si="0"/>
        <v>5</v>
      </c>
      <c r="C17" s="13" t="s">
        <v>1627</v>
      </c>
      <c r="D17" s="13" t="s">
        <v>1628</v>
      </c>
      <c r="E17" s="7" t="s">
        <v>127</v>
      </c>
      <c r="F17" s="7" t="s">
        <v>865</v>
      </c>
      <c r="G17" s="7" t="str">
        <f t="shared" ref="G17" si="9">IF(F17="フラグ","boolean",IF(F17="文字列","text",IF(F17="整数","integer",IF(F17="実数","numeric",""))))</f>
        <v>text</v>
      </c>
      <c r="H17" s="9"/>
      <c r="I17" s="10" t="s">
        <v>127</v>
      </c>
      <c r="J17" s="24"/>
      <c r="M17" s="4"/>
      <c r="N17" s="76"/>
      <c r="O17" s="76"/>
      <c r="P17" s="76" t="str">
        <f t="shared" ref="P17" si="10">IF(B17&lt;&gt;1,","&amp;D17,D17)</f>
        <v>,item_name</v>
      </c>
      <c r="Q17" s="76" t="str">
        <f t="shared" ref="Q17" si="11">UPPER(G17)</f>
        <v>TEXT</v>
      </c>
      <c r="R17" s="76" t="str">
        <f t="shared" ref="R17" si="12">IF(H17&lt;&gt;"","default "&amp;IF(G17="text","'"&amp;H17&amp;"'",H17),"")</f>
        <v/>
      </c>
      <c r="S17" s="76" t="str">
        <f t="shared" ref="S17" si="13">IF(I17="○","NOT NULL","")</f>
        <v>NOT NULL</v>
      </c>
      <c r="T17" s="76" t="str">
        <f t="shared" ref="T17" si="14">"-- "&amp;C17</f>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milscm_2023_009.sny_202310_enroll_kensa.item_name IS '項目名';</v>
      </c>
    </row>
    <row r="18" spans="1:52" s="25" customFormat="1">
      <c r="A18" s="4"/>
      <c r="B18" s="21">
        <f t="shared" si="0"/>
        <v>6</v>
      </c>
      <c r="C18" s="13" t="s">
        <v>1629</v>
      </c>
      <c r="D18" s="13" t="s">
        <v>1630</v>
      </c>
      <c r="E18" s="7" t="s">
        <v>127</v>
      </c>
      <c r="F18" s="7" t="s">
        <v>865</v>
      </c>
      <c r="G18" s="7" t="str">
        <f t="shared" si="1"/>
        <v>text</v>
      </c>
      <c r="H18" s="9"/>
      <c r="I18" s="10" t="s">
        <v>127</v>
      </c>
      <c r="J18" s="24"/>
      <c r="M18" s="4"/>
      <c r="N18" s="76"/>
      <c r="O18" s="76"/>
      <c r="P18" s="76" t="str">
        <f t="shared" si="2"/>
        <v>,facility_it_code</v>
      </c>
      <c r="Q18" s="76" t="str">
        <f t="shared" si="7"/>
        <v>TEXT</v>
      </c>
      <c r="R18" s="76" t="str">
        <f t="shared" si="8"/>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milscm_2023_009.sny_202310_enroll_kensa.facility_it_code IS '施設固有コード';</v>
      </c>
    </row>
    <row r="19" spans="1:52" s="25" customFormat="1">
      <c r="A19" s="4"/>
      <c r="B19" s="21">
        <f t="shared" si="0"/>
        <v>7</v>
      </c>
      <c r="C19" s="13" t="s">
        <v>1655</v>
      </c>
      <c r="D19" s="13" t="s">
        <v>276</v>
      </c>
      <c r="E19" s="7" t="s">
        <v>127</v>
      </c>
      <c r="F19" s="7" t="s">
        <v>865</v>
      </c>
      <c r="G19" s="7" t="str">
        <f t="shared" si="1"/>
        <v>text</v>
      </c>
      <c r="H19" s="9"/>
      <c r="I19" s="10" t="s">
        <v>127</v>
      </c>
      <c r="J19" s="24"/>
      <c r="M19" s="4"/>
      <c r="N19" s="76"/>
      <c r="O19" s="76"/>
      <c r="P19" s="76" t="str">
        <f t="shared" si="2"/>
        <v>,unit</v>
      </c>
      <c r="Q19" s="76" t="str">
        <f t="shared" si="7"/>
        <v>TEXT</v>
      </c>
      <c r="R19" s="76" t="str">
        <f t="shared" si="8"/>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milscm_2023_009.sny_202310_enroll_kensa.unit IS '単位';</v>
      </c>
    </row>
    <row r="20" spans="1:52" s="25" customFormat="1">
      <c r="A20" s="4"/>
      <c r="B20" s="21">
        <f t="shared" si="0"/>
        <v>8</v>
      </c>
      <c r="C20" s="13" t="s">
        <v>3850</v>
      </c>
      <c r="D20" s="13" t="s">
        <v>3849</v>
      </c>
      <c r="E20" s="7"/>
      <c r="F20" s="7" t="s">
        <v>865</v>
      </c>
      <c r="G20" s="7" t="str">
        <f t="shared" si="1"/>
        <v>text</v>
      </c>
      <c r="H20" s="9"/>
      <c r="I20" s="10" t="s">
        <v>127</v>
      </c>
      <c r="J20" s="24"/>
      <c r="M20" s="4"/>
      <c r="N20" s="76"/>
      <c r="O20" s="76"/>
      <c r="P20" s="76" t="str">
        <f t="shared" si="2"/>
        <v>,disp_name</v>
      </c>
      <c r="Q20" s="76" t="str">
        <f t="shared" ref="Q20" si="15">UPPER(G20)</f>
        <v>TEXT</v>
      </c>
      <c r="R20" s="76" t="str">
        <f t="shared" ref="R20" si="16">IF(H20&lt;&gt;"","default "&amp;IF(G20="text","'"&amp;H20&amp;"'",H20),"")</f>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milscm_2023_009.sny_202310_enroll_kensa.disp_name IS '表示名';</v>
      </c>
    </row>
    <row r="21" spans="1:52" s="25" customFormat="1" ht="18" thickBot="1">
      <c r="A21" s="4"/>
      <c r="B21" s="66">
        <f t="shared" ref="B21" si="17">ROW()-12</f>
        <v>9</v>
      </c>
      <c r="C21" s="28" t="s">
        <v>1552</v>
      </c>
      <c r="D21" s="28" t="s">
        <v>1553</v>
      </c>
      <c r="E21" s="29" t="s">
        <v>127</v>
      </c>
      <c r="F21" s="56" t="s">
        <v>865</v>
      </c>
      <c r="G21" s="56" t="str">
        <f t="shared" ref="G21" si="18">IF(F21="フラグ","boolean",IF(F21="文字列","text",IF(F21="整数","integer",IF(F21="実数","numeric",""))))</f>
        <v>text</v>
      </c>
      <c r="H21" s="59"/>
      <c r="I21" s="60" t="s">
        <v>127</v>
      </c>
      <c r="J21" s="61"/>
      <c r="M21" s="4"/>
      <c r="N21" s="76"/>
      <c r="O21" s="76"/>
      <c r="P21" s="76" t="str">
        <f t="shared" ref="P21" si="19">IF(B21&lt;&gt;1,","&amp;D21,D21)</f>
        <v>,sample_time</v>
      </c>
      <c r="Q21" s="76" t="str">
        <f t="shared" si="3"/>
        <v>TEXT</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11</v>
      </c>
      <c r="E4" s="239"/>
      <c r="F4" s="239"/>
      <c r="G4" s="239"/>
      <c r="H4" s="239"/>
      <c r="I4" s="239"/>
      <c r="J4" s="240"/>
    </row>
    <row r="5" spans="1:45">
      <c r="B5" s="223" t="s">
        <v>3706</v>
      </c>
      <c r="C5" s="224"/>
      <c r="D5" s="233" t="str">
        <f>VLOOKUP(D7,エンティティ一覧!A1:'エンティティ一覧'!AM10161,7,FALSE)</f>
        <v>enroll</v>
      </c>
      <c r="E5" s="234"/>
      <c r="F5" s="234"/>
      <c r="G5" s="234"/>
      <c r="H5" s="234"/>
      <c r="I5" s="234"/>
      <c r="J5" s="235"/>
    </row>
    <row r="6" spans="1:45">
      <c r="B6" s="223" t="s">
        <v>3707</v>
      </c>
      <c r="C6" s="224"/>
      <c r="D6" s="233" t="str">
        <f>VLOOKUP(D7,エンティティ一覧!A1:'エンティティ一覧'!AM10161,15,FALSE)</f>
        <v>ENT_11_06</v>
      </c>
      <c r="E6" s="234"/>
      <c r="F6" s="234"/>
      <c r="G6" s="234"/>
      <c r="H6" s="234"/>
      <c r="I6" s="234"/>
      <c r="J6" s="235"/>
    </row>
    <row r="7" spans="1:45">
      <c r="B7" s="223" t="s">
        <v>115</v>
      </c>
      <c r="C7" s="224"/>
      <c r="D7" s="225" t="s">
        <v>4028</v>
      </c>
      <c r="E7" s="226"/>
      <c r="F7" s="226"/>
      <c r="G7" s="226"/>
      <c r="H7" s="226"/>
      <c r="I7" s="226"/>
      <c r="J7" s="227"/>
    </row>
    <row r="8" spans="1:45">
      <c r="B8" s="223" t="s">
        <v>116</v>
      </c>
      <c r="C8" s="224"/>
      <c r="D8" s="225" t="str">
        <f>エンティティ一覧!AE2&amp;"_"&amp;D5&amp;"_kensa_kanja"</f>
        <v>sny_202310_enroll_kensa_kanja</v>
      </c>
      <c r="E8" s="226"/>
      <c r="F8" s="226"/>
      <c r="G8" s="226"/>
      <c r="H8" s="226"/>
      <c r="I8" s="226"/>
      <c r="J8" s="227"/>
    </row>
    <row r="9" spans="1:45" ht="19.5" customHeight="1" thickBot="1">
      <c r="B9" s="228" t="s">
        <v>117</v>
      </c>
      <c r="C9" s="229"/>
      <c r="D9" s="230" t="s">
        <v>4030</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milscm_2023_009.sny_202310_enroll_kensa_kanja;</v>
      </c>
      <c r="O10" s="76"/>
      <c r="P10" s="76"/>
      <c r="Q10" s="76"/>
      <c r="R10" s="76"/>
      <c r="S10" s="76"/>
      <c r="T10" s="76"/>
      <c r="AJ10" s="76" t="str">
        <f>"ALTER TABLE ONLY "&amp;エンティティ一覧!$O$2&amp;"."&amp;D$8</f>
        <v>ALTER TABLE ONLY milscm_2023_009.sny_202310_enroll_kensa_kanja</v>
      </c>
      <c r="AS10" s="76" t="str">
        <f>"ALTER TABLE "&amp;エンティティ一覧!$O$2&amp;"."&amp;D$8&amp;" OWNER TO pgmisgrp1;"</f>
        <v>ALTER TABLE milscm_2023_009.sny_202310_enroll_kensa_kanja OWNER TO pgmisgrp1;</v>
      </c>
    </row>
    <row r="11" spans="1:45" ht="18" thickBot="1">
      <c r="B11" s="20" t="s">
        <v>118</v>
      </c>
      <c r="C11" s="19"/>
      <c r="D11" s="5"/>
      <c r="E11" s="5"/>
      <c r="F11" s="5"/>
      <c r="G11" s="5"/>
      <c r="H11" s="5"/>
      <c r="I11" s="5"/>
      <c r="J11" s="18"/>
      <c r="N11" s="76" t="str">
        <f>"CREATE TABLE  "&amp;エンティティ一覧!$O$2&amp;"."&amp;D$8</f>
        <v>CREATE TABLE  milscm_2023_009.sny_202310_enroll_kensa_kanja</v>
      </c>
      <c r="O11" s="76"/>
      <c r="P11" s="76"/>
      <c r="Q11" s="76"/>
      <c r="R11" s="76"/>
      <c r="S11" s="76"/>
      <c r="T11" s="76"/>
      <c r="AJ11" s="76" t="str">
        <f>"ADD CONSTRAINT "&amp;D$8&amp;"_pkey PRIMARY KEY"</f>
        <v>ADD CONSTRAINT sny_202310_enroll_kensa_kanja_pkey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milscm_2023_009.sny_202310_enroll_kensa_kanja IS '組入れ_対象検体検査_対象患者';</v>
      </c>
    </row>
    <row r="13" spans="1:45" s="25" customFormat="1">
      <c r="A13" s="4"/>
      <c r="B13" s="21">
        <f t="shared" ref="B13:B21" si="0">ROW()-12</f>
        <v>1</v>
      </c>
      <c r="C13" s="13" t="s">
        <v>137</v>
      </c>
      <c r="D13" s="13" t="s">
        <v>128</v>
      </c>
      <c r="E13" s="7" t="s">
        <v>127</v>
      </c>
      <c r="F13" s="7" t="s">
        <v>737</v>
      </c>
      <c r="G13" s="7" t="str">
        <f t="shared" ref="G13:G20" si="1">IF(F13="フラグ","boolean",IF(F13="文字列","text",IF(F13="整数","integer",IF(F13="実数","numeric",""))))</f>
        <v>text</v>
      </c>
      <c r="H13" s="9"/>
      <c r="I13" s="10" t="s">
        <v>127</v>
      </c>
      <c r="J13" s="24"/>
      <c r="M13" s="4"/>
      <c r="N13" s="76"/>
      <c r="O13" s="76"/>
      <c r="P13" s="76" t="str">
        <f t="shared" ref="P13:P21" si="2">IF(B13&lt;&gt;1,","&amp;D13,D13)</f>
        <v>facility_id</v>
      </c>
      <c r="Q13" s="76" t="str">
        <f t="shared" ref="Q13:Q21" si="3">UPPER(G13)</f>
        <v>TEXT</v>
      </c>
      <c r="R13" s="76" t="str">
        <f t="shared" ref="R13:R21" si="4">IF(H13&lt;&gt;"","default "&amp;IF(G13="text","'"&amp;H13&amp;"'",H13),"")</f>
        <v/>
      </c>
      <c r="S13" s="76" t="str">
        <f t="shared" ref="S13:S21" si="5">IF(I13="○","NOT NULL","")</f>
        <v>NOT NULL</v>
      </c>
      <c r="T13" s="76" t="str">
        <f t="shared" ref="T13:T21" si="6">"--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milscm_2023_009.sny_202310_enroll_kensa_kanja.facility_id IS '施設ID';</v>
      </c>
    </row>
    <row r="14" spans="1:45" s="25" customFormat="1">
      <c r="A14" s="4"/>
      <c r="B14" s="21">
        <f t="shared" si="0"/>
        <v>2</v>
      </c>
      <c r="C14" s="13" t="s">
        <v>1249</v>
      </c>
      <c r="D14" s="13" t="s">
        <v>1250</v>
      </c>
      <c r="E14" s="7" t="s">
        <v>127</v>
      </c>
      <c r="F14" s="7" t="s">
        <v>865</v>
      </c>
      <c r="G14" s="7" t="str">
        <f t="shared" si="1"/>
        <v>text</v>
      </c>
      <c r="H14" s="9"/>
      <c r="I14" s="10" t="s">
        <v>127</v>
      </c>
      <c r="J14" s="24"/>
      <c r="M14" s="4"/>
      <c r="N14" s="76"/>
      <c r="O14" s="76"/>
      <c r="P14" s="76" t="str">
        <f t="shared" si="2"/>
        <v>,master_id</v>
      </c>
      <c r="Q14" s="76" t="str">
        <f t="shared" si="3"/>
        <v>TEXT</v>
      </c>
      <c r="R14" s="76" t="str">
        <f t="shared" si="4"/>
        <v/>
      </c>
      <c r="S14" s="76" t="str">
        <f t="shared" si="5"/>
        <v>NOT NULL</v>
      </c>
      <c r="T14" s="76" t="str">
        <f t="shared" si="6"/>
        <v>-- 患者ID</v>
      </c>
      <c r="U14" s="4"/>
      <c r="AA14" s="4"/>
      <c r="AB14" s="4"/>
      <c r="AC14" s="4"/>
      <c r="AD14" s="4"/>
      <c r="AE14" s="4"/>
      <c r="AF14" s="4"/>
      <c r="AG14" s="4"/>
      <c r="AH14" s="4"/>
      <c r="AI14" s="4"/>
      <c r="AJ14" s="76" t="str">
        <f>IF(E14="○",IF(COUNTA(E$13:E14)=1,"",",")&amp;D14,"")</f>
        <v>,master_id</v>
      </c>
      <c r="AK14" s="4"/>
      <c r="AL14" s="4"/>
      <c r="AM14" s="4"/>
      <c r="AN14" s="4"/>
      <c r="AO14" s="4"/>
      <c r="AP14" s="4"/>
      <c r="AQ14" s="4"/>
      <c r="AR14" s="4"/>
      <c r="AS14" s="76" t="str">
        <f>"COMMENT ON COLUMN "&amp;エンティティ一覧!$O$2&amp;"."&amp;D$8&amp;"."&amp;D14&amp;" IS '"&amp;C14&amp;"';"</f>
        <v>COMMENT ON COLUMN milscm_2023_009.sny_202310_enroll_kensa_kanja.master_id IS '患者ID';</v>
      </c>
    </row>
    <row r="15" spans="1:45" s="25" customFormat="1">
      <c r="A15" s="4"/>
      <c r="B15" s="21">
        <f t="shared" si="0"/>
        <v>3</v>
      </c>
      <c r="C15" s="13" t="s">
        <v>1610</v>
      </c>
      <c r="D15" s="13" t="s">
        <v>1611</v>
      </c>
      <c r="E15" s="7" t="s">
        <v>127</v>
      </c>
      <c r="F15" s="7" t="s">
        <v>865</v>
      </c>
      <c r="G15" s="7" t="str">
        <f t="shared" si="1"/>
        <v>text</v>
      </c>
      <c r="H15" s="9"/>
      <c r="I15" s="10" t="s">
        <v>127</v>
      </c>
      <c r="J15" s="24"/>
      <c r="M15" s="4"/>
      <c r="N15" s="76"/>
      <c r="O15" s="76"/>
      <c r="P15" s="76" t="str">
        <f t="shared" si="2"/>
        <v>,specimen_name</v>
      </c>
      <c r="Q15" s="76" t="str">
        <f t="shared" si="3"/>
        <v>TEXT</v>
      </c>
      <c r="R15" s="76" t="str">
        <f t="shared" si="4"/>
        <v/>
      </c>
      <c r="S15" s="76" t="str">
        <f t="shared" si="5"/>
        <v>NOT NULL</v>
      </c>
      <c r="T15" s="76" t="str">
        <f t="shared" si="6"/>
        <v>-- 検体材料</v>
      </c>
      <c r="U15" s="4"/>
      <c r="AA15" s="4"/>
      <c r="AB15" s="4"/>
      <c r="AC15" s="4"/>
      <c r="AD15" s="4"/>
      <c r="AE15" s="4"/>
      <c r="AF15" s="4"/>
      <c r="AG15" s="4"/>
      <c r="AH15" s="4"/>
      <c r="AI15" s="4"/>
      <c r="AJ15" s="76" t="str">
        <f>IF(E15="○",IF(COUNTA(E$13:E15)=1,"",",")&amp;D15,"")</f>
        <v>,specimen_name</v>
      </c>
      <c r="AK15" s="4"/>
      <c r="AL15" s="4"/>
      <c r="AM15" s="4"/>
      <c r="AN15" s="4"/>
      <c r="AO15" s="4"/>
      <c r="AP15" s="4"/>
      <c r="AQ15" s="4"/>
      <c r="AR15" s="4"/>
      <c r="AS15" s="76" t="str">
        <f>"COMMENT ON COLUMN "&amp;エンティティ一覧!$O$2&amp;"."&amp;D$8&amp;"."&amp;D15&amp;" IS '"&amp;C15&amp;"';"</f>
        <v>COMMENT ON COLUMN milscm_2023_009.sny_202310_enroll_kensa_kanja.specimen_name IS '検体材料';</v>
      </c>
    </row>
    <row r="16" spans="1:45" s="25" customFormat="1">
      <c r="A16" s="4"/>
      <c r="B16" s="21">
        <f t="shared" si="0"/>
        <v>4</v>
      </c>
      <c r="C16" s="13" t="s">
        <v>1612</v>
      </c>
      <c r="D16" s="13" t="s">
        <v>1613</v>
      </c>
      <c r="E16" s="7" t="s">
        <v>127</v>
      </c>
      <c r="F16" s="7" t="s">
        <v>865</v>
      </c>
      <c r="G16" s="7" t="str">
        <f t="shared" si="1"/>
        <v>text</v>
      </c>
      <c r="H16" s="9"/>
      <c r="I16" s="10" t="s">
        <v>127</v>
      </c>
      <c r="J16" s="24"/>
      <c r="M16" s="4"/>
      <c r="N16" s="76"/>
      <c r="O16" s="76"/>
      <c r="P16" s="76" t="str">
        <f t="shared" si="2"/>
        <v>,sp_code</v>
      </c>
      <c r="Q16" s="76" t="str">
        <f t="shared" si="3"/>
        <v>TEXT</v>
      </c>
      <c r="R16" s="76" t="str">
        <f t="shared" si="4"/>
        <v/>
      </c>
      <c r="S16" s="76" t="str">
        <f t="shared" si="5"/>
        <v>NOT NULL</v>
      </c>
      <c r="T16" s="76" t="str">
        <f t="shared" si="6"/>
        <v>-- 検体材料コード</v>
      </c>
      <c r="U16" s="4"/>
      <c r="AA16" s="4"/>
      <c r="AB16" s="4"/>
      <c r="AC16" s="4"/>
      <c r="AD16" s="4"/>
      <c r="AE16" s="4"/>
      <c r="AF16" s="4"/>
      <c r="AG16" s="4"/>
      <c r="AH16" s="4"/>
      <c r="AI16" s="4"/>
      <c r="AJ16" s="76" t="str">
        <f>IF(E16="○",IF(COUNTA(E$13:E16)=1,"",",")&amp;D16,"")</f>
        <v>,sp_code</v>
      </c>
      <c r="AK16" s="4"/>
      <c r="AL16" s="4"/>
      <c r="AM16" s="4"/>
      <c r="AN16" s="4"/>
      <c r="AO16" s="4"/>
      <c r="AP16" s="4"/>
      <c r="AQ16" s="4"/>
      <c r="AR16" s="4"/>
      <c r="AS16" s="76" t="str">
        <f>"COMMENT ON COLUMN "&amp;エンティティ一覧!$O$2&amp;"."&amp;D$8&amp;"."&amp;D16&amp;" IS '"&amp;C16&amp;"';"</f>
        <v>COMMENT ON COLUMN milscm_2023_009.sny_202310_enroll_kensa_kanja.sp_code IS '検体材料コード';</v>
      </c>
    </row>
    <row r="17" spans="1:52" s="25" customFormat="1">
      <c r="A17" s="4"/>
      <c r="B17" s="21">
        <f t="shared" si="0"/>
        <v>5</v>
      </c>
      <c r="C17" s="13" t="s">
        <v>1627</v>
      </c>
      <c r="D17" s="13" t="s">
        <v>1628</v>
      </c>
      <c r="E17" s="7" t="s">
        <v>127</v>
      </c>
      <c r="F17" s="7" t="s">
        <v>865</v>
      </c>
      <c r="G17" s="7" t="str">
        <f t="shared" si="1"/>
        <v>text</v>
      </c>
      <c r="H17" s="9"/>
      <c r="I17" s="10" t="s">
        <v>127</v>
      </c>
      <c r="J17" s="24"/>
      <c r="M17" s="4"/>
      <c r="N17" s="76"/>
      <c r="O17" s="76"/>
      <c r="P17" s="76" t="str">
        <f t="shared" si="2"/>
        <v>,item_name</v>
      </c>
      <c r="Q17" s="76" t="str">
        <f t="shared" si="3"/>
        <v>TEXT</v>
      </c>
      <c r="R17" s="76" t="str">
        <f t="shared" si="4"/>
        <v/>
      </c>
      <c r="S17" s="76" t="str">
        <f t="shared" si="5"/>
        <v>NOT NULL</v>
      </c>
      <c r="T17" s="76" t="str">
        <f t="shared" si="6"/>
        <v>-- 項目名</v>
      </c>
      <c r="U17" s="4"/>
      <c r="AA17" s="4"/>
      <c r="AB17" s="4"/>
      <c r="AC17" s="4"/>
      <c r="AD17" s="4"/>
      <c r="AE17" s="4"/>
      <c r="AF17" s="4"/>
      <c r="AG17" s="4"/>
      <c r="AH17" s="4"/>
      <c r="AI17" s="4"/>
      <c r="AJ17" s="76" t="str">
        <f>IF(E17="○",IF(COUNTA(E$13:E17)=1,"",",")&amp;D17,"")</f>
        <v>,item_name</v>
      </c>
      <c r="AK17" s="4"/>
      <c r="AL17" s="4"/>
      <c r="AM17" s="4"/>
      <c r="AN17" s="4"/>
      <c r="AO17" s="4"/>
      <c r="AP17" s="4"/>
      <c r="AQ17" s="4"/>
      <c r="AR17" s="4"/>
      <c r="AS17" s="76" t="str">
        <f>"COMMENT ON COLUMN "&amp;エンティティ一覧!$O$2&amp;"."&amp;D$8&amp;"."&amp;D17&amp;" IS '"&amp;C17&amp;"';"</f>
        <v>COMMENT ON COLUMN milscm_2023_009.sny_202310_enroll_kensa_kanja.item_name IS '項目名';</v>
      </c>
    </row>
    <row r="18" spans="1:52" s="25" customFormat="1">
      <c r="A18" s="4"/>
      <c r="B18" s="21">
        <f t="shared" si="0"/>
        <v>6</v>
      </c>
      <c r="C18" s="13" t="s">
        <v>1629</v>
      </c>
      <c r="D18" s="13" t="s">
        <v>1630</v>
      </c>
      <c r="E18" s="7" t="s">
        <v>127</v>
      </c>
      <c r="F18" s="7" t="s">
        <v>865</v>
      </c>
      <c r="G18" s="7" t="str">
        <f t="shared" si="1"/>
        <v>text</v>
      </c>
      <c r="H18" s="9"/>
      <c r="I18" s="10" t="s">
        <v>127</v>
      </c>
      <c r="J18" s="24"/>
      <c r="M18" s="4"/>
      <c r="N18" s="76"/>
      <c r="O18" s="76"/>
      <c r="P18" s="76" t="str">
        <f t="shared" si="2"/>
        <v>,facility_it_code</v>
      </c>
      <c r="Q18" s="76" t="str">
        <f t="shared" si="3"/>
        <v>TEXT</v>
      </c>
      <c r="R18" s="76" t="str">
        <f t="shared" si="4"/>
        <v/>
      </c>
      <c r="S18" s="76" t="str">
        <f t="shared" si="5"/>
        <v>NOT NULL</v>
      </c>
      <c r="T18" s="76" t="str">
        <f t="shared" si="6"/>
        <v>-- 施設固有コード</v>
      </c>
      <c r="U18" s="4"/>
      <c r="AA18" s="4"/>
      <c r="AB18" s="4"/>
      <c r="AC18" s="4"/>
      <c r="AD18" s="4"/>
      <c r="AE18" s="4"/>
      <c r="AF18" s="4"/>
      <c r="AG18" s="4"/>
      <c r="AH18" s="4"/>
      <c r="AI18" s="4"/>
      <c r="AJ18" s="76" t="str">
        <f>IF(E18="○",IF(COUNTA(E$13:E18)=1,"",",")&amp;D18,"")</f>
        <v>,facility_it_code</v>
      </c>
      <c r="AK18" s="4"/>
      <c r="AL18" s="4"/>
      <c r="AM18" s="4"/>
      <c r="AN18" s="4"/>
      <c r="AO18" s="4"/>
      <c r="AP18" s="4"/>
      <c r="AQ18" s="4"/>
      <c r="AR18" s="4"/>
      <c r="AS18" s="76" t="str">
        <f>"COMMENT ON COLUMN "&amp;エンティティ一覧!$O$2&amp;"."&amp;D$8&amp;"."&amp;D18&amp;" IS '"&amp;C18&amp;"';"</f>
        <v>COMMENT ON COLUMN milscm_2023_009.sny_202310_enroll_kensa_kanja.facility_it_code IS '施設固有コード';</v>
      </c>
    </row>
    <row r="19" spans="1:52" s="25" customFormat="1">
      <c r="A19" s="4"/>
      <c r="B19" s="21">
        <f t="shared" si="0"/>
        <v>7</v>
      </c>
      <c r="C19" s="13" t="s">
        <v>1655</v>
      </c>
      <c r="D19" s="13" t="s">
        <v>276</v>
      </c>
      <c r="E19" s="7" t="s">
        <v>127</v>
      </c>
      <c r="F19" s="7" t="s">
        <v>865</v>
      </c>
      <c r="G19" s="7" t="str">
        <f t="shared" si="1"/>
        <v>text</v>
      </c>
      <c r="H19" s="9"/>
      <c r="I19" s="10" t="s">
        <v>127</v>
      </c>
      <c r="J19" s="24"/>
      <c r="M19" s="4"/>
      <c r="N19" s="76"/>
      <c r="O19" s="76"/>
      <c r="P19" s="76" t="str">
        <f t="shared" si="2"/>
        <v>,unit</v>
      </c>
      <c r="Q19" s="76" t="str">
        <f t="shared" si="3"/>
        <v>TEXT</v>
      </c>
      <c r="R19" s="76" t="str">
        <f t="shared" si="4"/>
        <v/>
      </c>
      <c r="S19" s="76" t="str">
        <f t="shared" si="5"/>
        <v>NOT NULL</v>
      </c>
      <c r="T19" s="76" t="str">
        <f t="shared" si="6"/>
        <v>-- 単位</v>
      </c>
      <c r="U19" s="4"/>
      <c r="AA19" s="4"/>
      <c r="AB19" s="4"/>
      <c r="AC19" s="4"/>
      <c r="AD19" s="4"/>
      <c r="AE19" s="4"/>
      <c r="AF19" s="4"/>
      <c r="AG19" s="4"/>
      <c r="AH19" s="4"/>
      <c r="AI19" s="4"/>
      <c r="AJ19" s="76" t="str">
        <f>IF(E19="○",IF(COUNTA(E$13:E19)=1,"",",")&amp;D19,"")</f>
        <v>,unit</v>
      </c>
      <c r="AK19" s="4"/>
      <c r="AL19" s="4"/>
      <c r="AM19" s="4"/>
      <c r="AN19" s="4"/>
      <c r="AO19" s="4"/>
      <c r="AP19" s="4"/>
      <c r="AQ19" s="4"/>
      <c r="AR19" s="4"/>
      <c r="AS19" s="76" t="str">
        <f>"COMMENT ON COLUMN "&amp;エンティティ一覧!$O$2&amp;"."&amp;D$8&amp;"."&amp;D19&amp;" IS '"&amp;C19&amp;"';"</f>
        <v>COMMENT ON COLUMN milscm_2023_009.sny_202310_enroll_kensa_kanja.unit IS '単位';</v>
      </c>
    </row>
    <row r="20" spans="1:52" s="25" customFormat="1">
      <c r="A20" s="4"/>
      <c r="B20" s="21">
        <f t="shared" si="0"/>
        <v>8</v>
      </c>
      <c r="C20" s="13" t="s">
        <v>3850</v>
      </c>
      <c r="D20" s="13" t="s">
        <v>3849</v>
      </c>
      <c r="E20" s="7"/>
      <c r="F20" s="7" t="s">
        <v>865</v>
      </c>
      <c r="G20" s="7" t="str">
        <f t="shared" si="1"/>
        <v>text</v>
      </c>
      <c r="H20" s="9"/>
      <c r="I20" s="10" t="s">
        <v>127</v>
      </c>
      <c r="J20" s="24"/>
      <c r="M20" s="4"/>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milscm_2023_009.sny_202310_enroll_kensa_kanja.disp_name IS '表示名';</v>
      </c>
    </row>
    <row r="21" spans="1:52" s="25" customFormat="1" ht="18" thickBot="1">
      <c r="A21" s="4"/>
      <c r="B21" s="66">
        <f t="shared" si="0"/>
        <v>9</v>
      </c>
      <c r="C21" s="28" t="s">
        <v>1552</v>
      </c>
      <c r="D21" s="28" t="s">
        <v>1553</v>
      </c>
      <c r="E21" s="29" t="s">
        <v>127</v>
      </c>
      <c r="F21" s="56" t="s">
        <v>4031</v>
      </c>
      <c r="G21" s="56" t="s">
        <v>99</v>
      </c>
      <c r="H21" s="59"/>
      <c r="I21" s="60" t="s">
        <v>127</v>
      </c>
      <c r="J21" s="61"/>
      <c r="M21" s="4"/>
      <c r="N21" s="76"/>
      <c r="O21" s="76"/>
      <c r="P21" s="76" t="str">
        <f t="shared" si="2"/>
        <v>,sample_time</v>
      </c>
      <c r="Q21" s="76" t="str">
        <f t="shared" si="3"/>
        <v>DATE</v>
      </c>
      <c r="R21" s="76" t="str">
        <f t="shared" si="4"/>
        <v/>
      </c>
      <c r="S21" s="76" t="str">
        <f t="shared" si="5"/>
        <v>NOT NULL</v>
      </c>
      <c r="T21" s="76" t="str">
        <f t="shared" si="6"/>
        <v>-- 採取日時</v>
      </c>
      <c r="U21" s="4"/>
      <c r="AA21" s="4"/>
      <c r="AB21" s="4"/>
      <c r="AC21" s="4"/>
      <c r="AD21" s="4"/>
      <c r="AE21" s="4"/>
      <c r="AF21" s="4"/>
      <c r="AG21" s="4"/>
      <c r="AH21" s="4"/>
      <c r="AI21" s="4"/>
      <c r="AJ21" s="76" t="str">
        <f>IF(E21="○",IF(COUNTA(E$13:E21)=1,"",",")&amp;D21,"")</f>
        <v>,sample_time</v>
      </c>
      <c r="AK21" s="4"/>
      <c r="AL21" s="4"/>
      <c r="AM21" s="4"/>
      <c r="AN21" s="4"/>
      <c r="AO21" s="4"/>
      <c r="AP21" s="4"/>
      <c r="AQ21" s="4"/>
      <c r="AR21" s="4"/>
      <c r="AS21" s="76" t="str">
        <f>"COMMENT ON COLUMN "&amp;エンティティ一覧!$O$2&amp;"."&amp;D$8&amp;"."&amp;D21&amp;" IS '"&amp;C21&amp;"';"</f>
        <v>COMMENT ON COLUMN milscm_2023_009.sny_202310_enroll_kensa_kanja.sample_time IS '採取日時';</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41" t="s">
        <v>110</v>
      </c>
      <c r="C1" s="242"/>
      <c r="D1" s="245" t="s">
        <v>111</v>
      </c>
      <c r="E1" s="246"/>
      <c r="F1" s="246"/>
      <c r="G1" s="237"/>
      <c r="H1" s="245" t="s">
        <v>112</v>
      </c>
      <c r="I1" s="237"/>
      <c r="J1" s="15" t="s">
        <v>113</v>
      </c>
    </row>
    <row r="2" spans="1:52" ht="18" thickBot="1">
      <c r="B2" s="243"/>
      <c r="C2" s="244"/>
      <c r="D2" s="247" t="s">
        <v>114</v>
      </c>
      <c r="E2" s="248"/>
      <c r="F2" s="248"/>
      <c r="G2" s="249"/>
      <c r="H2" s="250"/>
      <c r="I2" s="251"/>
      <c r="J2" s="17"/>
    </row>
    <row r="3" spans="1:52" ht="18" thickBot="1">
      <c r="B3" s="5"/>
      <c r="C3" s="5"/>
      <c r="D3" s="5"/>
      <c r="E3" s="5"/>
      <c r="F3" s="5"/>
      <c r="G3" s="5"/>
      <c r="H3" s="5"/>
      <c r="I3" s="5"/>
      <c r="J3" s="18"/>
    </row>
    <row r="4" spans="1:52">
      <c r="B4" s="236" t="s">
        <v>3705</v>
      </c>
      <c r="C4" s="237"/>
      <c r="D4" s="238" t="str">
        <f>VLOOKUP(D7,エンティティ一覧!A1:'エンティティ一覧'!AM10161,2,FALSE)</f>
        <v>11</v>
      </c>
      <c r="E4" s="239"/>
      <c r="F4" s="239"/>
      <c r="G4" s="239"/>
      <c r="H4" s="239"/>
      <c r="I4" s="239"/>
      <c r="J4" s="240"/>
    </row>
    <row r="5" spans="1:52">
      <c r="B5" s="223" t="s">
        <v>3706</v>
      </c>
      <c r="C5" s="224"/>
      <c r="D5" s="233" t="str">
        <f>VLOOKUP(D7,エンティティ一覧!A1:'エンティティ一覧'!AM10161,7,FALSE)</f>
        <v>enroll</v>
      </c>
      <c r="E5" s="234"/>
      <c r="F5" s="234"/>
      <c r="G5" s="234"/>
      <c r="H5" s="234"/>
      <c r="I5" s="234"/>
      <c r="J5" s="235"/>
    </row>
    <row r="6" spans="1:52">
      <c r="B6" s="223" t="s">
        <v>3707</v>
      </c>
      <c r="C6" s="224"/>
      <c r="D6" s="233" t="str">
        <f>VLOOKUP(D7,エンティティ一覧!A1:'エンティティ一覧'!AM10161,15,FALSE)</f>
        <v>ENT_11_07</v>
      </c>
      <c r="E6" s="234"/>
      <c r="F6" s="234"/>
      <c r="G6" s="234"/>
      <c r="H6" s="234"/>
      <c r="I6" s="234"/>
      <c r="J6" s="235"/>
    </row>
    <row r="7" spans="1:52">
      <c r="B7" s="223" t="s">
        <v>115</v>
      </c>
      <c r="C7" s="224"/>
      <c r="D7" s="225" t="s">
        <v>304</v>
      </c>
      <c r="E7" s="226"/>
      <c r="F7" s="226"/>
      <c r="G7" s="226"/>
      <c r="H7" s="226"/>
      <c r="I7" s="226"/>
      <c r="J7" s="227"/>
    </row>
    <row r="8" spans="1:52">
      <c r="B8" s="223" t="s">
        <v>116</v>
      </c>
      <c r="C8" s="224"/>
      <c r="D8" s="225" t="str">
        <f>エンティティ一覧!AE2&amp;"_"&amp;D5&amp;"_kanja"</f>
        <v>sny_202310_enroll_kanja</v>
      </c>
      <c r="E8" s="226"/>
      <c r="F8" s="226"/>
      <c r="G8" s="226"/>
      <c r="H8" s="226"/>
      <c r="I8" s="226"/>
      <c r="J8" s="227"/>
    </row>
    <row r="9" spans="1:52" ht="19.5" customHeight="1" thickBot="1">
      <c r="B9" s="228" t="s">
        <v>117</v>
      </c>
      <c r="C9" s="229"/>
      <c r="D9" s="230" t="s">
        <v>3997</v>
      </c>
      <c r="E9" s="231"/>
      <c r="F9" s="231"/>
      <c r="G9" s="231"/>
      <c r="H9" s="231"/>
      <c r="I9" s="231"/>
      <c r="J9" s="232"/>
    </row>
    <row r="10" spans="1:52">
      <c r="B10" s="19"/>
      <c r="C10" s="19"/>
      <c r="D10" s="5"/>
      <c r="E10" s="5"/>
      <c r="F10" s="5"/>
      <c r="G10" s="5"/>
      <c r="H10" s="5"/>
      <c r="I10" s="5"/>
      <c r="J10" s="18"/>
      <c r="N10" s="76" t="str">
        <f>"--DROP TABLE  "&amp;エンティティ一覧!$O$2&amp;"."&amp;D$8&amp;";"</f>
        <v>--DROP TABLE  milscm_2023_009.sny_202310_enroll_kanja;</v>
      </c>
      <c r="O10" s="76"/>
      <c r="P10" s="76"/>
      <c r="Q10" s="76"/>
      <c r="R10" s="76"/>
      <c r="S10" s="76"/>
      <c r="T10" s="76"/>
      <c r="AJ10" s="76" t="str">
        <f>"ALTER TABLE ONLY "&amp;エンティティ一覧!$O$2&amp;"."&amp;D$8</f>
        <v>ALTER TABLE ONLY milscm_2023_009.sny_202310_enroll_kanja</v>
      </c>
      <c r="AS10" s="76" t="str">
        <f>"ALTER TABLE "&amp;エンティティ一覧!$O$2&amp;"."&amp;D$8&amp;" OWNER TO pgmisgrp1;"</f>
        <v>ALTER TABLE milscm_2023_009.sny_202310_enroll_kanja OWNER TO pgmisgrp1;</v>
      </c>
    </row>
    <row r="11" spans="1:52" ht="18" thickBot="1">
      <c r="B11" s="20" t="s">
        <v>118</v>
      </c>
      <c r="C11" s="19"/>
      <c r="D11" s="5"/>
      <c r="E11" s="5"/>
      <c r="F11" s="5"/>
      <c r="G11" s="5"/>
      <c r="H11" s="5"/>
      <c r="I11" s="5"/>
      <c r="J11" s="18"/>
      <c r="N11" s="76" t="str">
        <f>"CREATE TABLE  "&amp;エンティティ一覧!$O$2&amp;"."&amp;D$8</f>
        <v>CREATE TABLE  milscm_2023_009.sny_202310_enroll_kanja</v>
      </c>
      <c r="O11" s="76"/>
      <c r="P11" s="76"/>
      <c r="Q11" s="76"/>
      <c r="R11" s="76"/>
      <c r="S11" s="76"/>
      <c r="T11" s="76"/>
      <c r="AJ11" s="76" t="str">
        <f>"ADD CONSTRAINT "&amp;D$8&amp;"_pkey PRIMARY KEY"</f>
        <v>ADD CONSTRAINT sny_202310_enroll_kanja_pkey PRIMARY KEY</v>
      </c>
      <c r="AS11" s="76"/>
    </row>
    <row r="12" spans="1:52">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milscm_2023_009.sny_202310_enroll_kanja IS '組入れ_対象患者';</v>
      </c>
    </row>
    <row r="13" spans="1:52" s="25" customFormat="1">
      <c r="A13" s="4"/>
      <c r="B13" s="21">
        <f>ROW()-12</f>
        <v>1</v>
      </c>
      <c r="C13" s="13" t="s">
        <v>137</v>
      </c>
      <c r="D13" s="13" t="s">
        <v>128</v>
      </c>
      <c r="E13" s="7" t="s">
        <v>127</v>
      </c>
      <c r="F13" s="7" t="s">
        <v>317</v>
      </c>
      <c r="G13" s="7" t="str">
        <f>IF(F13="フラグ","boolean",IF(F13="文字列","text",IF(F13="整数","integer",IF(F13="実数","numeric",""))))</f>
        <v>text</v>
      </c>
      <c r="H13" s="9"/>
      <c r="I13" s="10" t="s">
        <v>127</v>
      </c>
      <c r="J13" s="24"/>
      <c r="M13" s="4"/>
      <c r="N13" s="76"/>
      <c r="O13" s="76"/>
      <c r="P13" s="76" t="str">
        <f>IF(B13&lt;&gt;1,","&amp;D13,D13)</f>
        <v>facility_id</v>
      </c>
      <c r="Q13" s="76" t="str">
        <f t="shared" ref="Q13:Q14" si="0">UPPER(G13)</f>
        <v>TEXT</v>
      </c>
      <c r="R13" s="76" t="str">
        <f t="shared" ref="R13:R14"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milscm_2023_009.sny_202310_enroll_kanja.facility_id IS '施設ID';</v>
      </c>
    </row>
    <row r="14" spans="1:52" s="25" customFormat="1" ht="18" thickBot="1">
      <c r="A14" s="4"/>
      <c r="B14" s="70">
        <f t="shared" ref="B14" si="2">ROW()-12</f>
        <v>2</v>
      </c>
      <c r="C14" s="28" t="s">
        <v>3829</v>
      </c>
      <c r="D14" s="28" t="s">
        <v>1849</v>
      </c>
      <c r="E14" s="29" t="s">
        <v>127</v>
      </c>
      <c r="F14" s="72" t="s">
        <v>317</v>
      </c>
      <c r="G14" s="72" t="str">
        <f t="shared" ref="G14" si="3">IF(F14="フラグ","boolean",IF(F14="文字列","text",IF(F14="整数","integer",IF(F14="実数","numeric",""))))</f>
        <v>text</v>
      </c>
      <c r="H14" s="73"/>
      <c r="I14" s="74" t="s">
        <v>127</v>
      </c>
      <c r="J14" s="75"/>
      <c r="M14" s="4"/>
      <c r="N14" s="76"/>
      <c r="O14" s="76"/>
      <c r="P14" s="76" t="str">
        <f t="shared" ref="P14" si="4">IF(B14&lt;&gt;1,","&amp;D14,D14)</f>
        <v>,himoduke_id</v>
      </c>
      <c r="Q14" s="76" t="str">
        <f t="shared" si="0"/>
        <v>TEXT</v>
      </c>
      <c r="R14" s="76" t="str">
        <f t="shared" si="1"/>
        <v/>
      </c>
      <c r="S14" s="76" t="str">
        <f>IF(I14="○","NOT NULL","")</f>
        <v>NOT NULL</v>
      </c>
      <c r="T14" s="76" t="str">
        <f>"--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milscm_2023_009.sny_202310_enroll_kanja.himoduke_id IS '紐付けID';</v>
      </c>
    </row>
    <row r="15" spans="1:52">
      <c r="L15" s="25"/>
      <c r="N15" s="76" t="s">
        <v>142</v>
      </c>
      <c r="O15" s="76"/>
      <c r="P15" s="76"/>
      <c r="Q15" s="76"/>
      <c r="R15" s="76"/>
      <c r="S15" s="76"/>
      <c r="T15" s="76"/>
      <c r="V15" s="25"/>
      <c r="W15" s="25"/>
      <c r="X15" s="25"/>
      <c r="Y15" s="25"/>
      <c r="Z15" s="25"/>
      <c r="AJ15" s="76"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4094</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ENT_21_01</v>
      </c>
      <c r="E6" s="234"/>
      <c r="F6" s="234"/>
      <c r="G6" s="234"/>
      <c r="H6" s="234"/>
      <c r="I6" s="234"/>
      <c r="J6" s="235"/>
    </row>
    <row r="7" spans="1:45">
      <c r="B7" s="223" t="s">
        <v>115</v>
      </c>
      <c r="C7" s="224"/>
      <c r="D7" s="225" t="s">
        <v>3858</v>
      </c>
      <c r="E7" s="226"/>
      <c r="F7" s="226"/>
      <c r="G7" s="226"/>
      <c r="H7" s="226"/>
      <c r="I7" s="226"/>
      <c r="J7" s="227"/>
    </row>
    <row r="8" spans="1:45">
      <c r="B8" s="223" t="s">
        <v>116</v>
      </c>
      <c r="C8" s="224"/>
      <c r="D8" s="225" t="str">
        <f>エンティティ一覧!AE2&amp;"_"&amp;D5&amp;"_kanja_list"</f>
        <v>sny_202310_mt_kanja_list</v>
      </c>
      <c r="E8" s="226"/>
      <c r="F8" s="226"/>
      <c r="G8" s="226"/>
      <c r="H8" s="226"/>
      <c r="I8" s="226"/>
      <c r="J8" s="227"/>
    </row>
    <row r="9" spans="1:45" ht="19.5" customHeight="1" thickBot="1">
      <c r="B9" s="228" t="s">
        <v>117</v>
      </c>
      <c r="C9" s="229"/>
      <c r="D9" s="230" t="str">
        <f>D7&amp;"情報を格納するテーブル"</f>
        <v>患者ID一覧マスタ情報を格納するテーブル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milscm_2023_009.sny_202310_mt_kanja_list;</v>
      </c>
      <c r="O10" s="76"/>
      <c r="P10" s="76"/>
      <c r="Q10" s="76"/>
      <c r="R10" s="76"/>
      <c r="S10" s="76"/>
      <c r="T10" s="76"/>
      <c r="AJ10" s="76" t="str">
        <f>"ALTER TABLE ONLY "&amp;エンティティ一覧!$O$2&amp;"."&amp;D$8</f>
        <v>ALTER TABLE ONLY milscm_2023_009.sny_202310_mt_kanja_list</v>
      </c>
      <c r="AS10" s="76" t="str">
        <f>"ALTER TABLE "&amp;エンティティ一覧!$O$2&amp;"."&amp;D$8&amp;" OWNER TO pgmisgrp1;"</f>
        <v>ALTER TABLE milscm_2023_009.sny_202310_mt_kanja_list OWNER TO pgmisgrp1;</v>
      </c>
    </row>
    <row r="11" spans="1:45" ht="18" thickBot="1">
      <c r="B11" s="20" t="s">
        <v>118</v>
      </c>
      <c r="C11" s="19"/>
      <c r="D11" s="5"/>
      <c r="E11" s="5"/>
      <c r="F11" s="5"/>
      <c r="G11" s="5"/>
      <c r="H11" s="5"/>
      <c r="I11" s="5"/>
      <c r="J11" s="18"/>
      <c r="N11" s="76" t="str">
        <f>"CREATE TABLE  "&amp;エンティティ一覧!$O$2&amp;"."&amp;D$8</f>
        <v>CREATE TABLE  milscm_2023_009.sny_202310_mt_kanja_list</v>
      </c>
      <c r="O11" s="76"/>
      <c r="P11" s="76"/>
      <c r="Q11" s="76"/>
      <c r="R11" s="76"/>
      <c r="S11" s="76"/>
      <c r="T11" s="76"/>
      <c r="AJ11" s="76" t="str">
        <f>"ADD CONSTRAINT "&amp;D$8&amp;"_pkey PRIMARY KEY"</f>
        <v>ADD CONSTRAINT sny_202310_mt_kanja_list_pkey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17" si="0">UPPER(G13)</f>
        <v>TEXT</v>
      </c>
      <c r="R13" s="76" t="str">
        <f t="shared" ref="R13:R17"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milscm_2023_009.sny_202310_mt_kanja_list.facility_id IS '施設ID';</v>
      </c>
    </row>
    <row r="14" spans="1:45" s="25" customFormat="1">
      <c r="A14" s="4"/>
      <c r="B14" s="21">
        <f t="shared" ref="B14:B16" si="2">ROW()-12</f>
        <v>2</v>
      </c>
      <c r="C14" s="6" t="s">
        <v>2791</v>
      </c>
      <c r="D14" s="6" t="s">
        <v>2407</v>
      </c>
      <c r="E14" s="8"/>
      <c r="F14" s="7" t="s">
        <v>1825</v>
      </c>
      <c r="G14" s="7" t="str">
        <f t="shared" ref="G14:G17" si="3">IF(F14="フラグ","boolean",IF(F14="文字列","text",IF(F14="整数","integer",IF(F14="実数","numeric",""))))</f>
        <v>text</v>
      </c>
      <c r="H14" s="26"/>
      <c r="I14" s="10" t="s">
        <v>127</v>
      </c>
      <c r="J14" s="11"/>
      <c r="M14" s="4"/>
      <c r="N14" s="76"/>
      <c r="O14" s="76"/>
      <c r="P14" s="76" t="str">
        <f t="shared" ref="P14:P17" si="4">IF(B14&lt;&gt;1,","&amp;D14,D14)</f>
        <v>,facility_id_mml</v>
      </c>
      <c r="Q14" s="76" t="str">
        <f t="shared" si="0"/>
        <v>TEXT</v>
      </c>
      <c r="R14" s="76" t="str">
        <f t="shared" si="1"/>
        <v/>
      </c>
      <c r="S14" s="76" t="str">
        <f t="shared" ref="S14:S17" si="5">IF(I14="○","NOT NULL","")</f>
        <v>NOT NULL</v>
      </c>
      <c r="T14" s="76" t="str">
        <f t="shared" ref="T14:T17" si="6">"-- "&amp;C14</f>
        <v>-- 施設ID（MML）</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milscm_2023_009.sny_202310_mt_kanja_list.facility_id_mml IS '施設ID（MML）';</v>
      </c>
    </row>
    <row r="15" spans="1:45" s="25" customFormat="1">
      <c r="A15" s="4"/>
      <c r="B15" s="21">
        <f t="shared" si="2"/>
        <v>3</v>
      </c>
      <c r="C15" s="6" t="s">
        <v>1848</v>
      </c>
      <c r="D15" s="6" t="s">
        <v>1849</v>
      </c>
      <c r="E15" s="8" t="s">
        <v>127</v>
      </c>
      <c r="F15" s="7" t="s">
        <v>1832</v>
      </c>
      <c r="G15" s="7" t="str">
        <f t="shared" si="3"/>
        <v>text</v>
      </c>
      <c r="H15" s="26"/>
      <c r="I15" s="10" t="s">
        <v>127</v>
      </c>
      <c r="J15" s="11"/>
      <c r="M15" s="4"/>
      <c r="N15" s="76"/>
      <c r="O15" s="76"/>
      <c r="P15" s="76" t="str">
        <f t="shared" si="4"/>
        <v>,himoduke_id</v>
      </c>
      <c r="Q15" s="76" t="str">
        <f t="shared" si="0"/>
        <v>TEXT</v>
      </c>
      <c r="R15" s="76" t="str">
        <f t="shared" si="1"/>
        <v/>
      </c>
      <c r="S15" s="76" t="str">
        <f t="shared" si="5"/>
        <v>NOT NULL</v>
      </c>
      <c r="T15" s="76" t="str">
        <f t="shared" si="6"/>
        <v>-- 紐付けID</v>
      </c>
      <c r="U15" s="4"/>
      <c r="AA15" s="4"/>
      <c r="AB15" s="4"/>
      <c r="AC15" s="4"/>
      <c r="AD15" s="4"/>
      <c r="AE15" s="4"/>
      <c r="AF15" s="4"/>
      <c r="AG15" s="4"/>
      <c r="AH15" s="4"/>
      <c r="AI15" s="4"/>
      <c r="AJ15" s="76" t="str">
        <f>IF(E15="○",IF(COUNTA(E$13:E15)=1,"",",")&amp;D15,"")</f>
        <v>,himoduke_id</v>
      </c>
      <c r="AK15" s="4"/>
      <c r="AL15" s="4"/>
      <c r="AM15" s="4"/>
      <c r="AN15" s="4"/>
      <c r="AO15" s="4"/>
      <c r="AP15" s="4"/>
      <c r="AQ15" s="4"/>
      <c r="AR15" s="4"/>
      <c r="AS15" s="76" t="str">
        <f>"COMMENT ON COLUMN "&amp;エンティティ一覧!$O$2&amp;"."&amp;D$8&amp;"."&amp;D15&amp;" IS '"&amp;C15&amp;"';"</f>
        <v>COMMENT ON COLUMN milscm_2023_009.sny_202310_mt_kanja_list.himoduke_id IS '紐付けID';</v>
      </c>
    </row>
    <row r="16" spans="1:45" s="25" customFormat="1">
      <c r="A16" s="4"/>
      <c r="B16" s="21">
        <f t="shared" si="2"/>
        <v>4</v>
      </c>
      <c r="C16" s="6" t="s">
        <v>1824</v>
      </c>
      <c r="D16" s="6" t="s">
        <v>208</v>
      </c>
      <c r="E16" s="8" t="s">
        <v>127</v>
      </c>
      <c r="F16" s="7" t="s">
        <v>1825</v>
      </c>
      <c r="G16" s="7" t="str">
        <f t="shared" si="3"/>
        <v>text</v>
      </c>
      <c r="H16" s="26"/>
      <c r="I16" s="10" t="s">
        <v>127</v>
      </c>
      <c r="J16" s="11"/>
      <c r="M16" s="4"/>
      <c r="N16" s="76"/>
      <c r="O16" s="76"/>
      <c r="P16" s="76" t="str">
        <f t="shared" si="4"/>
        <v>,data_type</v>
      </c>
      <c r="Q16" s="76" t="str">
        <f t="shared" si="0"/>
        <v>TEXT</v>
      </c>
      <c r="R16" s="76" t="str">
        <f t="shared" si="1"/>
        <v/>
      </c>
      <c r="S16" s="76" t="str">
        <f t="shared" si="5"/>
        <v>NOT NULL</v>
      </c>
      <c r="T16" s="76" t="str">
        <f t="shared" si="6"/>
        <v>-- データ種別</v>
      </c>
      <c r="U16" s="4"/>
      <c r="AA16" s="4"/>
      <c r="AB16" s="4"/>
      <c r="AC16" s="4"/>
      <c r="AD16" s="4"/>
      <c r="AE16" s="4"/>
      <c r="AF16" s="4"/>
      <c r="AG16" s="4"/>
      <c r="AH16" s="4"/>
      <c r="AI16" s="4"/>
      <c r="AJ16" s="76" t="str">
        <f>IF(E16="○",IF(COUNTA(E$13:E16)=1,"",",")&amp;D16,"")</f>
        <v>,data_type</v>
      </c>
      <c r="AK16" s="4"/>
      <c r="AL16" s="4"/>
      <c r="AM16" s="4"/>
      <c r="AN16" s="4"/>
      <c r="AO16" s="4"/>
      <c r="AP16" s="4"/>
      <c r="AQ16" s="4"/>
      <c r="AR16" s="4"/>
      <c r="AS16" s="76" t="str">
        <f>"COMMENT ON COLUMN "&amp;エンティティ一覧!$O$2&amp;"."&amp;D$8&amp;"."&amp;D16&amp;" IS '"&amp;C16&amp;"';"</f>
        <v>COMMENT ON COLUMN milscm_2023_009.sny_202310_mt_kanja_list.data_type IS 'データ種別';</v>
      </c>
    </row>
    <row r="17" spans="1:52" s="25" customFormat="1" ht="18" thickBot="1">
      <c r="A17" s="4"/>
      <c r="B17" s="27">
        <f>ROW()-12</f>
        <v>5</v>
      </c>
      <c r="C17" s="57" t="s">
        <v>1826</v>
      </c>
      <c r="D17" s="57" t="s">
        <v>1827</v>
      </c>
      <c r="E17" s="56" t="s">
        <v>127</v>
      </c>
      <c r="F17" s="56" t="s">
        <v>1741</v>
      </c>
      <c r="G17" s="56" t="str">
        <f t="shared" si="3"/>
        <v>text</v>
      </c>
      <c r="H17" s="59"/>
      <c r="I17" s="60" t="s">
        <v>127</v>
      </c>
      <c r="J17" s="64"/>
      <c r="N17" s="76"/>
      <c r="O17" s="76"/>
      <c r="P17" s="76" t="str">
        <f t="shared" si="4"/>
        <v>,patient_id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,patient_id</v>
      </c>
      <c r="AK17" s="4"/>
      <c r="AL17" s="4"/>
      <c r="AM17" s="4"/>
      <c r="AN17" s="4"/>
      <c r="AO17" s="4"/>
      <c r="AP17" s="4"/>
      <c r="AQ17" s="4"/>
      <c r="AR17" s="4"/>
      <c r="AS17" s="76" t="str">
        <f>"COMMENT ON COLUMN "&amp;エンティティ一覧!$O$2&amp;"."&amp;D$8&amp;"."&amp;D17&amp;" IS '"&amp;C17&amp;"';"</f>
        <v>COMMENT ON COLUMN milscm_2023_009.sny_202310_mt_kanja_list.patient_id IS '患者ID';</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ENT_21_02</v>
      </c>
      <c r="E6" s="234"/>
      <c r="F6" s="234"/>
      <c r="G6" s="234"/>
      <c r="H6" s="234"/>
      <c r="I6" s="234"/>
      <c r="J6" s="235"/>
    </row>
    <row r="7" spans="1:45">
      <c r="B7" s="223" t="s">
        <v>115</v>
      </c>
      <c r="C7" s="224"/>
      <c r="D7" s="225" t="s">
        <v>3852</v>
      </c>
      <c r="E7" s="226"/>
      <c r="F7" s="226"/>
      <c r="G7" s="226"/>
      <c r="H7" s="226"/>
      <c r="I7" s="226"/>
      <c r="J7" s="227"/>
    </row>
    <row r="8" spans="1:45">
      <c r="B8" s="223" t="s">
        <v>116</v>
      </c>
      <c r="C8" s="224"/>
      <c r="D8" s="225" t="str">
        <f>エンティティ一覧!AE2&amp;"_"&amp;D5&amp;"_shisetsu"</f>
        <v>sny_202310_mt_shisetsu</v>
      </c>
      <c r="E8" s="226"/>
      <c r="F8" s="226"/>
      <c r="G8" s="226"/>
      <c r="H8" s="226"/>
      <c r="I8" s="226"/>
      <c r="J8" s="227"/>
    </row>
    <row r="9" spans="1:45" ht="19.5" customHeight="1" thickBot="1">
      <c r="B9" s="228" t="s">
        <v>117</v>
      </c>
      <c r="C9" s="229"/>
      <c r="D9" s="230" t="s">
        <v>4075</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milscm_2023_009.sny_202310_mt_shisetsu;</v>
      </c>
      <c r="O10" s="76"/>
      <c r="P10" s="76"/>
      <c r="Q10" s="76"/>
      <c r="R10" s="76"/>
      <c r="S10" s="76"/>
      <c r="T10" s="76"/>
      <c r="AJ10" s="76" t="str">
        <f>"ALTER TABLE ONLY "&amp;エンティティ一覧!$O$2&amp;"."&amp;D$8</f>
        <v>ALTER TABLE ONLY milscm_2023_009.sny_202310_mt_shisetsu</v>
      </c>
      <c r="AS10" s="76" t="str">
        <f>"ALTER TABLE "&amp;エンティティ一覧!$O$2&amp;"."&amp;D$8&amp;" OWNER TO pgmisgrp1;"</f>
        <v>ALTER TABLE milscm_2023_009.sny_202310_mt_shisetsu OWNER TO pgmisgrp1;</v>
      </c>
    </row>
    <row r="11" spans="1:45" ht="18" thickBot="1">
      <c r="B11" s="20" t="s">
        <v>118</v>
      </c>
      <c r="C11" s="19"/>
      <c r="D11" s="5"/>
      <c r="E11" s="5"/>
      <c r="F11" s="5"/>
      <c r="G11" s="5"/>
      <c r="H11" s="5"/>
      <c r="I11" s="5"/>
      <c r="J11" s="18"/>
      <c r="N11" s="76" t="str">
        <f>"CREATE TABLE  "&amp;エンティティ一覧!$O$2&amp;"."&amp;D$8</f>
        <v>CREATE TABLE  milscm_2023_009.sny_202310_mt_shisetsu</v>
      </c>
      <c r="O11" s="76"/>
      <c r="P11" s="76"/>
      <c r="Q11" s="76"/>
      <c r="R11" s="76"/>
      <c r="S11" s="76"/>
      <c r="T11" s="76"/>
      <c r="AJ11" s="76" t="str">
        <f>"ADD CONSTRAINT "&amp;D$8&amp;"_pkey PRIMARY KEY"</f>
        <v>ADD CONSTRAINT sny_202310_mt_shisetsu_pkey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milscm_2023_009.sny_202310_mt_shisetsu IS '施設マスタ';</v>
      </c>
    </row>
    <row r="13" spans="1:45" s="25" customFormat="1">
      <c r="A13" s="4"/>
      <c r="B13" s="21">
        <f>ROW()-12</f>
        <v>1</v>
      </c>
      <c r="C13" s="13" t="s">
        <v>4073</v>
      </c>
      <c r="D13" s="13" t="s">
        <v>4074</v>
      </c>
      <c r="E13" s="7" t="s">
        <v>127</v>
      </c>
      <c r="F13" s="7" t="s">
        <v>3821</v>
      </c>
      <c r="G13" s="7" t="str">
        <f>IF(F13="フラグ","boolean",IF(F13="文字列","text",IF(F13="整数","integer",IF(F13="実数","numeric",""))))</f>
        <v>text</v>
      </c>
      <c r="H13" s="9"/>
      <c r="I13" s="10" t="s">
        <v>127</v>
      </c>
      <c r="J13" s="24"/>
      <c r="M13" s="4"/>
      <c r="N13" s="76"/>
      <c r="O13" s="76"/>
      <c r="P13" s="76" t="str">
        <f>IF(B13&lt;&gt;1,","&amp;D13,D13)</f>
        <v>facility_mask_id</v>
      </c>
      <c r="Q13" s="76" t="str">
        <f t="shared" ref="Q13:Q21" si="0">UPPER(G13)</f>
        <v>TEXT</v>
      </c>
      <c r="R13" s="76" t="str">
        <f t="shared" ref="R13:R21" si="1">IF(H13&lt;&gt;"","default "&amp;IF(G13="text","'"&amp;H13&amp;"'",H13),"")</f>
        <v/>
      </c>
      <c r="S13" s="76" t="str">
        <f t="shared" ref="S13:S21" si="2">IF(I13="○","NOT NULL","")</f>
        <v>NOT NULL</v>
      </c>
      <c r="T13" s="76" t="str">
        <f t="shared" ref="T13:T21" si="3">"-- "&amp;C13</f>
        <v>-- 施設マスクID</v>
      </c>
      <c r="U13" s="4"/>
      <c r="AA13" s="4"/>
      <c r="AB13" s="4"/>
      <c r="AC13" s="4"/>
      <c r="AD13" s="4"/>
      <c r="AE13" s="4"/>
      <c r="AF13" s="4"/>
      <c r="AG13" s="4"/>
      <c r="AH13" s="4"/>
      <c r="AI13" s="4"/>
      <c r="AJ13" s="76" t="str">
        <f>IF(E13="○",IF(COUNTA(E$13:E13)=1,"",",")&amp;D13,"")</f>
        <v>facility_mask_id</v>
      </c>
      <c r="AK13" s="4"/>
      <c r="AL13" s="4"/>
      <c r="AM13" s="4"/>
      <c r="AN13" s="4"/>
      <c r="AO13" s="4"/>
      <c r="AP13" s="4"/>
      <c r="AQ13" s="4"/>
      <c r="AR13" s="4"/>
      <c r="AS13" s="76" t="str">
        <f>"COMMENT ON COLUMN "&amp;エンティティ一覧!$O$2&amp;"."&amp;D$8&amp;"."&amp;D13&amp;" IS '"&amp;C13&amp;"';"</f>
        <v>COMMENT ON COLUMN milscm_2023_009.sny_202310_mt_shisetsu.facility_mask_id IS '施設マスクID';</v>
      </c>
    </row>
    <row r="14" spans="1:45" s="25" customFormat="1">
      <c r="A14" s="4"/>
      <c r="B14" s="21">
        <f>ROW()-12</f>
        <v>2</v>
      </c>
      <c r="C14" s="13" t="s">
        <v>137</v>
      </c>
      <c r="D14" s="13" t="s">
        <v>128</v>
      </c>
      <c r="E14" s="7"/>
      <c r="F14" s="7" t="s">
        <v>3821</v>
      </c>
      <c r="G14" s="7" t="str">
        <f>IF(F14="フラグ","boolean",IF(F14="文字列","text",IF(F14="整数","integer",IF(F14="実数","numeric",""))))</f>
        <v>text</v>
      </c>
      <c r="H14" s="9"/>
      <c r="I14" s="10" t="s">
        <v>127</v>
      </c>
      <c r="J14" s="24"/>
      <c r="M14" s="4"/>
      <c r="N14" s="76"/>
      <c r="O14" s="76"/>
      <c r="P14" s="76" t="str">
        <f>IF(B14&lt;&gt;1,","&amp;D14,D14)</f>
        <v>,facility_id</v>
      </c>
      <c r="Q14" s="76" t="str">
        <f t="shared" ref="Q14" si="4">UPPER(G14)</f>
        <v>TEXT</v>
      </c>
      <c r="R14" s="76" t="str">
        <f t="shared" ref="R14" si="5">IF(H14&lt;&gt;"","default "&amp;IF(G14="text","'"&amp;H14&amp;"'",H14),"")</f>
        <v/>
      </c>
      <c r="S14" s="76" t="str">
        <f t="shared" ref="S14" si="6">IF(I14="○","NOT NULL","")</f>
        <v>NOT NULL</v>
      </c>
      <c r="T14" s="76" t="str">
        <f t="shared" ref="T14" si="7">"--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milscm_2023_009.sny_202310_mt_shisetsu.facility_id IS '施設ID';</v>
      </c>
    </row>
    <row r="15" spans="1:45" s="25" customFormat="1">
      <c r="A15" s="4"/>
      <c r="B15" s="21">
        <f>ROW()-12</f>
        <v>3</v>
      </c>
      <c r="C15" s="13" t="s">
        <v>2406</v>
      </c>
      <c r="D15" s="13" t="s">
        <v>2407</v>
      </c>
      <c r="E15" s="7"/>
      <c r="F15" s="7" t="s">
        <v>3822</v>
      </c>
      <c r="G15" s="7" t="str">
        <f>IF(F15="フラグ","boolean",IF(F15="文字列","text",IF(F15="整数","integer",IF(F15="実数","numeric",""))))</f>
        <v>text</v>
      </c>
      <c r="H15" s="9"/>
      <c r="I15" s="10"/>
      <c r="J15" s="24"/>
      <c r="M15" s="4"/>
      <c r="N15" s="76"/>
      <c r="O15" s="76"/>
      <c r="P15" s="76" t="str">
        <f>IF(B15&lt;&gt;1,","&amp;D15,D15)</f>
        <v>,facility_id_mml</v>
      </c>
      <c r="Q15" s="76" t="str">
        <f t="shared" si="0"/>
        <v>TEXT</v>
      </c>
      <c r="R15" s="76" t="str">
        <f t="shared" si="1"/>
        <v/>
      </c>
      <c r="S15" s="76" t="str">
        <f t="shared" si="2"/>
        <v/>
      </c>
      <c r="T15" s="76" t="str">
        <f t="shared" si="3"/>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milscm_2023_009.sny_202310_mt_shisetsu.facility_id_mml IS '施設ID（MML）';</v>
      </c>
    </row>
    <row r="16" spans="1:45" s="25" customFormat="1">
      <c r="A16" s="4"/>
      <c r="B16" s="21">
        <f t="shared" ref="B16:B21" si="8">ROW()-12</f>
        <v>4</v>
      </c>
      <c r="C16" s="6" t="s">
        <v>3823</v>
      </c>
      <c r="D16" s="6" t="s">
        <v>2409</v>
      </c>
      <c r="E16" s="8"/>
      <c r="F16" s="7" t="s">
        <v>3824</v>
      </c>
      <c r="G16" s="7" t="str">
        <f t="shared" ref="G16" si="9">IF(F16="フラグ","boolean",IF(F16="文字列","text",IF(F16="整数","integer",IF(F16="実数","numeric",""))))</f>
        <v>text</v>
      </c>
      <c r="H16" s="58"/>
      <c r="I16" s="23" t="s">
        <v>127</v>
      </c>
      <c r="J16" s="24"/>
      <c r="M16" s="4"/>
      <c r="N16" s="76"/>
      <c r="O16" s="76"/>
      <c r="P16" s="76" t="str">
        <f t="shared" ref="P16" si="10">IF(B16&lt;&gt;1,","&amp;D16,D16)</f>
        <v>,facility_name</v>
      </c>
      <c r="Q16" s="76" t="str">
        <f t="shared" si="0"/>
        <v>TEXT</v>
      </c>
      <c r="R16" s="76" t="str">
        <f t="shared" si="1"/>
        <v/>
      </c>
      <c r="S16" s="76" t="str">
        <f t="shared" si="2"/>
        <v>NOT NULL</v>
      </c>
      <c r="T16" s="76" t="str">
        <f t="shared" si="3"/>
        <v>-- 施設名</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milscm_2023_009.sny_202310_mt_shisetsu.facility_name IS '施設名';</v>
      </c>
    </row>
    <row r="17" spans="1:52" s="25" customFormat="1">
      <c r="A17" s="4"/>
      <c r="B17" s="21">
        <f>ROW()-12</f>
        <v>5</v>
      </c>
      <c r="C17" s="13" t="s">
        <v>3825</v>
      </c>
      <c r="D17" s="13" t="s">
        <v>2415</v>
      </c>
      <c r="E17" s="7"/>
      <c r="F17" s="7" t="s">
        <v>3822</v>
      </c>
      <c r="G17" s="7" t="str">
        <f>IF(F17="フラグ","boolean",IF(F17="文字列","text",IF(F17="整数","integer",IF(F17="実数","numeric",""))))</f>
        <v>text</v>
      </c>
      <c r="H17" s="9"/>
      <c r="I17" s="10"/>
      <c r="J17" s="24"/>
      <c r="M17" s="4"/>
      <c r="N17" s="76"/>
      <c r="O17" s="76"/>
      <c r="P17" s="76" t="str">
        <f>IF(B17&lt;&gt;1,","&amp;D17,D17)</f>
        <v>,facility_contract_start</v>
      </c>
      <c r="Q17" s="76" t="str">
        <f t="shared" si="0"/>
        <v>TEXT</v>
      </c>
      <c r="R17" s="76" t="str">
        <f t="shared" si="1"/>
        <v/>
      </c>
      <c r="S17" s="76" t="str">
        <f t="shared" si="2"/>
        <v/>
      </c>
      <c r="T17" s="76" t="str">
        <f t="shared" si="3"/>
        <v>-- 施設データ提供開始日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milscm_2023_009.sny_202310_mt_shisetsu.facility_contract_start IS '施設データ提供開始日';</v>
      </c>
    </row>
    <row r="18" spans="1:52" s="25" customFormat="1">
      <c r="A18" s="4"/>
      <c r="B18" s="21">
        <f t="shared" si="8"/>
        <v>6</v>
      </c>
      <c r="C18" s="6" t="s">
        <v>3826</v>
      </c>
      <c r="D18" s="6" t="s">
        <v>2417</v>
      </c>
      <c r="E18" s="8"/>
      <c r="F18" s="7" t="s">
        <v>3822</v>
      </c>
      <c r="G18" s="7" t="str">
        <f t="shared" ref="G18:G21" si="11">IF(F18="フラグ","boolean",IF(F18="文字列","text",IF(F18="整数","integer",IF(F18="実数","numeric",""))))</f>
        <v>text</v>
      </c>
      <c r="H18" s="58"/>
      <c r="I18" s="23"/>
      <c r="J18" s="24"/>
      <c r="M18" s="4"/>
      <c r="N18" s="76"/>
      <c r="O18" s="76"/>
      <c r="P18" s="76" t="str">
        <f t="shared" ref="P18:P21" si="12">IF(B18&lt;&gt;1,","&amp;D18,D18)</f>
        <v>,facility_contract_end</v>
      </c>
      <c r="Q18" s="76" t="str">
        <f t="shared" si="0"/>
        <v>TEXT</v>
      </c>
      <c r="R18" s="76" t="str">
        <f t="shared" si="1"/>
        <v/>
      </c>
      <c r="S18" s="76" t="str">
        <f t="shared" si="2"/>
        <v/>
      </c>
      <c r="T18" s="76" t="str">
        <f t="shared" si="3"/>
        <v>-- 施設データ提供終了日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milscm_2023_009.sny_202310_mt_shisetsu.facility_contract_end IS '施設データ提供終了日';</v>
      </c>
    </row>
    <row r="19" spans="1:52" s="25" customFormat="1">
      <c r="A19" s="4"/>
      <c r="B19" s="21">
        <f>ROW()-12</f>
        <v>7</v>
      </c>
      <c r="C19" s="13" t="s">
        <v>3827</v>
      </c>
      <c r="D19" s="13" t="s">
        <v>2419</v>
      </c>
      <c r="E19" s="7"/>
      <c r="F19" s="7" t="s">
        <v>204</v>
      </c>
      <c r="G19" s="7" t="str">
        <f>IF(F19="フラグ","boolean",IF(F19="文字列","text",IF(F19="整数","integer",IF(F19="実数","numeric",""))))</f>
        <v>integer</v>
      </c>
      <c r="H19" s="9"/>
      <c r="I19" s="10"/>
      <c r="J19" s="24"/>
      <c r="M19" s="4"/>
      <c r="N19" s="76"/>
      <c r="O19" s="76"/>
      <c r="P19" s="76" t="str">
        <f>IF(B19&lt;&gt;1,","&amp;D19,D19)</f>
        <v>,size</v>
      </c>
      <c r="Q19" s="76" t="str">
        <f t="shared" si="0"/>
        <v>INTEGER</v>
      </c>
      <c r="R19" s="76" t="str">
        <f t="shared" si="1"/>
        <v/>
      </c>
      <c r="S19" s="76" t="str">
        <f t="shared" si="2"/>
        <v/>
      </c>
      <c r="T19" s="76" t="str">
        <f t="shared" si="3"/>
        <v>-- 施設規模</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milscm_2023_009.sny_202310_mt_shisetsu.size IS '施設規模';</v>
      </c>
    </row>
    <row r="20" spans="1:52" s="25" customFormat="1">
      <c r="A20" s="4"/>
      <c r="B20" s="21">
        <f>ROW()-12</f>
        <v>8</v>
      </c>
      <c r="C20" s="13" t="s">
        <v>3853</v>
      </c>
      <c r="D20" s="13" t="s">
        <v>3855</v>
      </c>
      <c r="E20" s="7"/>
      <c r="F20" s="7" t="s">
        <v>3822</v>
      </c>
      <c r="G20" s="7" t="str">
        <f>IF(F20="フラグ","boolean",IF(F20="文字列","text",IF(F20="整数","integer",IF(F20="実数","numeric",""))))</f>
        <v>text</v>
      </c>
      <c r="H20" s="9"/>
      <c r="I20" s="10"/>
      <c r="J20" s="24"/>
      <c r="M20" s="4"/>
      <c r="N20" s="76"/>
      <c r="O20" s="76"/>
      <c r="P20" s="76" t="str">
        <f>IF(B20&lt;&gt;1,","&amp;D20,D20)</f>
        <v>,facility_riyo_start</v>
      </c>
      <c r="Q20" s="76" t="str">
        <f t="shared" ref="Q20" si="13">UPPER(G20)</f>
        <v>TEXT</v>
      </c>
      <c r="R20" s="76" t="str">
        <f t="shared" ref="R20" si="14">IF(H20&lt;&gt;"","default "&amp;IF(G20="text","'"&amp;H20&amp;"'",H20),"")</f>
        <v/>
      </c>
      <c r="S20" s="76" t="str">
        <f t="shared" si="2"/>
        <v/>
      </c>
      <c r="T20" s="76" t="str">
        <f t="shared" si="3"/>
        <v>-- 施設データ利用可能開始日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milscm_2023_009.sny_202310_mt_shisetsu.facility_riyo_start IS '施設データ利用可能開始日';</v>
      </c>
    </row>
    <row r="21" spans="1:52" s="25" customFormat="1" ht="18" thickBot="1">
      <c r="A21" s="4"/>
      <c r="B21" s="70">
        <f t="shared" si="8"/>
        <v>9</v>
      </c>
      <c r="C21" s="71" t="s">
        <v>3854</v>
      </c>
      <c r="D21" s="71" t="s">
        <v>3856</v>
      </c>
      <c r="E21" s="74"/>
      <c r="F21" s="72" t="s">
        <v>3822</v>
      </c>
      <c r="G21" s="72" t="str">
        <f t="shared" si="11"/>
        <v>text</v>
      </c>
      <c r="H21" s="73"/>
      <c r="I21" s="74"/>
      <c r="J21" s="75"/>
      <c r="M21" s="4"/>
      <c r="N21" s="76"/>
      <c r="O21" s="76"/>
      <c r="P21" s="76" t="str">
        <f t="shared" si="12"/>
        <v>,facility_riyo_end</v>
      </c>
      <c r="Q21" s="76" t="str">
        <f t="shared" si="0"/>
        <v>TEXT</v>
      </c>
      <c r="R21" s="76" t="str">
        <f t="shared" si="1"/>
        <v/>
      </c>
      <c r="S21" s="76" t="str">
        <f t="shared" si="2"/>
        <v/>
      </c>
      <c r="T21" s="76" t="str">
        <f t="shared" si="3"/>
        <v>-- 施設データ利用可能終了日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milscm_2023_009.sny_202310_mt_shisetsu.facility_riyo_end IS '施設データ利用可能終了日';</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ENT_21_03</v>
      </c>
      <c r="E6" s="234"/>
      <c r="F6" s="234"/>
      <c r="G6" s="234"/>
      <c r="H6" s="234"/>
      <c r="I6" s="234"/>
      <c r="J6" s="235"/>
    </row>
    <row r="7" spans="1:45">
      <c r="B7" s="223" t="s">
        <v>115</v>
      </c>
      <c r="C7" s="224"/>
      <c r="D7" s="225" t="s">
        <v>306</v>
      </c>
      <c r="E7" s="226"/>
      <c r="F7" s="226"/>
      <c r="G7" s="226"/>
      <c r="H7" s="226"/>
      <c r="I7" s="226"/>
      <c r="J7" s="227"/>
    </row>
    <row r="8" spans="1:45">
      <c r="B8" s="223" t="s">
        <v>116</v>
      </c>
      <c r="C8" s="224"/>
      <c r="D8" s="225" t="str">
        <f>エンティティ一覧!AE2&amp;"_"&amp;D5&amp;"_kanja"</f>
        <v>sny_202310_mt_kanja</v>
      </c>
      <c r="E8" s="226"/>
      <c r="F8" s="226"/>
      <c r="G8" s="226"/>
      <c r="H8" s="226"/>
      <c r="I8" s="226"/>
      <c r="J8" s="227"/>
    </row>
    <row r="9" spans="1:45" ht="19.5" customHeight="1" thickBot="1">
      <c r="B9" s="228" t="s">
        <v>117</v>
      </c>
      <c r="C9" s="229"/>
      <c r="D9" s="230" t="s">
        <v>4076</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milscm_2023_009.sny_202310_mt_kanja;</v>
      </c>
      <c r="O10" s="76"/>
      <c r="P10" s="76"/>
      <c r="Q10" s="76"/>
      <c r="R10" s="76"/>
      <c r="S10" s="76"/>
      <c r="T10" s="76"/>
      <c r="AJ10" s="76" t="str">
        <f>"ALTER TABLE ONLY "&amp;エンティティ一覧!$O$2&amp;"."&amp;D$8</f>
        <v>ALTER TABLE ONLY milscm_2023_009.sny_202310_mt_kanja</v>
      </c>
      <c r="AS10" s="76" t="str">
        <f>"ALTER TABLE "&amp;エンティティ一覧!$O$2&amp;"."&amp;D$8&amp;" OWNER TO pgmisgrp1;"</f>
        <v>ALTER TABLE milscm_2023_009.sny_202310_mt_kanja OWNER TO pgmisgrp1;</v>
      </c>
    </row>
    <row r="11" spans="1:45" ht="18" thickBot="1">
      <c r="B11" s="20" t="s">
        <v>118</v>
      </c>
      <c r="C11" s="19"/>
      <c r="D11" s="5"/>
      <c r="E11" s="5"/>
      <c r="F11" s="5"/>
      <c r="G11" s="5"/>
      <c r="H11" s="5"/>
      <c r="I11" s="5"/>
      <c r="J11" s="18"/>
      <c r="N11" s="76" t="str">
        <f>"CREATE TABLE  "&amp;エンティティ一覧!$O$2&amp;"."&amp;D$8</f>
        <v>CREATE TABLE  milscm_2023_009.sny_202310_mt_kanja</v>
      </c>
      <c r="O11" s="76"/>
      <c r="P11" s="76"/>
      <c r="Q11" s="76"/>
      <c r="R11" s="76"/>
      <c r="S11" s="76"/>
      <c r="T11" s="76"/>
      <c r="AJ11" s="76" t="str">
        <f>"ADD CONSTRAINT "&amp;D$8&amp;"_pkey PRIMARY KEY"</f>
        <v>ADD CONSTRAINT sny_202310_mt_kanja_pkey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milscm_2023_009.sny_202310_mt_kanja IS '患者マスタ';</v>
      </c>
    </row>
    <row r="13" spans="1:45" s="25" customFormat="1" ht="34.799999999999997">
      <c r="A13" s="4"/>
      <c r="B13" s="21">
        <f>ROW()-12</f>
        <v>1</v>
      </c>
      <c r="C13" s="13" t="s">
        <v>4077</v>
      </c>
      <c r="D13" s="13" t="s">
        <v>4078</v>
      </c>
      <c r="E13" s="7" t="s">
        <v>127</v>
      </c>
      <c r="F13" s="7" t="s">
        <v>201</v>
      </c>
      <c r="G13" s="7" t="str">
        <f>IF(F13="フラグ","boolean",IF(F13="文字列","text",IF(F13="整数","integer",IF(F13="実数","numeric",""))))</f>
        <v>text</v>
      </c>
      <c r="H13" s="9"/>
      <c r="I13" s="10" t="s">
        <v>127</v>
      </c>
      <c r="J13" s="24" t="s">
        <v>4080</v>
      </c>
      <c r="M13" s="4"/>
      <c r="N13" s="76"/>
      <c r="O13" s="76"/>
      <c r="P13" s="76" t="str">
        <f>IF(B13&lt;&gt;1,","&amp;D13,D13)</f>
        <v>mask_id</v>
      </c>
      <c r="Q13" s="76" t="str">
        <f t="shared" ref="Q13:Q16" si="0">UPPER(G13)</f>
        <v>TEXT</v>
      </c>
      <c r="R13" s="76" t="str">
        <f t="shared" ref="R13:R16" si="1">IF(H13&lt;&gt;"","default "&amp;IF(G13="text","'"&amp;H13&amp;"'",H13),"")</f>
        <v/>
      </c>
      <c r="S13" s="76" t="str">
        <f>IF(I13="○","NOT NULL","")</f>
        <v>NOT NULL</v>
      </c>
      <c r="T13" s="76" t="str">
        <f>"-- "&amp;C13</f>
        <v>-- マスクID</v>
      </c>
      <c r="U13" s="4"/>
      <c r="AA13" s="4"/>
      <c r="AB13" s="4"/>
      <c r="AC13" s="4"/>
      <c r="AD13" s="4"/>
      <c r="AE13" s="4"/>
      <c r="AF13" s="4"/>
      <c r="AG13" s="4"/>
      <c r="AH13" s="4"/>
      <c r="AI13" s="4"/>
      <c r="AJ13" s="76" t="str">
        <f>IF(E13="○",IF(COUNTA(E$13:E13)=1,"",",")&amp;D13,"")</f>
        <v>mask_id</v>
      </c>
      <c r="AK13" s="4"/>
      <c r="AL13" s="4"/>
      <c r="AM13" s="4"/>
      <c r="AN13" s="4"/>
      <c r="AO13" s="4"/>
      <c r="AP13" s="4"/>
      <c r="AQ13" s="4"/>
      <c r="AR13" s="4"/>
      <c r="AS13" s="76" t="str">
        <f>"COMMENT ON COLUMN "&amp;エンティティ一覧!$O$2&amp;"."&amp;D$8&amp;"."&amp;D13&amp;" IS '"&amp;C13&amp;"';"</f>
        <v>COMMENT ON COLUMN milscm_2023_009.sny_202310_mt_kanja.mask_id IS 'マスクID';</v>
      </c>
    </row>
    <row r="14" spans="1:45" s="25" customFormat="1">
      <c r="A14" s="4"/>
      <c r="B14" s="21">
        <f t="shared" ref="B14:B16" si="2">ROW()-12</f>
        <v>2</v>
      </c>
      <c r="C14" s="6" t="s">
        <v>137</v>
      </c>
      <c r="D14" s="6" t="s">
        <v>128</v>
      </c>
      <c r="E14" s="8"/>
      <c r="F14" s="7" t="s">
        <v>201</v>
      </c>
      <c r="G14" s="7" t="str">
        <f t="shared" ref="G14" si="3">IF(F14="フラグ","boolean",IF(F14="文字列","text",IF(F14="整数","integer",IF(F14="実数","numeric",""))))</f>
        <v>text</v>
      </c>
      <c r="H14" s="58"/>
      <c r="I14" s="23" t="s">
        <v>127</v>
      </c>
      <c r="J14" s="24"/>
      <c r="M14" s="4"/>
      <c r="N14" s="76"/>
      <c r="O14" s="76"/>
      <c r="P14" s="76" t="str">
        <f t="shared" ref="P14:P1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milscm_2023_009.sny_202310_mt_kanja.facility_id IS '施設ID';</v>
      </c>
    </row>
    <row r="15" spans="1:45" s="25" customFormat="1">
      <c r="A15" s="4"/>
      <c r="B15" s="21">
        <f t="shared" si="2"/>
        <v>3</v>
      </c>
      <c r="C15" s="6" t="s">
        <v>2406</v>
      </c>
      <c r="D15" s="6" t="s">
        <v>2407</v>
      </c>
      <c r="E15" s="8"/>
      <c r="F15" s="7" t="s">
        <v>201</v>
      </c>
      <c r="G15" s="7" t="str">
        <f t="shared" ref="G15" si="5">IF(F15="フラグ","boolean",IF(F15="文字列","text",IF(F15="整数","integer",IF(F15="実数","numeric",""))))</f>
        <v>text</v>
      </c>
      <c r="H15" s="58"/>
      <c r="I15" s="23"/>
      <c r="J15" s="24"/>
      <c r="M15" s="4"/>
      <c r="N15" s="76"/>
      <c r="O15" s="76"/>
      <c r="P15" s="76" t="str">
        <f t="shared" ref="P15" si="6">IF(B15&lt;&gt;1,","&amp;D15,D15)</f>
        <v>,facility_id_mml</v>
      </c>
      <c r="Q15" s="76" t="str">
        <f t="shared" ref="Q15" si="7">UPPER(G15)</f>
        <v>TEXT</v>
      </c>
      <c r="R15" s="76" t="str">
        <f t="shared" ref="R15" si="8">IF(H15&lt;&gt;"","default "&amp;IF(G15="text","'"&amp;H15&amp;"'",H15),"")</f>
        <v/>
      </c>
      <c r="S15" s="76" t="str">
        <f>IF(I15="○","NOT NULL","")</f>
        <v/>
      </c>
      <c r="T15" s="76" t="str">
        <f>"-- "&amp;C15</f>
        <v>-- 施設ID（MML）</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milscm_2023_009.sny_202310_mt_kanja.facility_id_mml IS '施設ID（MML）';</v>
      </c>
    </row>
    <row r="16" spans="1:45" s="25" customFormat="1" ht="18" thickBot="1">
      <c r="A16" s="4"/>
      <c r="B16" s="70">
        <f t="shared" si="2"/>
        <v>4</v>
      </c>
      <c r="C16" s="71" t="s">
        <v>4079</v>
      </c>
      <c r="D16" s="71" t="s">
        <v>1849</v>
      </c>
      <c r="E16" s="74"/>
      <c r="F16" s="72" t="s">
        <v>201</v>
      </c>
      <c r="G16" s="72" t="str">
        <f t="shared" ref="G16" si="9">IF(F16="フラグ","boolean",IF(F16="文字列","text",IF(F16="整数","integer",IF(F16="実数","numeric",""))))</f>
        <v>text</v>
      </c>
      <c r="H16" s="73"/>
      <c r="I16" s="74" t="s">
        <v>127</v>
      </c>
      <c r="J16" s="75"/>
      <c r="M16" s="4"/>
      <c r="N16" s="76"/>
      <c r="O16" s="76"/>
      <c r="P16" s="76" t="str">
        <f t="shared" si="4"/>
        <v>,himoduke_id</v>
      </c>
      <c r="Q16" s="76" t="str">
        <f t="shared" si="0"/>
        <v>TEXT</v>
      </c>
      <c r="R16" s="76" t="str">
        <f t="shared" si="1"/>
        <v/>
      </c>
      <c r="S16" s="76" t="str">
        <f>IF(I16="○","NOT NULL","")</f>
        <v>NOT NULL</v>
      </c>
      <c r="T16" s="76" t="str">
        <f>"-- "&amp;C16</f>
        <v>-- 紐付けID</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milscm_2023_009.sny_202310_mt_kanja.himoduke_id IS '紐付けID';</v>
      </c>
    </row>
    <row r="17" spans="12:52">
      <c r="L17" s="25"/>
      <c r="N17" s="76" t="s">
        <v>142</v>
      </c>
      <c r="O17" s="76"/>
      <c r="P17" s="76"/>
      <c r="Q17" s="76"/>
      <c r="R17" s="76"/>
      <c r="S17" s="76"/>
      <c r="T17" s="76"/>
      <c r="V17" s="25"/>
      <c r="W17" s="25"/>
      <c r="X17" s="25"/>
      <c r="Y17" s="25"/>
      <c r="Z17" s="25"/>
      <c r="AJ17" s="76"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ENT_21_04</v>
      </c>
      <c r="E6" s="234"/>
      <c r="F6" s="234"/>
      <c r="G6" s="234"/>
      <c r="H6" s="234"/>
      <c r="I6" s="234"/>
      <c r="J6" s="235"/>
    </row>
    <row r="7" spans="1:45">
      <c r="B7" s="223" t="s">
        <v>115</v>
      </c>
      <c r="C7" s="224"/>
      <c r="D7" s="225" t="s">
        <v>307</v>
      </c>
      <c r="E7" s="226"/>
      <c r="F7" s="226"/>
      <c r="G7" s="226"/>
      <c r="H7" s="226"/>
      <c r="I7" s="226"/>
      <c r="J7" s="227"/>
    </row>
    <row r="8" spans="1:45">
      <c r="B8" s="223" t="s">
        <v>116</v>
      </c>
      <c r="C8" s="224"/>
      <c r="D8" s="225" t="str">
        <f>エンティティ一覧!AE2&amp;"_"&amp;D5&amp;"_shikkan"</f>
        <v>sny_202310_mt_shikkan</v>
      </c>
      <c r="E8" s="226"/>
      <c r="F8" s="226"/>
      <c r="G8" s="226"/>
      <c r="H8" s="226"/>
      <c r="I8" s="226"/>
      <c r="J8" s="227"/>
    </row>
    <row r="9" spans="1:45" ht="19.5" customHeight="1" thickBot="1">
      <c r="B9" s="228" t="s">
        <v>117</v>
      </c>
      <c r="C9" s="229"/>
      <c r="D9" s="230" t="str">
        <f>D7&amp;"情報を格納するテーブル"</f>
        <v>疾患マスタ情報を格納するテーブル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milscm_2023_009.sny_202310_mt_shikkan;</v>
      </c>
      <c r="O10" s="76"/>
      <c r="P10" s="76"/>
      <c r="Q10" s="76"/>
      <c r="R10" s="76"/>
      <c r="S10" s="76"/>
      <c r="T10" s="76"/>
      <c r="AJ10" s="76" t="str">
        <f>"ALTER TABLE ONLY "&amp;エンティティ一覧!$O$2&amp;"."&amp;D$8</f>
        <v>ALTER TABLE ONLY milscm_2023_009.sny_202310_mt_shikkan</v>
      </c>
      <c r="AS10" s="76" t="str">
        <f>"ALTER TABLE "&amp;エンティティ一覧!$O$2&amp;"."&amp;D$8&amp;" OWNER TO pgmisgrp1;"</f>
        <v>ALTER TABLE milscm_2023_009.sny_202310_mt_shikkan OWNER TO pgmisgrp1;</v>
      </c>
    </row>
    <row r="11" spans="1:45" ht="18" thickBot="1">
      <c r="B11" s="20" t="s">
        <v>118</v>
      </c>
      <c r="C11" s="19"/>
      <c r="D11" s="5"/>
      <c r="E11" s="5"/>
      <c r="F11" s="5"/>
      <c r="G11" s="5"/>
      <c r="H11" s="5"/>
      <c r="I11" s="5"/>
      <c r="J11" s="18"/>
      <c r="N11" s="76" t="str">
        <f>"CREATE TABLE  "&amp;エンティティ一覧!$O$2&amp;"."&amp;D$8</f>
        <v>CREATE TABLE  milscm_2023_009.sny_202310_mt_shikkan</v>
      </c>
      <c r="O11" s="76"/>
      <c r="P11" s="76"/>
      <c r="Q11" s="76"/>
      <c r="R11" s="76"/>
      <c r="S11" s="76"/>
      <c r="T11" s="76"/>
      <c r="AJ11" s="76" t="str">
        <f>"ADD CONSTRAINT "&amp;D$8&amp;"_pkey PRIMARY KEY"</f>
        <v>ADD CONSTRAINT sny_202310_mt_shikkan_pkey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milscm_2023_009.sny_202310_mt_shikkan IS '疾患マスタ';</v>
      </c>
    </row>
    <row r="13" spans="1:45" s="25" customFormat="1">
      <c r="A13" s="4"/>
      <c r="B13" s="21">
        <f t="shared" ref="B13:B20" si="0">ROW()-12</f>
        <v>1</v>
      </c>
      <c r="C13" s="6" t="s">
        <v>896</v>
      </c>
      <c r="D13" s="6" t="s">
        <v>3794</v>
      </c>
      <c r="E13" s="8" t="s">
        <v>127</v>
      </c>
      <c r="F13" s="7" t="s">
        <v>737</v>
      </c>
      <c r="G13" s="7" t="str">
        <f t="shared" ref="G13:G20" si="1">IF(F13="フラグ","boolean",IF(F13="文字列","text",IF(F13="整数","integer",IF(F13="実数","numeric",""))))</f>
        <v>text</v>
      </c>
      <c r="H13" s="67"/>
      <c r="I13" s="8" t="s">
        <v>127</v>
      </c>
      <c r="J13" s="11"/>
      <c r="M13" s="4"/>
      <c r="N13" s="76"/>
      <c r="O13" s="76"/>
      <c r="P13" s="76" t="str">
        <f t="shared" ref="P13:P20" si="2">IF(B13&lt;&gt;1,","&amp;D13,D13)</f>
        <v>shobyo_name_cd</v>
      </c>
      <c r="Q13" s="76" t="str">
        <f t="shared" ref="Q13:Q20" si="3">UPPER(G13)</f>
        <v>TEXT</v>
      </c>
      <c r="R13" s="76" t="str">
        <f t="shared" ref="R13:R20" si="4">IF(H13&lt;&gt;"","default "&amp;IF(G13="text","'"&amp;H13&amp;"'",H13),"")</f>
        <v/>
      </c>
      <c r="S13" s="76" t="str">
        <f>IF(I13="○","NOT NULL","")</f>
        <v>NOT NULL</v>
      </c>
      <c r="T13" s="76" t="str">
        <f>"-- "&amp;C13</f>
        <v>-- 傷病名コード</v>
      </c>
      <c r="U13" s="4"/>
      <c r="AA13" s="4"/>
      <c r="AB13" s="4"/>
      <c r="AC13" s="4"/>
      <c r="AD13" s="4"/>
      <c r="AE13" s="4"/>
      <c r="AF13" s="4"/>
      <c r="AG13" s="4"/>
      <c r="AH13" s="4"/>
      <c r="AI13" s="4"/>
      <c r="AJ13" s="76" t="str">
        <f>IF(E13="○",IF(COUNTA(E$13:E13)=1,"",",")&amp;D13,"")</f>
        <v>shobyo_name_cd</v>
      </c>
      <c r="AK13" s="4"/>
      <c r="AL13" s="4"/>
      <c r="AM13" s="4"/>
      <c r="AN13" s="4"/>
      <c r="AO13" s="4"/>
      <c r="AP13" s="4"/>
      <c r="AQ13" s="4"/>
      <c r="AR13" s="4"/>
      <c r="AS13" s="76" t="str">
        <f>"COMMENT ON COLUMN "&amp;エンティティ一覧!$O$2&amp;"."&amp;D$8&amp;"."&amp;D13&amp;" IS '"&amp;C13&amp;"';"</f>
        <v>COMMENT ON COLUMN milscm_2023_009.sny_202310_mt_shikkan.shobyo_name_cd IS '傷病名コード';</v>
      </c>
    </row>
    <row r="14" spans="1:45" s="25" customFormat="1">
      <c r="A14" s="4"/>
      <c r="B14" s="21">
        <f t="shared" si="0"/>
        <v>2</v>
      </c>
      <c r="C14" s="6" t="s">
        <v>897</v>
      </c>
      <c r="D14" s="6" t="s">
        <v>1113</v>
      </c>
      <c r="E14" s="8"/>
      <c r="F14" s="7" t="s">
        <v>737</v>
      </c>
      <c r="G14" s="7" t="str">
        <f t="shared" ref="G14:G19" si="5">IF(F14="フラグ","boolean",IF(F14="文字列","text",IF(F14="整数","integer",IF(F14="実数","numeric",""))))</f>
        <v>text</v>
      </c>
      <c r="H14" s="67"/>
      <c r="I14" s="8" t="s">
        <v>127</v>
      </c>
      <c r="J14" s="11"/>
      <c r="M14" s="4"/>
      <c r="N14" s="76"/>
      <c r="O14" s="76"/>
      <c r="P14" s="76" t="str">
        <f t="shared" si="2"/>
        <v>,shobyo_name</v>
      </c>
      <c r="Q14" s="76" t="str">
        <f t="shared" si="3"/>
        <v>TEXT</v>
      </c>
      <c r="R14" s="76" t="str">
        <f t="shared" si="4"/>
        <v/>
      </c>
      <c r="S14" s="76" t="str">
        <f t="shared" ref="S14:S20" si="6">IF(I14="○","NOT NULL","")</f>
        <v>NOT NULL</v>
      </c>
      <c r="T14" s="76" t="str">
        <f t="shared" ref="T14:T20" si="7">"-- "&amp;C14</f>
        <v>-- 傷病名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milscm_2023_009.sny_202310_mt_shikkan.shobyo_name IS '傷病名';</v>
      </c>
    </row>
    <row r="15" spans="1:45" s="25" customFormat="1">
      <c r="A15" s="4"/>
      <c r="B15" s="21">
        <f>ROW()-12</f>
        <v>3</v>
      </c>
      <c r="C15" s="6" t="s">
        <v>3795</v>
      </c>
      <c r="D15" s="6" t="s">
        <v>3796</v>
      </c>
      <c r="E15" s="8"/>
      <c r="F15" s="7" t="s">
        <v>737</v>
      </c>
      <c r="G15" s="7" t="str">
        <f t="shared" si="5"/>
        <v>text</v>
      </c>
      <c r="H15" s="67"/>
      <c r="I15" s="8" t="s">
        <v>127</v>
      </c>
      <c r="J15" s="11"/>
      <c r="M15" s="4"/>
      <c r="N15" s="76"/>
      <c r="O15" s="76"/>
      <c r="P15" s="76" t="str">
        <f>IF(B15&lt;&gt;1,","&amp;D15,D15)</f>
        <v>,disp_name</v>
      </c>
      <c r="Q15" s="76" t="str">
        <f>UPPER(G15)</f>
        <v>TEXT</v>
      </c>
      <c r="R15" s="76" t="str">
        <f>IF(H15&lt;&gt;"","default "&amp;IF(G15="text","'"&amp;H15&amp;"'",H15),"")</f>
        <v/>
      </c>
      <c r="S15" s="76" t="str">
        <f>IF(I15="○","NOT NULL","")</f>
        <v>NOT NULL</v>
      </c>
      <c r="T15" s="76" t="str">
        <f>"-- "&amp;C15</f>
        <v>-- 表示名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milscm_2023_009.sny_202310_mt_shikkan.disp_name IS '表示名';</v>
      </c>
    </row>
    <row r="16" spans="1:45" s="25" customFormat="1">
      <c r="A16" s="4"/>
      <c r="B16" s="21">
        <f>ROW()-12</f>
        <v>4</v>
      </c>
      <c r="C16" s="6" t="s">
        <v>899</v>
      </c>
      <c r="D16" s="6" t="s">
        <v>894</v>
      </c>
      <c r="E16" s="8"/>
      <c r="F16" s="7" t="s">
        <v>737</v>
      </c>
      <c r="G16" s="7" t="str">
        <f t="shared" si="5"/>
        <v>text</v>
      </c>
      <c r="H16" s="67"/>
      <c r="I16" s="8" t="s">
        <v>127</v>
      </c>
      <c r="J16" s="11"/>
      <c r="M16" s="4"/>
      <c r="N16" s="76"/>
      <c r="O16" s="76"/>
      <c r="P16" s="76" t="str">
        <f>IF(B16&lt;&gt;1,","&amp;D16,D16)</f>
        <v>,icd10_s_cd</v>
      </c>
      <c r="Q16" s="76" t="str">
        <f>UPPER(G16)</f>
        <v>TEXT</v>
      </c>
      <c r="R16" s="76" t="str">
        <f>IF(H16&lt;&gt;"","default "&amp;IF(G16="text","'"&amp;H16&amp;"'",H16),"")</f>
        <v/>
      </c>
      <c r="S16" s="76" t="str">
        <f>IF(I16="○","NOT NULL","")</f>
        <v>NOT NULL</v>
      </c>
      <c r="T16" s="76" t="str">
        <f>"-- "&amp;C16</f>
        <v>-- ICD10小区分</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milscm_2023_009.sny_202310_mt_shikkan.icd10_s_cd IS 'ICD10小区分';</v>
      </c>
    </row>
    <row r="17" spans="1:52" s="25" customFormat="1">
      <c r="A17" s="4"/>
      <c r="B17" s="21">
        <f t="shared" si="0"/>
        <v>5</v>
      </c>
      <c r="C17" s="6" t="s">
        <v>898</v>
      </c>
      <c r="D17" s="6" t="s">
        <v>895</v>
      </c>
      <c r="E17" s="8"/>
      <c r="F17" s="7" t="s">
        <v>737</v>
      </c>
      <c r="G17" s="7" t="str">
        <f t="shared" si="5"/>
        <v>text</v>
      </c>
      <c r="H17" s="67"/>
      <c r="I17" s="8" t="s">
        <v>127</v>
      </c>
      <c r="J17" s="11"/>
      <c r="M17" s="4"/>
      <c r="N17" s="76"/>
      <c r="O17" s="76"/>
      <c r="P17" s="76" t="str">
        <f>IF(B17&lt;&gt;1,","&amp;D17,D17)</f>
        <v>,icd10_s_name</v>
      </c>
      <c r="Q17" s="76" t="str">
        <f>UPPER(G17)</f>
        <v>TEXT</v>
      </c>
      <c r="R17" s="76" t="str">
        <f>IF(H17&lt;&gt;"","default "&amp;IF(G17="text","'"&amp;H17&amp;"'",H17),"")</f>
        <v/>
      </c>
      <c r="S17" s="76" t="str">
        <f>IF(I17="○","NOT NULL","")</f>
        <v>NOT NULL</v>
      </c>
      <c r="T17" s="76" t="str">
        <f>"-- "&amp;C17</f>
        <v>-- ICD10小区分名称</v>
      </c>
      <c r="U17" s="4"/>
      <c r="AA17" s="4"/>
      <c r="AB17" s="4"/>
      <c r="AC17" s="4"/>
      <c r="AD17" s="4"/>
      <c r="AE17" s="4"/>
      <c r="AF17" s="4"/>
      <c r="AG17" s="4"/>
      <c r="AH17" s="4"/>
      <c r="AI17" s="4"/>
      <c r="AJ17" s="76" t="str">
        <f>IF(E17="○",IF(COUNTA(E$15:E17)=1,"",",")&amp;D17,"")</f>
        <v/>
      </c>
      <c r="AK17" s="4"/>
      <c r="AL17" s="4"/>
      <c r="AM17" s="4"/>
      <c r="AN17" s="4"/>
      <c r="AO17" s="4"/>
      <c r="AP17" s="4"/>
      <c r="AQ17" s="4"/>
      <c r="AR17" s="4"/>
      <c r="AS17" s="76" t="str">
        <f>"COMMENT ON COLUMN "&amp;エンティティ一覧!$O$2&amp;"."&amp;D$8&amp;"."&amp;D17&amp;" IS '"&amp;C17&amp;"';"</f>
        <v>COMMENT ON COLUMN milscm_2023_009.sny_202310_mt_shikkan.icd10_s_name IS 'ICD10小区分名称';</v>
      </c>
    </row>
    <row r="18" spans="1:52" s="25" customFormat="1">
      <c r="A18" s="4"/>
      <c r="B18" s="21">
        <f t="shared" si="0"/>
        <v>6</v>
      </c>
      <c r="C18" s="6" t="s">
        <v>3859</v>
      </c>
      <c r="D18" s="6" t="s">
        <v>3860</v>
      </c>
      <c r="E18" s="8"/>
      <c r="F18" s="7" t="s">
        <v>737</v>
      </c>
      <c r="G18" s="7" t="str">
        <f t="shared" si="5"/>
        <v>text</v>
      </c>
      <c r="H18" s="67"/>
      <c r="I18" s="8" t="s">
        <v>127</v>
      </c>
      <c r="J18" s="11"/>
      <c r="M18" s="4"/>
      <c r="N18" s="76"/>
      <c r="O18" s="76"/>
      <c r="P18" s="76" t="str">
        <f>IF(B18&lt;&gt;1,","&amp;D18,D18)</f>
        <v>,icd10_ss_cd</v>
      </c>
      <c r="Q18" s="76" t="str">
        <f>UPPER(G18)</f>
        <v>TEXT</v>
      </c>
      <c r="R18" s="76" t="str">
        <f>IF(H18&lt;&gt;"","default "&amp;IF(G18="text","'"&amp;H18&amp;"'",H18),"")</f>
        <v/>
      </c>
      <c r="S18" s="76" t="str">
        <f>IF(I18="○","NOT NULL","")</f>
        <v>NOT NULL</v>
      </c>
      <c r="T18" s="76" t="str">
        <f>"-- "&amp;C18</f>
        <v>-- ICD10細区分</v>
      </c>
      <c r="U18" s="4"/>
      <c r="AA18" s="4"/>
      <c r="AB18" s="4"/>
      <c r="AC18" s="4"/>
      <c r="AD18" s="4"/>
      <c r="AE18" s="4"/>
      <c r="AF18" s="4"/>
      <c r="AG18" s="4"/>
      <c r="AH18" s="4"/>
      <c r="AI18" s="4"/>
      <c r="AJ18" s="76" t="str">
        <f>IF(E18="○",IF(COUNTA(E$17:E18)=1,"",",")&amp;D18,"")</f>
        <v/>
      </c>
      <c r="AK18" s="4"/>
      <c r="AL18" s="4"/>
      <c r="AM18" s="4"/>
      <c r="AN18" s="4"/>
      <c r="AO18" s="4"/>
      <c r="AP18" s="4"/>
      <c r="AQ18" s="4"/>
      <c r="AR18" s="4"/>
      <c r="AS18" s="76" t="str">
        <f>"COMMENT ON COLUMN "&amp;[1]エンティティ一覧!$O$2&amp;"."&amp;D$8&amp;"."&amp;D18&amp;" IS '"&amp;C18&amp;"';"</f>
        <v>COMMENT ON COLUMN milscm_2023_007.sny_202310_mt_shikkan.icd10_ss_cd IS 'ICD10細区分';</v>
      </c>
    </row>
    <row r="19" spans="1:52" s="25" customFormat="1">
      <c r="A19" s="4"/>
      <c r="B19" s="21">
        <f t="shared" si="0"/>
        <v>7</v>
      </c>
      <c r="C19" s="6" t="s">
        <v>4081</v>
      </c>
      <c r="D19" s="6" t="s">
        <v>3861</v>
      </c>
      <c r="E19" s="8"/>
      <c r="F19" s="7" t="s">
        <v>737</v>
      </c>
      <c r="G19" s="7" t="str">
        <f t="shared" si="5"/>
        <v>text</v>
      </c>
      <c r="H19" s="67"/>
      <c r="I19" s="8" t="s">
        <v>127</v>
      </c>
      <c r="J19" s="11"/>
      <c r="M19" s="4"/>
      <c r="N19" s="76"/>
      <c r="O19" s="76"/>
      <c r="P19" s="76" t="str">
        <f>IF(B19&lt;&gt;1,","&amp;D19,D19)</f>
        <v>,icd10_ss_name</v>
      </c>
      <c r="Q19" s="76" t="str">
        <f>UPPER(G19)</f>
        <v>TEXT</v>
      </c>
      <c r="R19" s="76" t="str">
        <f>IF(H19&lt;&gt;"","default "&amp;IF(G19="text","'"&amp;H19&amp;"'",H19),"")</f>
        <v/>
      </c>
      <c r="S19" s="76" t="str">
        <f>IF(I19="○","NOT NULL","")</f>
        <v>NOT NULL</v>
      </c>
      <c r="T19" s="76" t="str">
        <f>"-- "&amp;C19</f>
        <v>-- ICD10細区分名称</v>
      </c>
      <c r="U19" s="4"/>
      <c r="AA19" s="4"/>
      <c r="AB19" s="4"/>
      <c r="AC19" s="4"/>
      <c r="AD19" s="4"/>
      <c r="AE19" s="4"/>
      <c r="AF19" s="4"/>
      <c r="AG19" s="4"/>
      <c r="AH19" s="4"/>
      <c r="AI19" s="4"/>
      <c r="AJ19" s="76" t="str">
        <f>IF(E19="○",IF(COUNTA(E$17:E19)=1,"",",")&amp;D19,"")</f>
        <v/>
      </c>
      <c r="AK19" s="4"/>
      <c r="AL19" s="4"/>
      <c r="AM19" s="4"/>
      <c r="AN19" s="4"/>
      <c r="AO19" s="4"/>
      <c r="AP19" s="4"/>
      <c r="AQ19" s="4"/>
      <c r="AR19" s="4"/>
      <c r="AS19" s="76" t="str">
        <f>"COMMENT ON COLUMN "&amp;[1]エンティティ一覧!$O$2&amp;"."&amp;D$8&amp;"."&amp;D19&amp;" IS '"&amp;C19&amp;"';"</f>
        <v>COMMENT ON COLUMN milscm_2023_007.sny_202310_mt_shikkan.icd10_ss_name IS 'ICD10細区分名称';</v>
      </c>
    </row>
    <row r="20" spans="1:52" s="25" customFormat="1" ht="18" thickBot="1">
      <c r="A20" s="4"/>
      <c r="B20" s="66">
        <f t="shared" si="0"/>
        <v>8</v>
      </c>
      <c r="C20" s="28" t="s">
        <v>4082</v>
      </c>
      <c r="D20" s="28" t="s">
        <v>4083</v>
      </c>
      <c r="E20" s="29"/>
      <c r="F20" s="56" t="s">
        <v>737</v>
      </c>
      <c r="G20" s="56" t="str">
        <f t="shared" si="1"/>
        <v>text</v>
      </c>
      <c r="H20" s="68"/>
      <c r="I20" s="29" t="s">
        <v>127</v>
      </c>
      <c r="J20" s="69" t="s">
        <v>4084</v>
      </c>
      <c r="N20" s="76"/>
      <c r="O20" s="76"/>
      <c r="P20" s="76" t="str">
        <f t="shared" si="2"/>
        <v>,main_f</v>
      </c>
      <c r="Q20" s="76" t="str">
        <f t="shared" si="3"/>
        <v>TEXT</v>
      </c>
      <c r="R20" s="76" t="str">
        <f t="shared" si="4"/>
        <v/>
      </c>
      <c r="S20" s="76" t="str">
        <f t="shared" si="6"/>
        <v>NOT NULL</v>
      </c>
      <c r="T20" s="76" t="str">
        <f t="shared" si="7"/>
        <v>-- 主傷病フラグ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milscm_2023_009.sny_202310_mt_shikkan.main_f IS '主傷病フラグ';</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ENT_21_05</v>
      </c>
      <c r="E6" s="234"/>
      <c r="F6" s="234"/>
      <c r="G6" s="234"/>
      <c r="H6" s="234"/>
      <c r="I6" s="234"/>
      <c r="J6" s="235"/>
    </row>
    <row r="7" spans="1:45">
      <c r="B7" s="223" t="s">
        <v>115</v>
      </c>
      <c r="C7" s="224"/>
      <c r="D7" s="225" t="s">
        <v>4093</v>
      </c>
      <c r="E7" s="226"/>
      <c r="F7" s="226"/>
      <c r="G7" s="226"/>
      <c r="H7" s="226"/>
      <c r="I7" s="226"/>
      <c r="J7" s="227"/>
    </row>
    <row r="8" spans="1:45">
      <c r="B8" s="223" t="s">
        <v>116</v>
      </c>
      <c r="C8" s="224"/>
      <c r="D8" s="225" t="str">
        <f>エンティティ一覧!AE2&amp;"_"&amp;D5&amp;"_yakuzai"</f>
        <v>sny_202310_mt_yakuzai</v>
      </c>
      <c r="E8" s="226"/>
      <c r="F8" s="226"/>
      <c r="G8" s="226"/>
      <c r="H8" s="226"/>
      <c r="I8" s="226"/>
      <c r="J8" s="227"/>
    </row>
    <row r="9" spans="1:45" ht="19.5" customHeight="1" thickBot="1">
      <c r="B9" s="228" t="s">
        <v>117</v>
      </c>
      <c r="C9" s="229"/>
      <c r="D9" s="230" t="str">
        <f>D7&amp;"情報を格納するテーブル"</f>
        <v>薬剤マスタ情報を格納するテーブル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milscm_2023_009.sny_202310_mt_yakuzai;</v>
      </c>
      <c r="O10" s="76"/>
      <c r="P10" s="76"/>
      <c r="Q10" s="76"/>
      <c r="R10" s="76"/>
      <c r="S10" s="76"/>
      <c r="T10" s="76"/>
      <c r="AJ10" s="76" t="str">
        <f>"ALTER TABLE ONLY "&amp;エンティティ一覧!$O$2&amp;"."&amp;D$8</f>
        <v>ALTER TABLE ONLY milscm_2023_009.sny_202310_mt_yakuzai</v>
      </c>
      <c r="AS10" s="76" t="str">
        <f>"ALTER TABLE "&amp;エンティティ一覧!$O$2&amp;"."&amp;D$8&amp;" OWNER TO pgmisgrp1;"</f>
        <v>ALTER TABLE milscm_2023_009.sny_202310_mt_yakuzai OWNER TO pgmisgrp1;</v>
      </c>
    </row>
    <row r="11" spans="1:45" ht="18" thickBot="1">
      <c r="B11" s="20" t="s">
        <v>118</v>
      </c>
      <c r="C11" s="19"/>
      <c r="D11" s="5"/>
      <c r="E11" s="5"/>
      <c r="F11" s="5"/>
      <c r="G11" s="5"/>
      <c r="H11" s="5"/>
      <c r="I11" s="5"/>
      <c r="J11" s="18"/>
      <c r="N11" s="76" t="str">
        <f>"CREATE TABLE  "&amp;エンティティ一覧!$O$2&amp;"."&amp;D$8</f>
        <v>CREATE TABLE  milscm_2023_009.sny_202310_mt_yakuzai</v>
      </c>
      <c r="O11" s="76"/>
      <c r="P11" s="76"/>
      <c r="Q11" s="76"/>
      <c r="R11" s="76"/>
      <c r="S11" s="76"/>
      <c r="T11" s="76"/>
      <c r="AJ11" s="76" t="str">
        <f>"ADD CONSTRAINT "&amp;D$8&amp;"_pkey PRIMARY KEY"</f>
        <v>ADD CONSTRAINT sny_202310_mt_yakuzai_pkey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milscm_2023_009.sny_202310_mt_yakuzai IS '薬剤マスタ';</v>
      </c>
    </row>
    <row r="13" spans="1:45" s="25" customFormat="1">
      <c r="A13" s="4"/>
      <c r="B13" s="21">
        <f t="shared" ref="B13:B21" si="0">ROW()-12</f>
        <v>1</v>
      </c>
      <c r="C13" s="6" t="s">
        <v>1161</v>
      </c>
      <c r="D13" s="6" t="s">
        <v>4085</v>
      </c>
      <c r="E13" s="8" t="s">
        <v>127</v>
      </c>
      <c r="F13" s="8" t="s">
        <v>737</v>
      </c>
      <c r="G13" s="7" t="str">
        <f t="shared" ref="G13:G21" si="1">IF(F13="フラグ","boolean",IF(F13="文字列","text",IF(F13="整数","integer",IF(F13="実数","numeric",""))))</f>
        <v>text</v>
      </c>
      <c r="H13" s="67"/>
      <c r="I13" s="8" t="s">
        <v>127</v>
      </c>
      <c r="J13" s="11"/>
      <c r="M13" s="4"/>
      <c r="N13" s="76"/>
      <c r="O13" s="76"/>
      <c r="P13" s="76" t="str">
        <f t="shared" ref="P13:P21" si="2">IF(B13&lt;&gt;1,","&amp;D13,D13)</f>
        <v>iyakuhin_cd</v>
      </c>
      <c r="Q13" s="76" t="str">
        <f t="shared" ref="Q13:Q21" si="3">UPPER(G13)</f>
        <v>TEXT</v>
      </c>
      <c r="R13" s="76" t="str">
        <f t="shared" ref="R13:R21" si="4">IF(H13&lt;&gt;"","default "&amp;IF(G13="text","'"&amp;H13&amp;"'",H13),"")</f>
        <v/>
      </c>
      <c r="S13" s="76" t="str">
        <f>IF(I13="○","NOT NULL","")</f>
        <v>NOT NULL</v>
      </c>
      <c r="T13" s="76" t="str">
        <f>"-- "&amp;C13</f>
        <v>-- 医薬品コード</v>
      </c>
      <c r="U13" s="4"/>
      <c r="AA13" s="4"/>
      <c r="AB13" s="4"/>
      <c r="AC13" s="4"/>
      <c r="AD13" s="4"/>
      <c r="AE13" s="4"/>
      <c r="AF13" s="4"/>
      <c r="AG13" s="4"/>
      <c r="AH13" s="4"/>
      <c r="AI13" s="4"/>
      <c r="AJ13" s="76" t="str">
        <f>IF(E13="○",IF(COUNTA(E$13:E13)=1,"",",")&amp;D13,"")</f>
        <v>iyakuhin_cd</v>
      </c>
      <c r="AK13" s="4"/>
      <c r="AL13" s="4"/>
      <c r="AM13" s="4"/>
      <c r="AN13" s="4"/>
      <c r="AO13" s="4"/>
      <c r="AP13" s="4"/>
      <c r="AQ13" s="4"/>
      <c r="AR13" s="4"/>
      <c r="AS13" s="76" t="str">
        <f>"COMMENT ON COLUMN "&amp;[1]エンティティ一覧!$O$2&amp;"."&amp;D$8&amp;"."&amp;D13&amp;" IS '"&amp;C13&amp;"';"</f>
        <v>COMMENT ON COLUMN milscm_2023_007.sny_202310_mt_yakuzai.iyakuhin_cd IS '医薬品コード';</v>
      </c>
    </row>
    <row r="14" spans="1:45" s="25" customFormat="1">
      <c r="A14" s="4"/>
      <c r="B14" s="21">
        <f t="shared" si="0"/>
        <v>2</v>
      </c>
      <c r="C14" s="98" t="s">
        <v>4086</v>
      </c>
      <c r="D14" s="98" t="s">
        <v>4087</v>
      </c>
      <c r="E14" s="99"/>
      <c r="F14" s="99" t="s">
        <v>3822</v>
      </c>
      <c r="G14" s="7" t="str">
        <f t="shared" si="1"/>
        <v>text</v>
      </c>
      <c r="H14" s="67"/>
      <c r="I14" s="8" t="s">
        <v>127</v>
      </c>
      <c r="J14" s="11"/>
      <c r="M14" s="4"/>
      <c r="N14" s="76"/>
      <c r="O14" s="76"/>
      <c r="P14" s="76" t="str">
        <f t="shared" si="2"/>
        <v>,iyakuhin_name</v>
      </c>
      <c r="Q14" s="76" t="str">
        <f t="shared" si="3"/>
        <v>TEXT</v>
      </c>
      <c r="R14" s="76" t="str">
        <f t="shared" si="4"/>
        <v/>
      </c>
      <c r="S14" s="76" t="str">
        <f>IF(I14="○","NOT NULL","")</f>
        <v>NOT NULL</v>
      </c>
      <c r="T14" s="76" t="str">
        <f>"-- "&amp;C14</f>
        <v>-- 医薬品名</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"&amp;[1]エンティティ一覧!$O$2&amp;"."&amp;D$8&amp;"."&amp;D14&amp;" IS '"&amp;C14&amp;"';"</f>
        <v>COMMENT ON COLUMN milscm_2023_007.sny_202310_mt_yakuzai.iyakuhin_name IS '医薬品名';</v>
      </c>
    </row>
    <row r="15" spans="1:45" s="25" customFormat="1">
      <c r="A15" s="4"/>
      <c r="B15" s="21">
        <f t="shared" si="0"/>
        <v>3</v>
      </c>
      <c r="C15" s="98" t="s">
        <v>4088</v>
      </c>
      <c r="D15" s="98" t="s">
        <v>4089</v>
      </c>
      <c r="E15" s="99"/>
      <c r="F15" s="99" t="s">
        <v>3822</v>
      </c>
      <c r="G15" s="7" t="str">
        <f t="shared" si="1"/>
        <v>text</v>
      </c>
      <c r="H15" s="67"/>
      <c r="I15" s="8" t="s">
        <v>127</v>
      </c>
      <c r="J15" s="11"/>
      <c r="N15" s="76"/>
      <c r="O15" s="76"/>
      <c r="P15" s="76" t="str">
        <f t="shared" si="2"/>
        <v>,disp_name</v>
      </c>
      <c r="Q15" s="76" t="str">
        <f t="shared" si="3"/>
        <v>TEXT</v>
      </c>
      <c r="R15" s="76" t="str">
        <f t="shared" si="4"/>
        <v/>
      </c>
      <c r="S15" s="76" t="str">
        <f t="shared" ref="S15:S21" si="5">IF(I15="○","NOT NULL","")</f>
        <v>NOT NULL</v>
      </c>
      <c r="T15" s="76" t="str">
        <f t="shared" ref="T15:T21" si="6">"-- "&amp;C15</f>
        <v>-- 表示名</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"&amp;[1]エンティティ一覧!$O$2&amp;"."&amp;D$8&amp;"."&amp;D15&amp;" IS '"&amp;C15&amp;"';"</f>
        <v>COMMENT ON COLUMN milscm_2023_007.sny_202310_mt_yakuzai.disp_name IS '表示名';</v>
      </c>
    </row>
    <row r="16" spans="1:45" s="25" customFormat="1">
      <c r="A16" s="4"/>
      <c r="B16" s="21">
        <f t="shared" si="0"/>
        <v>4</v>
      </c>
      <c r="C16" s="6" t="s">
        <v>2034</v>
      </c>
      <c r="D16" s="6" t="s">
        <v>2035</v>
      </c>
      <c r="E16" s="8"/>
      <c r="F16" s="7" t="s">
        <v>4090</v>
      </c>
      <c r="G16" s="7" t="str">
        <f t="shared" si="1"/>
        <v>text</v>
      </c>
      <c r="H16" s="67"/>
      <c r="I16" s="8" t="s">
        <v>127</v>
      </c>
      <c r="J16" s="11"/>
      <c r="N16" s="76"/>
      <c r="O16" s="76"/>
      <c r="P16" s="76" t="str">
        <f t="shared" si="2"/>
        <v>,haigozai_f</v>
      </c>
      <c r="Q16" s="76" t="str">
        <f t="shared" si="3"/>
        <v>TEXT</v>
      </c>
      <c r="R16" s="76" t="str">
        <f t="shared" si="4"/>
        <v/>
      </c>
      <c r="S16" s="76" t="str">
        <f t="shared" si="5"/>
        <v>NOT NULL</v>
      </c>
      <c r="T16" s="76" t="str">
        <f t="shared" si="6"/>
        <v>-- 配合剤フラグ</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"&amp;[1]エンティティ一覧!$O$2&amp;"."&amp;D$8&amp;"."&amp;D16&amp;" IS '"&amp;C16&amp;"';"</f>
        <v>COMMENT ON COLUMN milscm_2023_007.sny_202310_mt_yakuzai.haigozai_f IS '配合剤フラグ';</v>
      </c>
    </row>
    <row r="17" spans="1:52" s="25" customFormat="1">
      <c r="A17" s="4"/>
      <c r="B17" s="21">
        <f t="shared" si="0"/>
        <v>5</v>
      </c>
      <c r="C17" s="6" t="s">
        <v>2038</v>
      </c>
      <c r="D17" s="6" t="s">
        <v>2686</v>
      </c>
      <c r="E17" s="8" t="s">
        <v>127</v>
      </c>
      <c r="F17" s="7" t="s">
        <v>4090</v>
      </c>
      <c r="G17" s="7" t="str">
        <f t="shared" si="1"/>
        <v>text</v>
      </c>
      <c r="H17" s="67"/>
      <c r="I17" s="8" t="s">
        <v>127</v>
      </c>
      <c r="J17" s="11"/>
      <c r="N17" s="76"/>
      <c r="O17" s="76"/>
      <c r="P17" s="76" t="str">
        <f t="shared" si="2"/>
        <v>,seibun_cd</v>
      </c>
      <c r="Q17" s="76" t="str">
        <f t="shared" si="3"/>
        <v>TEXT</v>
      </c>
      <c r="R17" s="76" t="str">
        <f t="shared" si="4"/>
        <v/>
      </c>
      <c r="S17" s="76" t="str">
        <f t="shared" si="5"/>
        <v>NOT NULL</v>
      </c>
      <c r="T17" s="76" t="str">
        <f t="shared" si="6"/>
        <v>-- 成分コード</v>
      </c>
      <c r="U17" s="4"/>
      <c r="AA17" s="4"/>
      <c r="AB17" s="4"/>
      <c r="AC17" s="4"/>
      <c r="AD17" s="4"/>
      <c r="AE17" s="4"/>
      <c r="AF17" s="4"/>
      <c r="AG17" s="4"/>
      <c r="AH17" s="4"/>
      <c r="AI17" s="4"/>
      <c r="AJ17" s="76" t="str">
        <f>IF(E17="○",IF(COUNTA(E$13:E17)=1,"",",")&amp;D17,"")</f>
        <v>,seibun_cd</v>
      </c>
      <c r="AK17" s="4"/>
      <c r="AL17" s="4"/>
      <c r="AM17" s="4"/>
      <c r="AN17" s="4"/>
      <c r="AO17" s="4"/>
      <c r="AP17" s="4"/>
      <c r="AQ17" s="4"/>
      <c r="AR17" s="4"/>
      <c r="AS17" s="76" t="str">
        <f>"COMMENT ON COLUMN "&amp;[1]エンティティ一覧!$O$2&amp;"."&amp;D$8&amp;"."&amp;D17&amp;" IS '"&amp;C17&amp;"';"</f>
        <v>COMMENT ON COLUMN milscm_2023_007.sny_202310_mt_yakuzai.seibun_cd IS '成分コード';</v>
      </c>
    </row>
    <row r="18" spans="1:52" s="25" customFormat="1">
      <c r="A18" s="4"/>
      <c r="B18" s="21">
        <f t="shared" si="0"/>
        <v>6</v>
      </c>
      <c r="C18" s="6" t="s">
        <v>2063</v>
      </c>
      <c r="D18" s="6" t="s">
        <v>2064</v>
      </c>
      <c r="E18" s="8"/>
      <c r="F18" s="7" t="s">
        <v>4090</v>
      </c>
      <c r="G18" s="7" t="str">
        <f t="shared" si="1"/>
        <v>text</v>
      </c>
      <c r="H18" s="67"/>
      <c r="I18" s="8" t="s">
        <v>127</v>
      </c>
      <c r="J18" s="11"/>
      <c r="N18" s="76"/>
      <c r="O18" s="76"/>
      <c r="P18" s="76" t="str">
        <f t="shared" si="2"/>
        <v>,seibun_name</v>
      </c>
      <c r="Q18" s="76" t="str">
        <f t="shared" si="3"/>
        <v>TEXT</v>
      </c>
      <c r="R18" s="76" t="str">
        <f t="shared" si="4"/>
        <v/>
      </c>
      <c r="S18" s="76" t="str">
        <f t="shared" si="5"/>
        <v>NOT NULL</v>
      </c>
      <c r="T18" s="76" t="str">
        <f t="shared" si="6"/>
        <v>-- 成分名</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"&amp;[1]エンティティ一覧!$O$2&amp;"."&amp;D$8&amp;"."&amp;D18&amp;" IS '"&amp;C18&amp;"';"</f>
        <v>COMMENT ON COLUMN milscm_2023_007.sny_202310_mt_yakuzai.seibun_name IS '成分名';</v>
      </c>
    </row>
    <row r="19" spans="1:52" s="25" customFormat="1">
      <c r="A19" s="4"/>
      <c r="B19" s="21">
        <f t="shared" si="0"/>
        <v>7</v>
      </c>
      <c r="C19" s="6" t="s">
        <v>2040</v>
      </c>
      <c r="D19" s="6" t="s">
        <v>2041</v>
      </c>
      <c r="E19" s="8"/>
      <c r="F19" s="7" t="s">
        <v>3845</v>
      </c>
      <c r="G19" s="7" t="str">
        <f t="shared" si="1"/>
        <v>numeric</v>
      </c>
      <c r="H19" s="67"/>
      <c r="I19" s="8"/>
      <c r="J19" s="11"/>
      <c r="N19" s="76"/>
      <c r="O19" s="76"/>
      <c r="P19" s="76" t="str">
        <f t="shared" si="2"/>
        <v>,seibunryo</v>
      </c>
      <c r="Q19" s="76" t="str">
        <f t="shared" si="3"/>
        <v>NUMERIC</v>
      </c>
      <c r="R19" s="76" t="str">
        <f t="shared" si="4"/>
        <v/>
      </c>
      <c r="S19" s="76" t="str">
        <f t="shared" si="5"/>
        <v/>
      </c>
      <c r="T19" s="76" t="str">
        <f t="shared" si="6"/>
        <v>-- 成分量</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"&amp;[1]エンティティ一覧!$O$2&amp;"."&amp;D$8&amp;"."&amp;D19&amp;" IS '"&amp;C19&amp;"';"</f>
        <v>COMMENT ON COLUMN milscm_2023_007.sny_202310_mt_yakuzai.seibunryo IS '成分量';</v>
      </c>
    </row>
    <row r="20" spans="1:52" s="25" customFormat="1">
      <c r="A20" s="4"/>
      <c r="B20" s="21">
        <f t="shared" si="0"/>
        <v>8</v>
      </c>
      <c r="C20" s="6" t="s">
        <v>2042</v>
      </c>
      <c r="D20" s="6" t="s">
        <v>2687</v>
      </c>
      <c r="E20" s="8"/>
      <c r="F20" s="7" t="s">
        <v>4090</v>
      </c>
      <c r="G20" s="7" t="str">
        <f t="shared" si="1"/>
        <v>text</v>
      </c>
      <c r="H20" s="67"/>
      <c r="I20" s="8"/>
      <c r="J20" s="11"/>
      <c r="N20" s="76"/>
      <c r="O20" s="76"/>
      <c r="P20" s="76" t="str">
        <f t="shared" si="2"/>
        <v>,seibun_unit_cd</v>
      </c>
      <c r="Q20" s="76" t="str">
        <f t="shared" si="3"/>
        <v>TEXT</v>
      </c>
      <c r="R20" s="76" t="str">
        <f t="shared" si="4"/>
        <v/>
      </c>
      <c r="S20" s="76" t="str">
        <f t="shared" si="5"/>
        <v/>
      </c>
      <c r="T20" s="76" t="str">
        <f t="shared" si="6"/>
        <v>-- 成分単位コード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"&amp;[1]エンティティ一覧!$O$2&amp;"."&amp;D$8&amp;"."&amp;D20&amp;" IS '"&amp;C20&amp;"';"</f>
        <v>COMMENT ON COLUMN milscm_2023_007.sny_202310_mt_yakuzai.seibun_unit_cd IS '成分単位コード';</v>
      </c>
    </row>
    <row r="21" spans="1:52" s="25" customFormat="1" ht="18" thickBot="1">
      <c r="A21" s="4"/>
      <c r="B21" s="66">
        <f t="shared" si="0"/>
        <v>9</v>
      </c>
      <c r="C21" s="28" t="s">
        <v>2688</v>
      </c>
      <c r="D21" s="28" t="s">
        <v>2689</v>
      </c>
      <c r="E21" s="29"/>
      <c r="F21" s="56" t="s">
        <v>4090</v>
      </c>
      <c r="G21" s="56" t="str">
        <f t="shared" si="1"/>
        <v>text</v>
      </c>
      <c r="H21" s="68"/>
      <c r="I21" s="29"/>
      <c r="J21" s="69"/>
      <c r="N21" s="76"/>
      <c r="O21" s="76"/>
      <c r="P21" s="76" t="str">
        <f t="shared" si="2"/>
        <v>,seibun_unit_name</v>
      </c>
      <c r="Q21" s="76" t="str">
        <f t="shared" si="3"/>
        <v>TEXT</v>
      </c>
      <c r="R21" s="76" t="str">
        <f t="shared" si="4"/>
        <v/>
      </c>
      <c r="S21" s="76" t="str">
        <f t="shared" si="5"/>
        <v/>
      </c>
      <c r="T21" s="76" t="str">
        <f t="shared" si="6"/>
        <v>-- 成分単位名称</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"&amp;[1]エンティティ一覧!$O$2&amp;"."&amp;D$8&amp;"."&amp;D21&amp;" IS '"&amp;C21&amp;"';"</f>
        <v>COMMENT ON COLUMN milscm_2023_007.sny_202310_mt_yakuzai.seibun_unit_name IS '成分単位名称';</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ENT_21_06</v>
      </c>
      <c r="E6" s="234"/>
      <c r="F6" s="234"/>
      <c r="G6" s="234"/>
      <c r="H6" s="234"/>
      <c r="I6" s="234"/>
      <c r="J6" s="235"/>
    </row>
    <row r="7" spans="1:45">
      <c r="B7" s="223" t="s">
        <v>115</v>
      </c>
      <c r="C7" s="224"/>
      <c r="D7" s="225" t="s">
        <v>4072</v>
      </c>
      <c r="E7" s="226"/>
      <c r="F7" s="226"/>
      <c r="G7" s="226"/>
      <c r="H7" s="226"/>
      <c r="I7" s="226"/>
      <c r="J7" s="227"/>
    </row>
    <row r="8" spans="1:45">
      <c r="B8" s="223" t="s">
        <v>116</v>
      </c>
      <c r="C8" s="224"/>
      <c r="D8" s="225" t="str">
        <f>エンティティ一覧!AE2&amp;"_"&amp;D5&amp;"_kensa"</f>
        <v>sny_202310_mt_kensa</v>
      </c>
      <c r="E8" s="226"/>
      <c r="F8" s="226"/>
      <c r="G8" s="226"/>
      <c r="H8" s="226"/>
      <c r="I8" s="226"/>
      <c r="J8" s="227"/>
    </row>
    <row r="9" spans="1:45" ht="19.5" customHeight="1" thickBot="1">
      <c r="B9" s="228" t="s">
        <v>117</v>
      </c>
      <c r="C9" s="229"/>
      <c r="D9" s="230" t="str">
        <f>D7&amp;"情報を格納するテーブル"</f>
        <v>検体検査マスタ情報を格納するテーブル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milscm_2023_009.sny_202310_mt_kensa;</v>
      </c>
      <c r="O10" s="76"/>
      <c r="P10" s="76"/>
      <c r="Q10" s="76"/>
      <c r="R10" s="76"/>
      <c r="S10" s="76"/>
      <c r="T10" s="76"/>
      <c r="AJ10" s="76" t="str">
        <f>"ALTER TABLE ONLY "&amp;エンティティ一覧!$O$2&amp;"."&amp;D$8</f>
        <v>ALTER TABLE ONLY milscm_2023_009.sny_202310_mt_kensa</v>
      </c>
      <c r="AS10" s="76" t="str">
        <f>"ALTER TABLE "&amp;エンティティ一覧!$O$2&amp;"."&amp;D$8&amp;" OWNER TO pgmisgrp1;"</f>
        <v>ALTER TABLE milscm_2023_009.sny_202310_mt_kensa OWNER TO pgmisgrp1;</v>
      </c>
    </row>
    <row r="11" spans="1:45" ht="18" thickBot="1">
      <c r="B11" s="20" t="s">
        <v>118</v>
      </c>
      <c r="C11" s="19"/>
      <c r="D11" s="5"/>
      <c r="E11" s="5"/>
      <c r="F11" s="5"/>
      <c r="G11" s="5"/>
      <c r="H11" s="5"/>
      <c r="I11" s="5"/>
      <c r="J11" s="18"/>
      <c r="N11" s="76" t="str">
        <f>"CREATE TABLE  "&amp;エンティティ一覧!$O$2&amp;"."&amp;D$8</f>
        <v>CREATE TABLE  milscm_2023_009.sny_202310_mt_kensa</v>
      </c>
      <c r="O11" s="76"/>
      <c r="P11" s="76"/>
      <c r="Q11" s="76"/>
      <c r="R11" s="76"/>
      <c r="S11" s="76"/>
      <c r="T11" s="76"/>
      <c r="AJ11" s="76" t="str">
        <f>"ADD CONSTRAINT "&amp;D$8&amp;"_pkey PRIMARY KEY"</f>
        <v>ADD CONSTRAINT sny_202310_mt_kensa_pkey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milscm_2023_009.sny_202310_mt_kensa IS '検体検査マスタ';</v>
      </c>
    </row>
    <row r="13" spans="1:45" s="25" customFormat="1">
      <c r="A13" s="4"/>
      <c r="B13" s="21">
        <f t="shared" ref="B13:B21" si="0">ROW()-12</f>
        <v>1</v>
      </c>
      <c r="C13" s="6" t="s">
        <v>3837</v>
      </c>
      <c r="D13" s="6" t="s">
        <v>883</v>
      </c>
      <c r="E13" s="8" t="s">
        <v>127</v>
      </c>
      <c r="F13" s="8" t="s">
        <v>3824</v>
      </c>
      <c r="G13" s="7" t="str">
        <f t="shared" ref="G13:G21" si="1">IF(F13="フラグ","boolean",IF(F13="文字列","text",IF(F13="整数","integer",IF(F13="実数","numeric",""))))</f>
        <v>text</v>
      </c>
      <c r="H13" s="67"/>
      <c r="I13" s="8" t="s">
        <v>127</v>
      </c>
      <c r="J13" s="11"/>
      <c r="M13" s="4"/>
      <c r="N13" s="76"/>
      <c r="O13" s="76"/>
      <c r="P13" s="76" t="str">
        <f t="shared" ref="P13:P21" si="2">IF(B13&lt;&gt;1,","&amp;D13,D13)</f>
        <v>facility_id</v>
      </c>
      <c r="Q13" s="76" t="str">
        <f t="shared" ref="Q13:Q21" si="3">UPPER(G13)</f>
        <v>TEXT</v>
      </c>
      <c r="R13" s="76" t="str">
        <f t="shared" ref="R13:R21" si="4">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milscm_2023_009.sny_202310_mt_kensa.facility_id IS '施設ID';</v>
      </c>
    </row>
    <row r="14" spans="1:45" s="25" customFormat="1">
      <c r="A14" s="4"/>
      <c r="B14" s="21">
        <f t="shared" si="0"/>
        <v>2</v>
      </c>
      <c r="C14" s="98" t="s">
        <v>1610</v>
      </c>
      <c r="D14" s="98" t="s">
        <v>1611</v>
      </c>
      <c r="E14" s="99" t="s">
        <v>127</v>
      </c>
      <c r="F14" s="99" t="s">
        <v>3824</v>
      </c>
      <c r="G14" s="7" t="str">
        <f t="shared" si="1"/>
        <v>text</v>
      </c>
      <c r="H14" s="67"/>
      <c r="I14" s="8" t="s">
        <v>127</v>
      </c>
      <c r="J14" s="11"/>
      <c r="M14" s="4"/>
      <c r="N14" s="76"/>
      <c r="O14" s="76"/>
      <c r="P14" s="76" t="str">
        <f t="shared" si="2"/>
        <v>,specimen_name</v>
      </c>
      <c r="Q14" s="76" t="str">
        <f t="shared" si="3"/>
        <v>TEXT</v>
      </c>
      <c r="R14" s="76" t="str">
        <f t="shared" si="4"/>
        <v/>
      </c>
      <c r="S14" s="76" t="str">
        <f>IF(I14="○","NOT NULL","")</f>
        <v>NOT NULL</v>
      </c>
      <c r="T14" s="76" t="str">
        <f>"-- "&amp;C14</f>
        <v>-- 検体材料</v>
      </c>
      <c r="U14" s="4"/>
      <c r="AA14" s="4"/>
      <c r="AB14" s="4"/>
      <c r="AC14" s="4"/>
      <c r="AD14" s="4"/>
      <c r="AE14" s="4"/>
      <c r="AF14" s="4"/>
      <c r="AG14" s="4"/>
      <c r="AH14" s="4"/>
      <c r="AI14" s="4"/>
      <c r="AJ14" s="76" t="str">
        <f>IF(E14="○",IF(COUNTA(E$13:E14)=1,"",",")&amp;D14,"")</f>
        <v>,specimen_name</v>
      </c>
      <c r="AK14" s="4"/>
      <c r="AL14" s="4"/>
      <c r="AM14" s="4"/>
      <c r="AN14" s="4"/>
      <c r="AO14" s="4"/>
      <c r="AP14" s="4"/>
      <c r="AQ14" s="4"/>
      <c r="AR14" s="4"/>
      <c r="AS14" s="76" t="str">
        <f>"COMMENT ON COLUMN "&amp;エンティティ一覧!$O$2&amp;"."&amp;D$8&amp;"."&amp;D14&amp;" IS '"&amp;C14&amp;"';"</f>
        <v>COMMENT ON COLUMN milscm_2023_009.sny_202310_mt_kensa.specimen_name IS '検体材料';</v>
      </c>
    </row>
    <row r="15" spans="1:45" s="25" customFormat="1">
      <c r="A15" s="4"/>
      <c r="B15" s="21">
        <f t="shared" si="0"/>
        <v>3</v>
      </c>
      <c r="C15" s="98" t="s">
        <v>1612</v>
      </c>
      <c r="D15" s="98" t="s">
        <v>1613</v>
      </c>
      <c r="E15" s="99" t="s">
        <v>127</v>
      </c>
      <c r="F15" s="99" t="s">
        <v>3824</v>
      </c>
      <c r="G15" s="7" t="str">
        <f t="shared" si="1"/>
        <v>text</v>
      </c>
      <c r="H15" s="67"/>
      <c r="I15" s="8" t="s">
        <v>127</v>
      </c>
      <c r="J15" s="11"/>
      <c r="N15" s="76"/>
      <c r="O15" s="76"/>
      <c r="P15" s="76" t="str">
        <f t="shared" si="2"/>
        <v>,sp_code</v>
      </c>
      <c r="Q15" s="76" t="str">
        <f t="shared" si="3"/>
        <v>TEXT</v>
      </c>
      <c r="R15" s="76" t="str">
        <f t="shared" si="4"/>
        <v/>
      </c>
      <c r="S15" s="76" t="str">
        <f t="shared" ref="S15:S21" si="5">IF(I15="○","NOT NULL","")</f>
        <v>NOT NULL</v>
      </c>
      <c r="T15" s="76" t="str">
        <f t="shared" ref="T15:T21" si="6">"-- "&amp;C15</f>
        <v>-- 検体材料コード</v>
      </c>
      <c r="U15" s="4"/>
      <c r="AA15" s="4"/>
      <c r="AB15" s="4"/>
      <c r="AC15" s="4"/>
      <c r="AD15" s="4"/>
      <c r="AE15" s="4"/>
      <c r="AF15" s="4"/>
      <c r="AG15" s="4"/>
      <c r="AH15" s="4"/>
      <c r="AI15" s="4"/>
      <c r="AJ15" s="76" t="str">
        <f>IF(E15="○",IF(COUNTA(E$13:E15)=1,"",",")&amp;D15,"")</f>
        <v>,sp_code</v>
      </c>
      <c r="AK15" s="4"/>
      <c r="AL15" s="4"/>
      <c r="AM15" s="4"/>
      <c r="AN15" s="4"/>
      <c r="AO15" s="4"/>
      <c r="AP15" s="4"/>
      <c r="AQ15" s="4"/>
      <c r="AR15" s="4"/>
      <c r="AS15" s="76" t="str">
        <f>"COMMENT ON COLUMN "&amp;エンティティ一覧!$O$2&amp;"."&amp;D$8&amp;"."&amp;D15&amp;" IS '"&amp;C15&amp;"';"</f>
        <v>COMMENT ON COLUMN milscm_2023_009.sny_202310_mt_kensa.sp_code IS '検体材料コード';</v>
      </c>
    </row>
    <row r="16" spans="1:45" s="25" customFormat="1">
      <c r="A16" s="4"/>
      <c r="B16" s="21">
        <f t="shared" si="0"/>
        <v>4</v>
      </c>
      <c r="C16" s="6" t="s">
        <v>3838</v>
      </c>
      <c r="D16" s="6" t="s">
        <v>1628</v>
      </c>
      <c r="E16" s="8" t="s">
        <v>127</v>
      </c>
      <c r="F16" s="7" t="s">
        <v>3824</v>
      </c>
      <c r="G16" s="7" t="str">
        <f t="shared" si="1"/>
        <v>text</v>
      </c>
      <c r="H16" s="67"/>
      <c r="I16" s="8" t="s">
        <v>127</v>
      </c>
      <c r="J16" s="11"/>
      <c r="N16" s="76"/>
      <c r="O16" s="76"/>
      <c r="P16" s="76" t="str">
        <f t="shared" si="2"/>
        <v>,item_name</v>
      </c>
      <c r="Q16" s="76" t="str">
        <f t="shared" si="3"/>
        <v>TEXT</v>
      </c>
      <c r="R16" s="76" t="str">
        <f t="shared" si="4"/>
        <v/>
      </c>
      <c r="S16" s="76" t="str">
        <f t="shared" si="5"/>
        <v>NOT NULL</v>
      </c>
      <c r="T16" s="76" t="str">
        <f t="shared" si="6"/>
        <v>-- 検査名</v>
      </c>
      <c r="U16" s="4"/>
      <c r="AA16" s="4"/>
      <c r="AB16" s="4"/>
      <c r="AC16" s="4"/>
      <c r="AD16" s="4"/>
      <c r="AE16" s="4"/>
      <c r="AF16" s="4"/>
      <c r="AG16" s="4"/>
      <c r="AH16" s="4"/>
      <c r="AI16" s="4"/>
      <c r="AJ16" s="76" t="str">
        <f>IF(E16="○",IF(COUNTA(E$13:E16)=1,"",",")&amp;D16,"")</f>
        <v>,item_name</v>
      </c>
      <c r="AK16" s="4"/>
      <c r="AL16" s="4"/>
      <c r="AM16" s="4"/>
      <c r="AN16" s="4"/>
      <c r="AO16" s="4"/>
      <c r="AP16" s="4"/>
      <c r="AQ16" s="4"/>
      <c r="AR16" s="4"/>
      <c r="AS16" s="76" t="str">
        <f>"COMMENT ON COLUMN "&amp;エンティティ一覧!$O$2&amp;"."&amp;D$8&amp;"."&amp;D16&amp;" IS '"&amp;C16&amp;"';"</f>
        <v>COMMENT ON COLUMN milscm_2023_009.sny_202310_mt_kensa.item_name IS '検査名';</v>
      </c>
    </row>
    <row r="17" spans="1:52" s="25" customFormat="1">
      <c r="A17" s="4"/>
      <c r="B17" s="21">
        <f t="shared" si="0"/>
        <v>5</v>
      </c>
      <c r="C17" s="6" t="s">
        <v>3839</v>
      </c>
      <c r="D17" s="6" t="s">
        <v>3840</v>
      </c>
      <c r="E17" s="8" t="s">
        <v>127</v>
      </c>
      <c r="F17" s="7" t="s">
        <v>3824</v>
      </c>
      <c r="G17" s="7" t="str">
        <f t="shared" si="1"/>
        <v>text</v>
      </c>
      <c r="H17" s="67"/>
      <c r="I17" s="8" t="s">
        <v>127</v>
      </c>
      <c r="J17" s="11"/>
      <c r="N17" s="76"/>
      <c r="O17" s="76"/>
      <c r="P17" s="76" t="str">
        <f t="shared" si="2"/>
        <v>,item_code</v>
      </c>
      <c r="Q17" s="76" t="str">
        <f t="shared" si="3"/>
        <v>TEXT</v>
      </c>
      <c r="R17" s="76" t="str">
        <f t="shared" si="4"/>
        <v/>
      </c>
      <c r="S17" s="76" t="str">
        <f t="shared" si="5"/>
        <v>NOT NULL</v>
      </c>
      <c r="T17" s="76" t="str">
        <f t="shared" si="6"/>
        <v>-- 検査名_施設固有コード</v>
      </c>
      <c r="U17" s="4"/>
      <c r="AA17" s="4"/>
      <c r="AB17" s="4"/>
      <c r="AC17" s="4"/>
      <c r="AD17" s="4"/>
      <c r="AE17" s="4"/>
      <c r="AF17" s="4"/>
      <c r="AG17" s="4"/>
      <c r="AH17" s="4"/>
      <c r="AI17" s="4"/>
      <c r="AJ17" s="76" t="str">
        <f>IF(E17="○",IF(COUNTA(E$13:E17)=1,"",",")&amp;D17,"")</f>
        <v>,item_code</v>
      </c>
      <c r="AK17" s="4"/>
      <c r="AL17" s="4"/>
      <c r="AM17" s="4"/>
      <c r="AN17" s="4"/>
      <c r="AO17" s="4"/>
      <c r="AP17" s="4"/>
      <c r="AQ17" s="4"/>
      <c r="AR17" s="4"/>
      <c r="AS17" s="76" t="str">
        <f>"COMMENT ON COLUMN "&amp;エンティティ一覧!$O$2&amp;"."&amp;D$8&amp;"."&amp;D17&amp;" IS '"&amp;C17&amp;"';"</f>
        <v>COMMENT ON COLUMN milscm_2023_009.sny_202310_mt_kensa.item_code IS '検査名_施設固有コード';</v>
      </c>
    </row>
    <row r="18" spans="1:52" s="25" customFormat="1">
      <c r="A18" s="4"/>
      <c r="B18" s="21">
        <f t="shared" si="0"/>
        <v>6</v>
      </c>
      <c r="C18" s="6" t="s">
        <v>3846</v>
      </c>
      <c r="D18" s="6" t="s">
        <v>3847</v>
      </c>
      <c r="E18" s="8" t="s">
        <v>127</v>
      </c>
      <c r="F18" s="7" t="s">
        <v>3280</v>
      </c>
      <c r="G18" s="7" t="str">
        <f t="shared" si="1"/>
        <v>text</v>
      </c>
      <c r="H18" s="67"/>
      <c r="I18" s="8" t="s">
        <v>127</v>
      </c>
      <c r="J18" s="11"/>
      <c r="N18" s="76"/>
      <c r="O18" s="76"/>
      <c r="P18" s="76" t="str">
        <f t="shared" si="2"/>
        <v>,unit</v>
      </c>
      <c r="Q18" s="76" t="str">
        <f t="shared" si="3"/>
        <v>TEXT</v>
      </c>
      <c r="R18" s="76" t="str">
        <f t="shared" si="4"/>
        <v/>
      </c>
      <c r="S18" s="76" t="str">
        <f t="shared" si="5"/>
        <v>NOT NULL</v>
      </c>
      <c r="T18" s="76" t="str">
        <f t="shared" si="6"/>
        <v>-- 単位</v>
      </c>
      <c r="U18" s="4"/>
      <c r="AA18" s="4"/>
      <c r="AB18" s="4"/>
      <c r="AC18" s="4"/>
      <c r="AD18" s="4"/>
      <c r="AE18" s="4"/>
      <c r="AF18" s="4"/>
      <c r="AG18" s="4"/>
      <c r="AH18" s="4"/>
      <c r="AI18" s="4"/>
      <c r="AJ18" s="76" t="str">
        <f>IF(E18="○",IF(COUNTA(E$13:E18)=1,"",",")&amp;D18,"")</f>
        <v>,unit</v>
      </c>
      <c r="AK18" s="4"/>
      <c r="AL18" s="4"/>
      <c r="AM18" s="4"/>
      <c r="AN18" s="4"/>
      <c r="AO18" s="4"/>
      <c r="AP18" s="4"/>
      <c r="AQ18" s="4"/>
      <c r="AR18" s="4"/>
      <c r="AS18" s="76" t="str">
        <f>"COMMENT ON COLUMN "&amp;エンティティ一覧!$O$2&amp;"."&amp;D$8&amp;"."&amp;D18&amp;" IS '"&amp;C18&amp;"';"</f>
        <v>COMMENT ON COLUMN milscm_2023_009.sny_202310_mt_kensa.unit IS '単位';</v>
      </c>
    </row>
    <row r="19" spans="1:52" s="25" customFormat="1">
      <c r="A19" s="4"/>
      <c r="B19" s="21">
        <f t="shared" si="0"/>
        <v>7</v>
      </c>
      <c r="C19" s="6" t="s">
        <v>3841</v>
      </c>
      <c r="D19" s="6" t="s">
        <v>3842</v>
      </c>
      <c r="E19" s="8"/>
      <c r="F19" s="7" t="s">
        <v>3280</v>
      </c>
      <c r="G19" s="7" t="str">
        <f t="shared" si="1"/>
        <v>text</v>
      </c>
      <c r="H19" s="67"/>
      <c r="I19" s="8" t="s">
        <v>127</v>
      </c>
      <c r="J19" s="11"/>
      <c r="N19" s="76"/>
      <c r="O19" s="76"/>
      <c r="P19" s="76" t="str">
        <f t="shared" si="2"/>
        <v>,m_unit</v>
      </c>
      <c r="Q19" s="76" t="str">
        <f t="shared" si="3"/>
        <v>TEXT</v>
      </c>
      <c r="R19" s="76" t="str">
        <f t="shared" si="4"/>
        <v/>
      </c>
      <c r="S19" s="76" t="str">
        <f t="shared" si="5"/>
        <v>NOT NULL</v>
      </c>
      <c r="T19" s="76" t="str">
        <f t="shared" si="6"/>
        <v>-- 一般単位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milscm_2023_009.sny_202310_mt_kensa.m_unit IS '一般単位';</v>
      </c>
    </row>
    <row r="20" spans="1:52" s="25" customFormat="1">
      <c r="A20" s="4"/>
      <c r="B20" s="21">
        <f t="shared" si="0"/>
        <v>8</v>
      </c>
      <c r="C20" s="6" t="s">
        <v>3848</v>
      </c>
      <c r="D20" s="6" t="s">
        <v>3849</v>
      </c>
      <c r="E20" s="8"/>
      <c r="F20" s="7" t="s">
        <v>3824</v>
      </c>
      <c r="G20" s="7" t="str">
        <f t="shared" si="1"/>
        <v>text</v>
      </c>
      <c r="H20" s="67"/>
      <c r="I20" s="8" t="s">
        <v>127</v>
      </c>
      <c r="J20" s="11"/>
      <c r="N20" s="76"/>
      <c r="O20" s="76"/>
      <c r="P20" s="76" t="str">
        <f t="shared" si="2"/>
        <v>,disp_name</v>
      </c>
      <c r="Q20" s="76" t="str">
        <f t="shared" si="3"/>
        <v>TEXT</v>
      </c>
      <c r="R20" s="76" t="str">
        <f t="shared" si="4"/>
        <v/>
      </c>
      <c r="S20" s="76" t="str">
        <f t="shared" si="5"/>
        <v>NOT NULL</v>
      </c>
      <c r="T20" s="76" t="str">
        <f t="shared" si="6"/>
        <v>-- 表示名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milscm_2023_009.sny_202310_mt_kensa.disp_name IS '表示名';</v>
      </c>
    </row>
    <row r="21" spans="1:52" s="25" customFormat="1" ht="18" thickBot="1">
      <c r="A21" s="4"/>
      <c r="B21" s="66">
        <f t="shared" si="0"/>
        <v>9</v>
      </c>
      <c r="C21" s="28" t="s">
        <v>3843</v>
      </c>
      <c r="D21" s="28" t="s">
        <v>3844</v>
      </c>
      <c r="E21" s="29"/>
      <c r="F21" s="56" t="s">
        <v>3845</v>
      </c>
      <c r="G21" s="56" t="str">
        <f t="shared" si="1"/>
        <v>numeric</v>
      </c>
      <c r="H21" s="68"/>
      <c r="I21" s="29"/>
      <c r="J21" s="69"/>
      <c r="N21" s="76"/>
      <c r="O21" s="76"/>
      <c r="P21" s="76" t="str">
        <f t="shared" si="2"/>
        <v>,rate</v>
      </c>
      <c r="Q21" s="76" t="str">
        <f t="shared" si="3"/>
        <v>NUMERIC</v>
      </c>
      <c r="R21" s="76" t="str">
        <f t="shared" si="4"/>
        <v/>
      </c>
      <c r="S21" s="76" t="str">
        <f t="shared" si="5"/>
        <v/>
      </c>
      <c r="T21" s="76" t="str">
        <f t="shared" si="6"/>
        <v>-- 換算率</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milscm_2023_009.sny_202310_mt_kensa.rate IS '換算率';</v>
      </c>
    </row>
    <row r="22" spans="1:52">
      <c r="L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V53" s="25"/>
      <c r="AW53" s="25"/>
      <c r="AX53" s="25"/>
      <c r="AY53" s="25"/>
      <c r="AZ53" s="25"/>
    </row>
    <row r="54" spans="12:52">
      <c r="M54" s="25"/>
    </row>
    <row r="55" spans="12:52">
      <c r="M55" s="25"/>
    </row>
    <row r="56" spans="12:52">
      <c r="M56" s="25"/>
    </row>
    <row r="57" spans="12:52">
      <c r="M57" s="25"/>
    </row>
    <row r="58" spans="12:52">
      <c r="M58" s="25"/>
    </row>
    <row r="59" spans="12:52">
      <c r="M5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21</v>
      </c>
      <c r="E4" s="239"/>
      <c r="F4" s="239"/>
      <c r="G4" s="239"/>
      <c r="H4" s="239"/>
      <c r="I4" s="239"/>
      <c r="J4" s="240"/>
    </row>
    <row r="5" spans="1:45">
      <c r="B5" s="223" t="s">
        <v>3706</v>
      </c>
      <c r="C5" s="224"/>
      <c r="D5" s="233" t="str">
        <f>VLOOKUP(D7,エンティティ一覧!A1:'エンティティ一覧'!AM10161,7,FALSE)</f>
        <v>mt</v>
      </c>
      <c r="E5" s="234"/>
      <c r="F5" s="234"/>
      <c r="G5" s="234"/>
      <c r="H5" s="234"/>
      <c r="I5" s="234"/>
      <c r="J5" s="235"/>
    </row>
    <row r="6" spans="1:45">
      <c r="B6" s="223" t="s">
        <v>3707</v>
      </c>
      <c r="C6" s="224"/>
      <c r="D6" s="233" t="str">
        <f>VLOOKUP(D7,エンティティ一覧!A1:'エンティティ一覧'!AM10161,15,FALSE)</f>
        <v>ENT_21_07</v>
      </c>
      <c r="E6" s="234"/>
      <c r="F6" s="234"/>
      <c r="G6" s="234"/>
      <c r="H6" s="234"/>
      <c r="I6" s="234"/>
      <c r="J6" s="235"/>
    </row>
    <row r="7" spans="1:45">
      <c r="B7" s="223" t="s">
        <v>115</v>
      </c>
      <c r="C7" s="224"/>
      <c r="D7" s="225" t="s">
        <v>4091</v>
      </c>
      <c r="E7" s="226"/>
      <c r="F7" s="226"/>
      <c r="G7" s="226"/>
      <c r="H7" s="226"/>
      <c r="I7" s="226"/>
      <c r="J7" s="227"/>
    </row>
    <row r="8" spans="1:45">
      <c r="B8" s="223" t="s">
        <v>116</v>
      </c>
      <c r="C8" s="224"/>
      <c r="D8" s="225" t="str">
        <f>エンティティ一覧!AE2&amp;"_"&amp;D5&amp;"_shinryo_koi"</f>
        <v>sny_202310_mt_shinryo_koi</v>
      </c>
      <c r="E8" s="226"/>
      <c r="F8" s="226"/>
      <c r="G8" s="226"/>
      <c r="H8" s="226"/>
      <c r="I8" s="226"/>
      <c r="J8" s="227"/>
    </row>
    <row r="9" spans="1:45" ht="19.5" customHeight="1" thickBot="1">
      <c r="B9" s="228" t="s">
        <v>117</v>
      </c>
      <c r="C9" s="229"/>
      <c r="D9" s="230" t="str">
        <f>D7&amp;"情報を格納するテーブル"</f>
        <v>診療行為マスタ情報を格納するテーブル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milscm_2023_009.sny_202310_mt_shinryo_koi;</v>
      </c>
      <c r="O10" s="76"/>
      <c r="P10" s="76"/>
      <c r="Q10" s="76"/>
      <c r="R10" s="76"/>
      <c r="S10" s="76"/>
      <c r="T10" s="76"/>
      <c r="AJ10" s="76" t="str">
        <f>"ALTER TABLE ONLY "&amp;エンティティ一覧!$O$2&amp;"."&amp;D$8</f>
        <v>ALTER TABLE ONLY milscm_2023_009.sny_202310_mt_shinryo_koi</v>
      </c>
      <c r="AS10" s="76" t="str">
        <f>"ALTER TABLE "&amp;エンティティ一覧!$O$2&amp;"."&amp;D$8&amp;" OWNER TO pgmisgrp1;"</f>
        <v>ALTER TABLE milscm_2023_009.sny_202310_mt_shinryo_koi OWNER TO pgmisgrp1;</v>
      </c>
    </row>
    <row r="11" spans="1:45" ht="18" thickBot="1">
      <c r="B11" s="20" t="s">
        <v>118</v>
      </c>
      <c r="C11" s="19"/>
      <c r="D11" s="5"/>
      <c r="E11" s="5"/>
      <c r="F11" s="5"/>
      <c r="G11" s="5"/>
      <c r="H11" s="5"/>
      <c r="I11" s="5"/>
      <c r="J11" s="18"/>
      <c r="N11" s="76" t="str">
        <f>"CREATE TABLE  "&amp;エンティティ一覧!$O$2&amp;"."&amp;D$8</f>
        <v>CREATE TABLE  milscm_2023_009.sny_202310_mt_shinryo_koi</v>
      </c>
      <c r="O11" s="76"/>
      <c r="P11" s="76"/>
      <c r="Q11" s="76"/>
      <c r="R11" s="76"/>
      <c r="S11" s="76"/>
      <c r="T11" s="76"/>
      <c r="AJ11" s="76" t="str">
        <f>"ADD CONSTRAINT "&amp;D$8&amp;"_pkey PRIMARY KEY"</f>
        <v>ADD CONSTRAINT sny_202310_mt_shinryo_koi_pkey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milscm_2023_009.sny_202310_mt_shinryo_koi IS '診療行為マスタ';</v>
      </c>
    </row>
    <row r="13" spans="1:45" s="25" customFormat="1">
      <c r="A13" s="4"/>
      <c r="B13" s="21">
        <f t="shared" ref="B13:B17" si="0">ROW()-12</f>
        <v>1</v>
      </c>
      <c r="C13" s="6" t="s">
        <v>1129</v>
      </c>
      <c r="D13" s="6" t="s">
        <v>2614</v>
      </c>
      <c r="E13" s="8" t="s">
        <v>127</v>
      </c>
      <c r="F13" s="7" t="s">
        <v>737</v>
      </c>
      <c r="G13" s="7" t="str">
        <f t="shared" ref="G13:G17" si="1">IF(F13="フラグ","boolean",IF(F13="文字列","text",IF(F13="整数","integer",IF(F13="実数","numeric",""))))</f>
        <v>text</v>
      </c>
      <c r="H13" s="67"/>
      <c r="I13" s="8" t="s">
        <v>127</v>
      </c>
      <c r="J13" s="11"/>
      <c r="M13" s="4"/>
      <c r="N13" s="76"/>
      <c r="O13" s="76"/>
      <c r="P13" s="76" t="str">
        <f t="shared" ref="P13:P17" si="2">IF(B13&lt;&gt;1,","&amp;D13,D13)</f>
        <v>shinryo_koi_cd</v>
      </c>
      <c r="Q13" s="76" t="str">
        <f t="shared" ref="Q13:Q17" si="3">UPPER(G13)</f>
        <v>TEXT</v>
      </c>
      <c r="R13" s="76" t="str">
        <f t="shared" ref="R13:R17" si="4">IF(H13&lt;&gt;"","default "&amp;IF(G13="text","'"&amp;H13&amp;"'",H13),"")</f>
        <v/>
      </c>
      <c r="S13" s="76" t="str">
        <f>IF(I13="○","NOT NULL","")</f>
        <v>NOT NULL</v>
      </c>
      <c r="T13" s="76" t="str">
        <f>"-- "&amp;C13</f>
        <v>-- 診療行為コード</v>
      </c>
      <c r="U13" s="4"/>
      <c r="AA13" s="4"/>
      <c r="AB13" s="4"/>
      <c r="AC13" s="4"/>
      <c r="AD13" s="4"/>
      <c r="AE13" s="4"/>
      <c r="AF13" s="4"/>
      <c r="AG13" s="4"/>
      <c r="AH13" s="4"/>
      <c r="AI13" s="4"/>
      <c r="AJ13" s="76" t="str">
        <f>IF(E13="○",IF(COUNTA(E$13:E13)=1,"",",")&amp;D13,"")</f>
        <v>shinryo_koi_cd</v>
      </c>
      <c r="AK13" s="4"/>
      <c r="AL13" s="4"/>
      <c r="AM13" s="4"/>
      <c r="AN13" s="4"/>
      <c r="AO13" s="4"/>
      <c r="AP13" s="4"/>
      <c r="AQ13" s="4"/>
      <c r="AR13" s="4"/>
      <c r="AS13" s="76" t="str">
        <f>"COMMENT ON COLUMN "&amp;エンティティ一覧!$O$2&amp;"."&amp;D$8&amp;"."&amp;D13&amp;" IS '"&amp;C13&amp;"';"</f>
        <v>COMMENT ON COLUMN milscm_2023_009.sny_202310_mt_shinryo_koi.shinryo_koi_cd IS '診療行為コード';</v>
      </c>
    </row>
    <row r="14" spans="1:45" s="25" customFormat="1">
      <c r="A14" s="4"/>
      <c r="B14" s="21">
        <f t="shared" si="0"/>
        <v>2</v>
      </c>
      <c r="C14" s="6" t="s">
        <v>2617</v>
      </c>
      <c r="D14" s="6" t="s">
        <v>2618</v>
      </c>
      <c r="E14" s="8"/>
      <c r="F14" s="7" t="s">
        <v>737</v>
      </c>
      <c r="G14" s="7" t="str">
        <f>IF(F14="フラグ","boolean",IF(F14="文字列","text",IF(F14="整数","integer",IF(F14="実数","numeric",""))))</f>
        <v>text</v>
      </c>
      <c r="H14" s="67"/>
      <c r="I14" s="8" t="s">
        <v>127</v>
      </c>
      <c r="J14" s="11"/>
      <c r="M14" s="4"/>
      <c r="N14" s="76"/>
      <c r="O14" s="76"/>
      <c r="P14" s="76" t="str">
        <f t="shared" si="2"/>
        <v>,cd_no_kubun</v>
      </c>
      <c r="Q14" s="76" t="str">
        <f t="shared" si="3"/>
        <v>TEXT</v>
      </c>
      <c r="R14" s="76" t="str">
        <f t="shared" si="4"/>
        <v/>
      </c>
      <c r="S14" s="76" t="str">
        <f t="shared" ref="S14:S17" si="5">IF(I14="○","NOT NULL","")</f>
        <v>NOT NULL</v>
      </c>
      <c r="T14" s="76" t="str">
        <f t="shared" ref="T14:T17" si="6">"-- "&amp;C14</f>
        <v>-- 区分番号</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milscm_2023_009.sny_202310_mt_shinryo_koi.cd_no_kubun IS '区分番号';</v>
      </c>
    </row>
    <row r="15" spans="1:45" s="25" customFormat="1">
      <c r="A15" s="4"/>
      <c r="B15" s="21">
        <f>ROW()-12</f>
        <v>3</v>
      </c>
      <c r="C15" s="6" t="s">
        <v>2623</v>
      </c>
      <c r="D15" s="6" t="s">
        <v>222</v>
      </c>
      <c r="E15" s="8"/>
      <c r="F15" s="7" t="s">
        <v>737</v>
      </c>
      <c r="G15" s="7" t="str">
        <f>IF(F15="フラグ","boolean",IF(F15="文字列","text",IF(F15="整数","integer",IF(F15="実数","numeric",""))))</f>
        <v>text</v>
      </c>
      <c r="H15" s="67"/>
      <c r="I15" s="8" t="s">
        <v>127</v>
      </c>
      <c r="J15" s="11"/>
      <c r="M15" s="4"/>
      <c r="N15" s="76"/>
      <c r="O15" s="76"/>
      <c r="P15" s="76" t="str">
        <f>IF(B15&lt;&gt;1,","&amp;D15,D15)</f>
        <v>,shinryo_koi_name</v>
      </c>
      <c r="Q15" s="76" t="str">
        <f>UPPER(G15)</f>
        <v>TEXT</v>
      </c>
      <c r="R15" s="76" t="str">
        <f>IF(H15&lt;&gt;"","default "&amp;IF(G15="text","'"&amp;H15&amp;"'",H15),"")</f>
        <v/>
      </c>
      <c r="S15" s="76" t="str">
        <f>IF(I15="○","NOT NULL","")</f>
        <v>NOT NULL</v>
      </c>
      <c r="T15" s="76" t="str">
        <f>"-- "&amp;C15</f>
        <v>-- 診療行為省略名</v>
      </c>
      <c r="U15" s="4"/>
      <c r="AA15" s="4"/>
      <c r="AB15" s="4"/>
      <c r="AC15" s="4"/>
      <c r="AD15" s="4"/>
      <c r="AE15" s="4"/>
      <c r="AF15" s="4"/>
      <c r="AG15" s="4"/>
      <c r="AH15" s="4"/>
      <c r="AI15" s="4"/>
      <c r="AJ15" s="76" t="str">
        <f>IF(E15="○",IF(COUNTA(E$15:E15)=1,"",",")&amp;D15,"")</f>
        <v/>
      </c>
      <c r="AK15" s="4"/>
      <c r="AL15" s="4"/>
      <c r="AM15" s="4"/>
      <c r="AN15" s="4"/>
      <c r="AO15" s="4"/>
      <c r="AP15" s="4"/>
      <c r="AQ15" s="4"/>
      <c r="AR15" s="4"/>
      <c r="AS15" s="76" t="str">
        <f>"COMMENT ON COLUMN "&amp;エンティティ一覧!$O$2&amp;"."&amp;D$8&amp;"."&amp;D15&amp;" IS '"&amp;C15&amp;"';"</f>
        <v>COMMENT ON COLUMN milscm_2023_009.sny_202310_mt_shinryo_koi.shinryo_koi_name IS '診療行為省略名';</v>
      </c>
    </row>
    <row r="16" spans="1:45" s="25" customFormat="1">
      <c r="A16" s="4"/>
      <c r="B16" s="21">
        <f t="shared" si="0"/>
        <v>4</v>
      </c>
      <c r="C16" s="6" t="s">
        <v>2624</v>
      </c>
      <c r="D16" s="6" t="s">
        <v>2625</v>
      </c>
      <c r="E16" s="8"/>
      <c r="F16" s="7" t="s">
        <v>737</v>
      </c>
      <c r="G16" s="7" t="str">
        <f>IF(F16="フラグ","boolean",IF(F16="文字列","text",IF(F16="整数","integer",IF(F16="実数","numeric",""))))</f>
        <v>text</v>
      </c>
      <c r="H16" s="67"/>
      <c r="I16" s="8" t="s">
        <v>127</v>
      </c>
      <c r="J16" s="11"/>
      <c r="M16" s="4"/>
      <c r="N16" s="76"/>
      <c r="O16" s="76"/>
      <c r="P16" s="76" t="str">
        <f>IF(B16&lt;&gt;1,","&amp;D16,D16)</f>
        <v>,shinryo_koi_kihonname</v>
      </c>
      <c r="Q16" s="76" t="str">
        <f>UPPER(G16)</f>
        <v>TEXT</v>
      </c>
      <c r="R16" s="76" t="str">
        <f>IF(H16&lt;&gt;"","default "&amp;IF(G16="text","'"&amp;H16&amp;"'",H16),"")</f>
        <v/>
      </c>
      <c r="S16" s="76" t="str">
        <f>IF(I16="○","NOT NULL","")</f>
        <v>NOT NULL</v>
      </c>
      <c r="T16" s="76" t="str">
        <f>"-- "&amp;C16</f>
        <v>-- 診療行為名</v>
      </c>
      <c r="U16" s="4"/>
      <c r="AA16" s="4"/>
      <c r="AB16" s="4"/>
      <c r="AC16" s="4"/>
      <c r="AD16" s="4"/>
      <c r="AE16" s="4"/>
      <c r="AF16" s="4"/>
      <c r="AG16" s="4"/>
      <c r="AH16" s="4"/>
      <c r="AI16" s="4"/>
      <c r="AJ16" s="76" t="str">
        <f>IF(E16="○",IF(COUNTA(E$15:E16)=1,"",",")&amp;D16,"")</f>
        <v/>
      </c>
      <c r="AK16" s="4"/>
      <c r="AL16" s="4"/>
      <c r="AM16" s="4"/>
      <c r="AN16" s="4"/>
      <c r="AO16" s="4"/>
      <c r="AP16" s="4"/>
      <c r="AQ16" s="4"/>
      <c r="AR16" s="4"/>
      <c r="AS16" s="76" t="str">
        <f>"COMMENT ON COLUMN "&amp;エンティティ一覧!$O$2&amp;"."&amp;D$8&amp;"."&amp;D16&amp;" IS '"&amp;C16&amp;"';"</f>
        <v>COMMENT ON COLUMN milscm_2023_009.sny_202310_mt_shinryo_koi.shinryo_koi_kihonname IS '診療行為名';</v>
      </c>
    </row>
    <row r="17" spans="1:52" s="25" customFormat="1" ht="18" thickBot="1">
      <c r="A17" s="4"/>
      <c r="B17" s="66">
        <f t="shared" si="0"/>
        <v>5</v>
      </c>
      <c r="C17" s="28" t="s">
        <v>3795</v>
      </c>
      <c r="D17" s="28" t="s">
        <v>3796</v>
      </c>
      <c r="E17" s="29"/>
      <c r="F17" s="56" t="s">
        <v>737</v>
      </c>
      <c r="G17" s="56" t="str">
        <f t="shared" si="1"/>
        <v>text</v>
      </c>
      <c r="H17" s="68"/>
      <c r="I17" s="29" t="s">
        <v>127</v>
      </c>
      <c r="J17" s="69"/>
      <c r="N17" s="76"/>
      <c r="O17" s="76"/>
      <c r="P17" s="76" t="str">
        <f t="shared" si="2"/>
        <v>,disp_name</v>
      </c>
      <c r="Q17" s="76" t="str">
        <f t="shared" si="3"/>
        <v>TEXT</v>
      </c>
      <c r="R17" s="76" t="str">
        <f t="shared" si="4"/>
        <v/>
      </c>
      <c r="S17" s="76" t="str">
        <f t="shared" si="5"/>
        <v>NOT NULL</v>
      </c>
      <c r="T17" s="76" t="str">
        <f t="shared" si="6"/>
        <v>-- 表示名</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milscm_2023_009.sny_202310_mt_shinryo_koi.disp_name IS '表示名';</v>
      </c>
    </row>
    <row r="18" spans="1:52">
      <c r="L18" s="25"/>
      <c r="M18" s="25"/>
      <c r="N18" s="76" t="s">
        <v>142</v>
      </c>
      <c r="O18" s="76"/>
      <c r="P18" s="76"/>
      <c r="Q18" s="76"/>
      <c r="R18" s="76"/>
      <c r="S18" s="76"/>
      <c r="T18" s="76"/>
      <c r="V18" s="25"/>
      <c r="W18" s="25"/>
      <c r="X18" s="25"/>
      <c r="Y18" s="25"/>
      <c r="Z18" s="25"/>
      <c r="AJ18" s="76"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ENT_31_A1-02</v>
      </c>
      <c r="E6" s="234"/>
      <c r="F6" s="234"/>
      <c r="G6" s="234"/>
      <c r="H6" s="234"/>
      <c r="I6" s="234"/>
      <c r="J6" s="235"/>
    </row>
    <row r="7" spans="1:45">
      <c r="B7" s="223" t="s">
        <v>115</v>
      </c>
      <c r="C7" s="224"/>
      <c r="D7" s="225" t="s">
        <v>3695</v>
      </c>
      <c r="E7" s="226"/>
      <c r="F7" s="226"/>
      <c r="G7" s="226"/>
      <c r="H7" s="226"/>
      <c r="I7" s="226"/>
      <c r="J7" s="227"/>
    </row>
    <row r="8" spans="1:45">
      <c r="B8" s="223" t="s">
        <v>116</v>
      </c>
      <c r="C8" s="224"/>
      <c r="D8" s="225" t="str">
        <f>エンティティ一覧!AE2&amp;"_"&amp;D5&amp;"_mart_shohou"</f>
        <v>sny_202310_base_mart_shohou</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バックアップ_処方データテーブルから対象患者で絞り込んだ結果を格納するテーブル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milscm_2023_009.sny_202310_base_mart_shohou;</v>
      </c>
      <c r="O10" s="76"/>
      <c r="P10" s="76"/>
      <c r="Q10" s="76"/>
      <c r="R10" s="76"/>
      <c r="S10" s="76"/>
      <c r="T10" s="76"/>
      <c r="AJ10" s="76" t="str">
        <f>"ALTER TABLE ONLY "&amp;エンティティ一覧!$O$2&amp;"."&amp;D$8</f>
        <v>ALTER TABLE ONLY milscm_2023_009.sny_202310_base_mart_shohou</v>
      </c>
      <c r="AS10" s="76" t="str">
        <f>"ALTER TABLE "&amp;エンティティ一覧!$O$2&amp;"."&amp;D$8&amp;" OWNER TO pgmisgrp1;"</f>
        <v>ALTER TABLE milscm_2023_009.sny_202310_base_mart_shohou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milscm_2023_009.sny_202310_base_mart_shohou</v>
      </c>
      <c r="O11" s="76"/>
      <c r="P11" s="76"/>
      <c r="Q11" s="76"/>
      <c r="R11" s="76"/>
      <c r="S11" s="76"/>
      <c r="T11" s="76"/>
      <c r="AJ11" s="76" t="str">
        <f>"ADD CONSTRAINT "&amp;D$8&amp;"_pkey PRIMARY KEY"</f>
        <v>ADD CONSTRAINT sny_202310_base_mart_shohou_pkey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milscm_2023_009.sny_202310_base_mart_shohou IS 'ベース_処方データ';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2" si="0">UPPER(G13)</f>
        <v>TEXT</v>
      </c>
      <c r="R13" s="76" t="str">
        <f t="shared" ref="R13:R32"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6"/>
      <c r="O14" s="76"/>
      <c r="P14" s="76" t="str">
        <f t="shared" ref="P14:P32"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milscm_2023_009.sny_202310_base_mart_shohou.facility_id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2" si="5">IF(I15="○","NOT NULL","")</f>
        <v>NOT NULL</v>
      </c>
      <c r="T15" s="76" t="str">
        <f t="shared" ref="T15:T32"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milscm_2023_009.sny_202310_base_mart_shohou.shinryo_ym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milscm_2023_009.sny_202310_base_mart_shohou.data_kubun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milscm_2023_009.sny_202310_base_mart_shohou.receipt_densan_code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t="s">
        <v>1760</v>
      </c>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milscm_2023_009.sny_202310_base_mart_shohou.shiyoryo IS '使用量';</v>
      </c>
    </row>
    <row r="22" spans="1:45" s="25" customFormat="1">
      <c r="A22" s="4"/>
      <c r="B22" s="21">
        <f t="shared" si="2"/>
        <v>10</v>
      </c>
      <c r="C22" s="13" t="s">
        <v>1749</v>
      </c>
      <c r="D22" s="13" t="s">
        <v>276</v>
      </c>
      <c r="E22" s="7"/>
      <c r="F22" s="7" t="s">
        <v>1741</v>
      </c>
      <c r="G22" s="7" t="str">
        <f t="shared" si="3"/>
        <v>text</v>
      </c>
      <c r="H22" s="58"/>
      <c r="I22" s="23"/>
      <c r="J22" s="24" t="s">
        <v>1760</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6"/>
      <c r="O25" s="76"/>
      <c r="P25" s="76" t="str">
        <f t="shared" si="4"/>
        <v>,koi_meisai_kubun</v>
      </c>
      <c r="Q25" s="76" t="str">
        <f t="shared" si="0"/>
        <v>TEXT</v>
      </c>
      <c r="R25" s="76" t="str">
        <f t="shared" si="1"/>
        <v/>
      </c>
      <c r="S25" s="76" t="str">
        <f t="shared" si="5"/>
        <v/>
      </c>
      <c r="T25" s="76" t="str">
        <f t="shared" si="6"/>
        <v>-- 行為明細区分情報</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6"/>
      <c r="O26" s="76"/>
      <c r="P26" s="76" t="str">
        <f t="shared" si="4"/>
        <v>,koi_times</v>
      </c>
      <c r="Q26" s="76" t="str">
        <f t="shared" si="0"/>
        <v>NUMERIC</v>
      </c>
      <c r="R26" s="76" t="str">
        <f t="shared" si="1"/>
        <v/>
      </c>
      <c r="S26" s="76" t="str">
        <f t="shared" si="5"/>
        <v/>
      </c>
      <c r="T26" s="76" t="str">
        <f t="shared" si="6"/>
        <v>-- 行為回数</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milscm_2023_009.sny_202310_base_mart_shohou.koi_times IS '行為回数';</v>
      </c>
    </row>
    <row r="27" spans="1:45" s="25" customFormat="1">
      <c r="A27" s="4"/>
      <c r="B27" s="21">
        <f t="shared" si="2"/>
        <v>15</v>
      </c>
      <c r="C27" s="13" t="s">
        <v>1754</v>
      </c>
      <c r="D27" s="13" t="s">
        <v>233</v>
      </c>
      <c r="E27" s="7"/>
      <c r="F27" s="7" t="s">
        <v>1741</v>
      </c>
      <c r="G27" s="7" t="str">
        <f t="shared" si="3"/>
        <v>text</v>
      </c>
      <c r="H27" s="58"/>
      <c r="I27" s="23"/>
      <c r="J27" s="24" t="s">
        <v>1760</v>
      </c>
      <c r="M27" s="4"/>
      <c r="N27" s="76"/>
      <c r="O27" s="76"/>
      <c r="P27" s="76" t="str">
        <f t="shared" si="4"/>
        <v>,receipt_type_code</v>
      </c>
      <c r="Q27" s="76" t="str">
        <f t="shared" si="0"/>
        <v>TEXT</v>
      </c>
      <c r="R27" s="76" t="str">
        <f t="shared" si="1"/>
        <v/>
      </c>
      <c r="S27" s="76" t="str">
        <f t="shared" si="5"/>
        <v/>
      </c>
      <c r="T27" s="76" t="str">
        <f t="shared" si="6"/>
        <v>-- レセプト種別コード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6"/>
      <c r="O28" s="76"/>
      <c r="P28" s="76" t="str">
        <f t="shared" si="4"/>
        <v>,jisshi_ymd</v>
      </c>
      <c r="Q28" s="76" t="str">
        <f t="shared" si="0"/>
        <v>TEXT</v>
      </c>
      <c r="R28" s="76" t="str">
        <f t="shared" si="1"/>
        <v/>
      </c>
      <c r="S28" s="76" t="str">
        <f t="shared" si="5"/>
        <v>NOT NULL</v>
      </c>
      <c r="T28" s="76" t="str">
        <f t="shared" si="6"/>
        <v>-- 実施年月日</v>
      </c>
      <c r="U28" s="4"/>
      <c r="AA28" s="4"/>
      <c r="AB28" s="4"/>
      <c r="AC28" s="4"/>
      <c r="AD28" s="4"/>
      <c r="AE28" s="4"/>
      <c r="AF28" s="4"/>
      <c r="AG28" s="4"/>
      <c r="AH28" s="4"/>
      <c r="AI28" s="4"/>
      <c r="AJ28" s="76" t="str">
        <f>IF(E28="○",IF(COUNTA(E$13:E28)=1,"",",")&amp;D28,"")</f>
        <v>,jisshi_ymd</v>
      </c>
      <c r="AK28" s="4"/>
      <c r="AL28" s="4"/>
      <c r="AM28" s="4"/>
      <c r="AN28" s="4"/>
      <c r="AO28" s="4"/>
      <c r="AP28" s="4"/>
      <c r="AQ28" s="4"/>
      <c r="AR28" s="4"/>
      <c r="AS28" s="76" t="str">
        <f>"COMMENT ON COLUMN "&amp;エンティティ一覧!$O$2&amp;"."&amp;D$8&amp;"."&amp;D28&amp;" IS '"&amp;C28&amp;"';"</f>
        <v>COMMENT ON COLUMN milscm_2023_009.sny_202310_base_mart_shohou.jisshi_ymd IS '実施年月日';</v>
      </c>
    </row>
    <row r="29" spans="1:45" s="25" customFormat="1">
      <c r="A29" s="4"/>
      <c r="B29" s="21">
        <f t="shared" si="2"/>
        <v>17</v>
      </c>
      <c r="C29" s="13" t="s">
        <v>1756</v>
      </c>
      <c r="D29" s="13" t="s">
        <v>235</v>
      </c>
      <c r="E29" s="7"/>
      <c r="F29" s="7" t="s">
        <v>1741</v>
      </c>
      <c r="G29" s="7" t="str">
        <f t="shared" si="3"/>
        <v>text</v>
      </c>
      <c r="H29" s="58"/>
      <c r="I29" s="23"/>
      <c r="J29" s="24" t="s">
        <v>1760</v>
      </c>
      <c r="M29" s="4"/>
      <c r="N29" s="76"/>
      <c r="O29" s="76"/>
      <c r="P29" s="76" t="str">
        <f t="shared" si="4"/>
        <v>,receipt_ka_kubun</v>
      </c>
      <c r="Q29" s="76" t="str">
        <f t="shared" si="0"/>
        <v>TEXT</v>
      </c>
      <c r="R29" s="76" t="str">
        <f t="shared" si="1"/>
        <v/>
      </c>
      <c r="S29" s="76" t="str">
        <f t="shared" si="5"/>
        <v/>
      </c>
      <c r="T29" s="76" t="str">
        <f t="shared" si="6"/>
        <v>-- レセプト科区分</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6"/>
      <c r="O30" s="76"/>
      <c r="P30" s="76" t="str">
        <f t="shared" si="4"/>
        <v>,department_kubun</v>
      </c>
      <c r="Q30" s="76" t="str">
        <f t="shared" si="0"/>
        <v>TEXT</v>
      </c>
      <c r="R30" s="76" t="str">
        <f t="shared" si="1"/>
        <v/>
      </c>
      <c r="S30" s="76" t="str">
        <f t="shared" si="5"/>
        <v/>
      </c>
      <c r="T30" s="76" t="str">
        <f t="shared" si="6"/>
        <v>-- 診療科区分</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milscm_2023_009.sny_202310_base_mart_shohou.department_kubun IS '診療科区分';</v>
      </c>
    </row>
    <row r="31" spans="1:45" s="25" customFormat="1" ht="34.799999999999997">
      <c r="A31" s="4"/>
      <c r="B31" s="21">
        <f t="shared" si="2"/>
        <v>19</v>
      </c>
      <c r="C31" s="13" t="s">
        <v>1757</v>
      </c>
      <c r="D31" s="13" t="s">
        <v>243</v>
      </c>
      <c r="E31" s="7"/>
      <c r="F31" s="7" t="s">
        <v>1741</v>
      </c>
      <c r="G31" s="7" t="str">
        <f t="shared" si="3"/>
        <v>text</v>
      </c>
      <c r="H31" s="58"/>
      <c r="I31" s="23"/>
      <c r="J31" s="24" t="s">
        <v>1764</v>
      </c>
      <c r="M31" s="4"/>
      <c r="N31" s="76"/>
      <c r="O31" s="76"/>
      <c r="P31" s="76" t="str">
        <f t="shared" si="4"/>
        <v>,nyugai_kubun</v>
      </c>
      <c r="Q31" s="76" t="str">
        <f t="shared" si="0"/>
        <v>TEXT</v>
      </c>
      <c r="R31" s="76" t="str">
        <f t="shared" si="1"/>
        <v/>
      </c>
      <c r="S31" s="76" t="str">
        <f t="shared" si="5"/>
        <v/>
      </c>
      <c r="T31" s="76" t="str">
        <f t="shared" si="6"/>
        <v>-- 入外区分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milscm_2023_009.sny_202310_base_mart_shohou.nyugai_kubun IS '入外区分';</v>
      </c>
    </row>
    <row r="32" spans="1:45" s="25" customFormat="1" ht="18" thickBot="1">
      <c r="A32" s="4"/>
      <c r="B32" s="27">
        <f>ROW()-12</f>
        <v>20</v>
      </c>
      <c r="C32" s="57" t="s">
        <v>1758</v>
      </c>
      <c r="D32" s="57" t="s">
        <v>1759</v>
      </c>
      <c r="E32" s="56" t="s">
        <v>127</v>
      </c>
      <c r="F32" s="56" t="s">
        <v>204</v>
      </c>
      <c r="G32" s="56" t="str">
        <f t="shared" si="3"/>
        <v>integer</v>
      </c>
      <c r="H32" s="59"/>
      <c r="I32" s="60"/>
      <c r="J32" s="64" t="s">
        <v>1765</v>
      </c>
      <c r="N32" s="76"/>
      <c r="O32" s="76"/>
      <c r="P32" s="76" t="str">
        <f t="shared" si="4"/>
        <v>,seq_no</v>
      </c>
      <c r="Q32" s="76" t="str">
        <f t="shared" si="0"/>
        <v>INTEGER</v>
      </c>
      <c r="R32" s="76" t="str">
        <f t="shared" si="1"/>
        <v/>
      </c>
      <c r="S32" s="76" t="str">
        <f t="shared" si="5"/>
        <v/>
      </c>
      <c r="T32" s="76" t="str">
        <f t="shared" si="6"/>
        <v>-- シーケンス番号</v>
      </c>
      <c r="U32" s="4"/>
      <c r="AA32" s="4"/>
      <c r="AB32" s="4"/>
      <c r="AC32" s="4"/>
      <c r="AD32" s="4"/>
      <c r="AE32" s="4"/>
      <c r="AF32" s="4"/>
      <c r="AG32" s="4"/>
      <c r="AH32" s="4"/>
      <c r="AI32" s="4"/>
      <c r="AJ32" s="76" t="str">
        <f>IF(E32="○",IF(COUNTA(E$13:E32)=1,"",",")&amp;D32,"")</f>
        <v>,seq_no</v>
      </c>
      <c r="AK32" s="4"/>
      <c r="AL32" s="4"/>
      <c r="AM32" s="4"/>
      <c r="AN32" s="4"/>
      <c r="AO32" s="4"/>
      <c r="AP32" s="4"/>
      <c r="AQ32" s="4"/>
      <c r="AR32" s="4"/>
      <c r="AS32" s="76" t="str">
        <f>"COMMENT ON COLUMN "&amp;エンティティ一覧!$O$2&amp;"."&amp;D$8&amp;"."&amp;D32&amp;" IS '"&amp;C32&amp;"';"</f>
        <v>COMMENT ON COLUMN milscm_2023_009.sny_202310_base_mart_shohou.seq_no IS 'シーケンス番号';</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ENT_31_A1-03</v>
      </c>
      <c r="E6" s="234"/>
      <c r="F6" s="234"/>
      <c r="G6" s="234"/>
      <c r="H6" s="234"/>
      <c r="I6" s="234"/>
      <c r="J6" s="235"/>
    </row>
    <row r="7" spans="1:45">
      <c r="B7" s="223" t="s">
        <v>115</v>
      </c>
      <c r="C7" s="224"/>
      <c r="D7" s="225" t="s">
        <v>3696</v>
      </c>
      <c r="E7" s="226"/>
      <c r="F7" s="226"/>
      <c r="G7" s="226"/>
      <c r="H7" s="226"/>
      <c r="I7" s="226"/>
      <c r="J7" s="227"/>
    </row>
    <row r="8" spans="1:45">
      <c r="B8" s="223" t="s">
        <v>116</v>
      </c>
      <c r="C8" s="224"/>
      <c r="D8" s="225" t="str">
        <f>エンティティ一覧!AE2&amp;"_"&amp;D5&amp;"_mart_shinryou_koui"</f>
        <v>sny_202310_base_mart_shinryou_koui</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バックアップ_診療行為データテーブルから対象患者で絞り込んだ結果を格納するテーブル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milscm_2023_009.sny_202310_base_mart_shinryou_koui;</v>
      </c>
      <c r="O10" s="76"/>
      <c r="P10" s="76"/>
      <c r="Q10" s="76"/>
      <c r="R10" s="76"/>
      <c r="S10" s="76"/>
      <c r="T10" s="76"/>
      <c r="AJ10" s="76" t="str">
        <f>"ALTER TABLE ONLY "&amp;エンティティ一覧!$O$2&amp;"."&amp;D$8</f>
        <v>ALTER TABLE ONLY milscm_2023_009.sny_202310_base_mart_shinryou_koui</v>
      </c>
      <c r="AS10" s="76" t="str">
        <f>"ALTER TABLE "&amp;エンティティ一覧!$O$2&amp;"."&amp;D$8&amp;" OWNER TO pgmisgrp1;"</f>
        <v>ALTER TABLE milscm_2023_009.sny_202310_base_mart_shinryou_koui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milscm_2023_009.sny_202310_base_mart_shinryou_koui</v>
      </c>
      <c r="O11" s="76"/>
      <c r="P11" s="76"/>
      <c r="Q11" s="76"/>
      <c r="R11" s="76"/>
      <c r="S11" s="76"/>
      <c r="T11" s="76"/>
      <c r="AJ11" s="76" t="str">
        <f>"ADD CONSTRAINT "&amp;D$8&amp;"_pkey PRIMARY KEY"</f>
        <v>ADD CONSTRAINT sny_202310_base_mart_shinryou_koui_pkey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milscm_2023_009.sny_202310_base_mart_shinryou_koui IS 'ベース_診療行為データ';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1760</v>
      </c>
      <c r="M13" s="4"/>
      <c r="N13" s="76"/>
      <c r="O13" s="76"/>
      <c r="P13" s="76" t="str">
        <f>IF(B13&lt;&gt;1,","&amp;D13,D13)</f>
        <v>shikibetsu_no</v>
      </c>
      <c r="Q13" s="76" t="str">
        <f t="shared" ref="Q13:Q36" si="0">UPPER(G13)</f>
        <v>TEXT</v>
      </c>
      <c r="R13" s="76" t="str">
        <f t="shared" ref="R13:R36"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6"/>
      <c r="O14" s="76"/>
      <c r="P14" s="76" t="str">
        <f t="shared" ref="P14:P36" si="4">IF(B14&lt;&gt;1,","&amp;D14,D14)</f>
        <v>,facility_id</v>
      </c>
      <c r="Q14" s="76" t="str">
        <f t="shared" si="0"/>
        <v>TEXT</v>
      </c>
      <c r="R14" s="76" t="str">
        <f t="shared" si="1"/>
        <v/>
      </c>
      <c r="S14" s="76" t="str">
        <f>IF(I14="○","NOT NULL","")</f>
        <v>NOT NULL</v>
      </c>
      <c r="T14" s="76" t="str">
        <f>"--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milscm_2023_009.sny_202310_base_mart_shinryou_koui.facility_id IS '施設ID';</v>
      </c>
    </row>
    <row r="15" spans="1:45" s="25" customFormat="1">
      <c r="A15" s="4"/>
      <c r="B15" s="21">
        <f t="shared" si="2"/>
        <v>3</v>
      </c>
      <c r="C15" s="13" t="s">
        <v>1742</v>
      </c>
      <c r="D15" s="13" t="s">
        <v>206</v>
      </c>
      <c r="E15" s="7" t="s">
        <v>127</v>
      </c>
      <c r="F15" s="7" t="s">
        <v>1741</v>
      </c>
      <c r="G15" s="7" t="str">
        <f t="shared" si="3"/>
        <v>text</v>
      </c>
      <c r="H15" s="58"/>
      <c r="I15" s="23" t="s">
        <v>127</v>
      </c>
      <c r="J15" s="24" t="s">
        <v>1760</v>
      </c>
      <c r="M15" s="4"/>
      <c r="N15" s="76"/>
      <c r="O15" s="76"/>
      <c r="P15" s="76" t="str">
        <f t="shared" si="4"/>
        <v>,shinryo_ym</v>
      </c>
      <c r="Q15" s="76" t="str">
        <f t="shared" si="0"/>
        <v>TEXT</v>
      </c>
      <c r="R15" s="76" t="str">
        <f t="shared" si="1"/>
        <v/>
      </c>
      <c r="S15" s="76" t="str">
        <f t="shared" ref="S15:S36" si="5">IF(I15="○","NOT NULL","")</f>
        <v>NOT NULL</v>
      </c>
      <c r="T15" s="76" t="str">
        <f t="shared" ref="T15:T36" si="6">"-- "&amp;C15</f>
        <v>-- 診療年月</v>
      </c>
      <c r="U15" s="4"/>
      <c r="AA15" s="4"/>
      <c r="AB15" s="4"/>
      <c r="AC15" s="4"/>
      <c r="AD15" s="4"/>
      <c r="AE15" s="4"/>
      <c r="AF15" s="4"/>
      <c r="AG15" s="4"/>
      <c r="AH15" s="4"/>
      <c r="AI15" s="4"/>
      <c r="AJ15" s="76" t="str">
        <f>IF(E15="○",IF(COUNTA(E$13:E15)=1,"",",")&amp;D15,"")</f>
        <v>,shinryo_ym</v>
      </c>
      <c r="AK15" s="4"/>
      <c r="AL15" s="4"/>
      <c r="AM15" s="4"/>
      <c r="AN15" s="4"/>
      <c r="AO15" s="4"/>
      <c r="AP15" s="4"/>
      <c r="AQ15" s="4"/>
      <c r="AR15" s="4"/>
      <c r="AS15" s="76" t="str">
        <f>"COMMENT ON COLUMN "&amp;エンティティ一覧!$O$2&amp;"."&amp;D$8&amp;"."&amp;D15&amp;" IS '"&amp;C15&amp;"';"</f>
        <v>COMMENT ON COLUMN milscm_2023_009.sny_202310_base_mart_shinryou_koui.shinryo_ym IS '診療年月';</v>
      </c>
    </row>
    <row r="16" spans="1:45" s="25" customFormat="1">
      <c r="A16" s="4"/>
      <c r="B16" s="21">
        <f t="shared" si="2"/>
        <v>4</v>
      </c>
      <c r="C16" s="13" t="s">
        <v>1743</v>
      </c>
      <c r="D16" s="13" t="s">
        <v>214</v>
      </c>
      <c r="E16" s="7" t="s">
        <v>127</v>
      </c>
      <c r="F16" s="7" t="s">
        <v>1741</v>
      </c>
      <c r="G16" s="7" t="str">
        <f t="shared" si="3"/>
        <v>text</v>
      </c>
      <c r="H16" s="58"/>
      <c r="I16" s="23" t="s">
        <v>127</v>
      </c>
      <c r="J16" s="24" t="s">
        <v>1760</v>
      </c>
      <c r="M16" s="4"/>
      <c r="N16" s="76"/>
      <c r="O16" s="76"/>
      <c r="P16" s="76" t="str">
        <f t="shared" si="4"/>
        <v>,data_kubun</v>
      </c>
      <c r="Q16" s="76" t="str">
        <f t="shared" si="0"/>
        <v>TEXT</v>
      </c>
      <c r="R16" s="76" t="str">
        <f t="shared" si="1"/>
        <v/>
      </c>
      <c r="S16" s="76" t="str">
        <f t="shared" si="5"/>
        <v>NOT NULL</v>
      </c>
      <c r="T16" s="76" t="str">
        <f t="shared" si="6"/>
        <v>-- データ区分</v>
      </c>
      <c r="U16" s="4"/>
      <c r="AA16" s="4"/>
      <c r="AB16" s="4"/>
      <c r="AC16" s="4"/>
      <c r="AD16" s="4"/>
      <c r="AE16" s="4"/>
      <c r="AF16" s="4"/>
      <c r="AG16" s="4"/>
      <c r="AH16" s="4"/>
      <c r="AI16" s="4"/>
      <c r="AJ16" s="76" t="str">
        <f>IF(E16="○",IF(COUNTA(E$13:E16)=1,"",",")&amp;D16,"")</f>
        <v>,data_kubun</v>
      </c>
      <c r="AK16" s="4"/>
      <c r="AL16" s="4"/>
      <c r="AM16" s="4"/>
      <c r="AN16" s="4"/>
      <c r="AO16" s="4"/>
      <c r="AP16" s="4"/>
      <c r="AQ16" s="4"/>
      <c r="AR16" s="4"/>
      <c r="AS16" s="76" t="str">
        <f>"COMMENT ON COLUMN "&amp;エンティティ一覧!$O$2&amp;"."&amp;D$8&amp;"."&amp;D16&amp;" IS '"&amp;C16&amp;"';"</f>
        <v>COMMENT ON COLUMN milscm_2023_009.sny_202310_base_mart_shinryou_koui.data_kubun IS 'データ区分';</v>
      </c>
    </row>
    <row r="17" spans="1:45" s="25" customFormat="1">
      <c r="A17" s="4"/>
      <c r="B17" s="21">
        <f t="shared" si="2"/>
        <v>5</v>
      </c>
      <c r="C17" s="13" t="s">
        <v>1744</v>
      </c>
      <c r="D17" s="13" t="s">
        <v>216</v>
      </c>
      <c r="E17" s="7" t="s">
        <v>127</v>
      </c>
      <c r="F17" s="7" t="s">
        <v>1741</v>
      </c>
      <c r="G17" s="7" t="str">
        <f t="shared" si="3"/>
        <v>text</v>
      </c>
      <c r="H17" s="58"/>
      <c r="I17" s="23" t="s">
        <v>127</v>
      </c>
      <c r="J17" s="24" t="s">
        <v>1760</v>
      </c>
      <c r="M17" s="4"/>
      <c r="N17" s="76"/>
      <c r="O17" s="76"/>
      <c r="P17" s="76" t="str">
        <f t="shared" si="4"/>
        <v>,junjo_no</v>
      </c>
      <c r="Q17" s="76" t="str">
        <f t="shared" si="0"/>
        <v>TEXT</v>
      </c>
      <c r="R17" s="76" t="str">
        <f t="shared" si="1"/>
        <v/>
      </c>
      <c r="S17" s="76" t="str">
        <f t="shared" si="5"/>
        <v>NOT NULL</v>
      </c>
      <c r="T17" s="76" t="str">
        <f t="shared" si="6"/>
        <v>-- 順序番号</v>
      </c>
      <c r="U17" s="4"/>
      <c r="AA17" s="4"/>
      <c r="AB17" s="4"/>
      <c r="AC17" s="4"/>
      <c r="AD17" s="4"/>
      <c r="AE17" s="4"/>
      <c r="AF17" s="4"/>
      <c r="AG17" s="4"/>
      <c r="AH17" s="4"/>
      <c r="AI17" s="4"/>
      <c r="AJ17" s="76" t="str">
        <f>IF(E17="○",IF(COUNTA(E$13:E17)=1,"",",")&amp;D17,"")</f>
        <v>,junjo_no</v>
      </c>
      <c r="AK17" s="4"/>
      <c r="AL17" s="4"/>
      <c r="AM17" s="4"/>
      <c r="AN17" s="4"/>
      <c r="AO17" s="4"/>
      <c r="AP17" s="4"/>
      <c r="AQ17" s="4"/>
      <c r="AR17" s="4"/>
      <c r="AS17" s="76" t="str">
        <f>"COMMENT ON COLUMN "&amp;エンティティ一覧!$O$2&amp;"."&amp;D$8&amp;"."&amp;D17&amp;" IS '"&amp;C17&amp;"';"</f>
        <v>COMMENT ON COLUMN milscm_2023_009.sny_202310_base_mart_shinryou_koui.junjo_no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6"/>
      <c r="O18" s="76"/>
      <c r="P18" s="76" t="str">
        <f t="shared" si="4"/>
        <v>,koi_meisai_no</v>
      </c>
      <c r="Q18" s="76" t="str">
        <f t="shared" si="0"/>
        <v>TEXT</v>
      </c>
      <c r="R18" s="76" t="str">
        <f t="shared" si="1"/>
        <v/>
      </c>
      <c r="S18" s="76" t="str">
        <f t="shared" si="5"/>
        <v>NOT NULL</v>
      </c>
      <c r="T18" s="76" t="str">
        <f t="shared" si="6"/>
        <v>-- 行為明細番号</v>
      </c>
      <c r="U18" s="4"/>
      <c r="AA18" s="4"/>
      <c r="AB18" s="4"/>
      <c r="AC18" s="4"/>
      <c r="AD18" s="4"/>
      <c r="AE18" s="4"/>
      <c r="AF18" s="4"/>
      <c r="AG18" s="4"/>
      <c r="AH18" s="4"/>
      <c r="AI18" s="4"/>
      <c r="AJ18" s="76" t="str">
        <f>IF(E18="○",IF(COUNTA(E$13:E18)=1,"",",")&amp;D18,"")</f>
        <v>,koi_meisai_no</v>
      </c>
      <c r="AK18" s="4"/>
      <c r="AL18" s="4"/>
      <c r="AM18" s="4"/>
      <c r="AN18" s="4"/>
      <c r="AO18" s="4"/>
      <c r="AP18" s="4"/>
      <c r="AQ18" s="4"/>
      <c r="AR18" s="4"/>
      <c r="AS18" s="76" t="str">
        <f>"COMMENT ON COLUMN "&amp;エンティティ一覧!$O$2&amp;"."&amp;D$8&amp;"."&amp;D18&amp;" IS '"&amp;C18&amp;"';"</f>
        <v>COMMENT ON COLUMN milscm_2023_009.sny_202310_base_mart_shinryou_koui.koi_meisai_no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6"/>
      <c r="O19" s="76"/>
      <c r="P19" s="76" t="str">
        <f t="shared" si="4"/>
        <v>,receipt_densan_code</v>
      </c>
      <c r="Q19" s="76" t="str">
        <f t="shared" si="0"/>
        <v>TEXT</v>
      </c>
      <c r="R19" s="76" t="str">
        <f t="shared" si="1"/>
        <v/>
      </c>
      <c r="S19" s="76" t="str">
        <f t="shared" si="5"/>
        <v/>
      </c>
      <c r="T19" s="76" t="str">
        <f t="shared" si="6"/>
        <v>-- レセプト電算処理システム用コード</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milscm_2023_009.sny_202310_base_mart_shinryou_koui.receipt_densan_code IS 'レセプト電算処理システム用コード';</v>
      </c>
    </row>
    <row r="20" spans="1:45" s="25" customFormat="1">
      <c r="A20" s="4"/>
      <c r="B20" s="21">
        <f t="shared" si="2"/>
        <v>8</v>
      </c>
      <c r="C20" s="13" t="s">
        <v>1746</v>
      </c>
      <c r="D20" s="13" t="s">
        <v>220</v>
      </c>
      <c r="E20" s="7"/>
      <c r="F20" s="7" t="s">
        <v>1741</v>
      </c>
      <c r="G20" s="7" t="str">
        <f t="shared" si="3"/>
        <v>text</v>
      </c>
      <c r="H20" s="58"/>
      <c r="I20" s="23"/>
      <c r="J20" s="24"/>
      <c r="M20" s="4"/>
      <c r="N20" s="76"/>
      <c r="O20" s="76"/>
      <c r="P20" s="76" t="str">
        <f t="shared" si="4"/>
        <v>,kaishaku_no</v>
      </c>
      <c r="Q20" s="76" t="str">
        <f t="shared" si="0"/>
        <v>TEXT</v>
      </c>
      <c r="R20" s="76" t="str">
        <f t="shared" si="1"/>
        <v/>
      </c>
      <c r="S20" s="76" t="str">
        <f t="shared" si="5"/>
        <v/>
      </c>
      <c r="T20" s="76" t="str">
        <f t="shared" si="6"/>
        <v>-- 解釈番号</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6"/>
      <c r="O21" s="76"/>
      <c r="P21" s="76" t="str">
        <f t="shared" si="4"/>
        <v>,shiyoryo</v>
      </c>
      <c r="Q21" s="76" t="str">
        <f t="shared" si="0"/>
        <v>NUMERIC</v>
      </c>
      <c r="R21" s="76" t="str">
        <f t="shared" si="1"/>
        <v/>
      </c>
      <c r="S21" s="76" t="str">
        <f t="shared" si="5"/>
        <v/>
      </c>
      <c r="T21" s="76" t="str">
        <f t="shared" si="6"/>
        <v>-- 使用量</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milscm_2023_009.sny_202310_base_mart_shinryou_koui.shiyoryo IS '使用量';</v>
      </c>
    </row>
    <row r="22" spans="1:45" s="25" customFormat="1">
      <c r="A22" s="4"/>
      <c r="B22" s="21">
        <f t="shared" si="2"/>
        <v>10</v>
      </c>
      <c r="C22" s="13" t="s">
        <v>1749</v>
      </c>
      <c r="D22" s="13" t="s">
        <v>276</v>
      </c>
      <c r="E22" s="7"/>
      <c r="F22" s="7" t="s">
        <v>1741</v>
      </c>
      <c r="G22" s="7" t="str">
        <f t="shared" si="3"/>
        <v>text</v>
      </c>
      <c r="H22" s="58"/>
      <c r="I22" s="23"/>
      <c r="J22" s="24" t="s">
        <v>1772</v>
      </c>
      <c r="M22" s="4"/>
      <c r="N22" s="76"/>
      <c r="O22" s="76"/>
      <c r="P22" s="76" t="str">
        <f t="shared" si="4"/>
        <v>,unit</v>
      </c>
      <c r="Q22" s="76" t="str">
        <f t="shared" si="0"/>
        <v>TEXT</v>
      </c>
      <c r="R22" s="76" t="str">
        <f t="shared" si="1"/>
        <v/>
      </c>
      <c r="S22" s="76" t="str">
        <f t="shared" si="5"/>
        <v/>
      </c>
      <c r="T22" s="76" t="str">
        <f t="shared" si="6"/>
        <v>-- 基準単位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6"/>
      <c r="O23" s="76"/>
      <c r="P23" s="76" t="str">
        <f t="shared" si="4"/>
        <v>,meisai_tensu</v>
      </c>
      <c r="Q23" s="76" t="str">
        <f t="shared" si="0"/>
        <v>NUMERIC</v>
      </c>
      <c r="R23" s="76" t="str">
        <f t="shared" si="1"/>
        <v/>
      </c>
      <c r="S23" s="76" t="str">
        <f t="shared" si="5"/>
        <v/>
      </c>
      <c r="T23" s="76" t="str">
        <f t="shared" si="6"/>
        <v>-- 明細点数・金額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6"/>
      <c r="O24" s="76"/>
      <c r="P24" s="76" t="str">
        <f t="shared" si="4"/>
        <v>,ten_kubun</v>
      </c>
      <c r="Q24" s="76" t="str">
        <f t="shared" si="0"/>
        <v>TEXT</v>
      </c>
      <c r="R24" s="76" t="str">
        <f t="shared" si="1"/>
        <v/>
      </c>
      <c r="S24" s="76" t="str">
        <f t="shared" si="5"/>
        <v/>
      </c>
      <c r="T24" s="76" t="str">
        <f t="shared" si="6"/>
        <v>-- 円・点区分</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milscm_2023_009.sny_202310_base_mart_shinryou_koui.ten_kubun IS '円・点区分';</v>
      </c>
    </row>
    <row r="25" spans="1:45" s="25" customFormat="1">
      <c r="A25" s="4"/>
      <c r="B25" s="21">
        <f t="shared" si="2"/>
        <v>13</v>
      </c>
      <c r="C25" s="13" t="s">
        <v>1767</v>
      </c>
      <c r="D25" s="13" t="s">
        <v>280</v>
      </c>
      <c r="E25" s="7"/>
      <c r="F25" s="7" t="s">
        <v>1748</v>
      </c>
      <c r="G25" s="7" t="str">
        <f t="shared" si="3"/>
        <v>numeric</v>
      </c>
      <c r="H25" s="58"/>
      <c r="I25" s="23"/>
      <c r="J25" s="24" t="s">
        <v>1772</v>
      </c>
      <c r="M25" s="4"/>
      <c r="N25" s="76"/>
      <c r="O25" s="76"/>
      <c r="P25" s="76" t="str">
        <f t="shared" si="4"/>
        <v>,dekidaka_tensu</v>
      </c>
      <c r="Q25" s="76" t="str">
        <f t="shared" si="0"/>
        <v>NUMERIC</v>
      </c>
      <c r="R25" s="76" t="str">
        <f t="shared" si="1"/>
        <v/>
      </c>
      <c r="S25" s="76" t="str">
        <f t="shared" si="5"/>
        <v/>
      </c>
      <c r="T25" s="76" t="str">
        <f t="shared" si="6"/>
        <v>-- 出来高実績点数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6"/>
      <c r="O26" s="76"/>
      <c r="P26" s="76" t="str">
        <f t="shared" si="4"/>
        <v>,koi_meisai_kubun</v>
      </c>
      <c r="Q26" s="76" t="str">
        <f t="shared" si="0"/>
        <v>TEXT</v>
      </c>
      <c r="R26" s="76" t="str">
        <f t="shared" si="1"/>
        <v/>
      </c>
      <c r="S26" s="76" t="str">
        <f t="shared" si="5"/>
        <v/>
      </c>
      <c r="T26" s="76" t="str">
        <f t="shared" si="6"/>
        <v>-- 行為明細区分情報</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milscm_2023_009.sny_202310_base_mart_shinryou_koui.koi_meisai_kubun IS '行為明細区分情報';</v>
      </c>
    </row>
    <row r="27" spans="1:45" s="25" customFormat="1" ht="34.799999999999997">
      <c r="A27" s="4"/>
      <c r="B27" s="21">
        <f t="shared" si="2"/>
        <v>15</v>
      </c>
      <c r="C27" s="13" t="s">
        <v>1768</v>
      </c>
      <c r="D27" s="13" t="s">
        <v>224</v>
      </c>
      <c r="E27" s="7"/>
      <c r="F27" s="7" t="s">
        <v>1748</v>
      </c>
      <c r="G27" s="7" t="str">
        <f t="shared" si="3"/>
        <v>numeric</v>
      </c>
      <c r="H27" s="58"/>
      <c r="I27" s="23"/>
      <c r="J27" s="24" t="s">
        <v>1774</v>
      </c>
      <c r="M27" s="4"/>
      <c r="N27" s="76"/>
      <c r="O27" s="76"/>
      <c r="P27" s="76" t="str">
        <f t="shared" si="4"/>
        <v>,koi_tensu</v>
      </c>
      <c r="Q27" s="76" t="str">
        <f t="shared" si="0"/>
        <v>NUMERIC</v>
      </c>
      <c r="R27" s="76" t="str">
        <f t="shared" si="1"/>
        <v/>
      </c>
      <c r="S27" s="76" t="str">
        <f t="shared" si="5"/>
        <v/>
      </c>
      <c r="T27" s="76" t="str">
        <f t="shared" si="6"/>
        <v>-- 行為点数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milscm_2023_009.sny_202310_base_mart_shinryou_koui.koi_tensu IS '行為点数';</v>
      </c>
    </row>
    <row r="28" spans="1:45" s="25" customFormat="1">
      <c r="A28" s="4"/>
      <c r="B28" s="21">
        <f t="shared" si="2"/>
        <v>16</v>
      </c>
      <c r="C28" s="13" t="s">
        <v>1769</v>
      </c>
      <c r="D28" s="13" t="s">
        <v>227</v>
      </c>
      <c r="E28" s="7"/>
      <c r="F28" s="7" t="s">
        <v>1748</v>
      </c>
      <c r="G28" s="7" t="str">
        <f t="shared" si="3"/>
        <v>numeric</v>
      </c>
      <c r="H28" s="58"/>
      <c r="I28" s="23"/>
      <c r="J28" s="24" t="s">
        <v>1772</v>
      </c>
      <c r="M28" s="4"/>
      <c r="N28" s="76"/>
      <c r="O28" s="76"/>
      <c r="P28" s="76" t="str">
        <f t="shared" si="4"/>
        <v>,koi_yakuzai</v>
      </c>
      <c r="Q28" s="76" t="str">
        <f t="shared" si="0"/>
        <v>NUMERIC</v>
      </c>
      <c r="R28" s="76" t="str">
        <f t="shared" si="1"/>
        <v/>
      </c>
      <c r="S28" s="76" t="str">
        <f t="shared" si="5"/>
        <v/>
      </c>
      <c r="T28" s="76" t="str">
        <f t="shared" si="6"/>
        <v>-- 行為薬剤料</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milscm_2023_009.sny_202310_base_mart_shinryou_koui.koi_yakuzai IS '行為薬剤料';</v>
      </c>
    </row>
    <row r="29" spans="1:45" s="25" customFormat="1">
      <c r="A29" s="4"/>
      <c r="B29" s="21">
        <f t="shared" si="2"/>
        <v>17</v>
      </c>
      <c r="C29" s="13" t="s">
        <v>1770</v>
      </c>
      <c r="D29" s="13" t="s">
        <v>229</v>
      </c>
      <c r="E29" s="7"/>
      <c r="F29" s="7" t="s">
        <v>1748</v>
      </c>
      <c r="G29" s="7" t="str">
        <f t="shared" si="3"/>
        <v>numeric</v>
      </c>
      <c r="H29" s="58"/>
      <c r="I29" s="23"/>
      <c r="J29" s="24" t="s">
        <v>1772</v>
      </c>
      <c r="M29" s="4"/>
      <c r="N29" s="76"/>
      <c r="O29" s="76"/>
      <c r="P29" s="76" t="str">
        <f t="shared" si="4"/>
        <v>,koi_zairyo</v>
      </c>
      <c r="Q29" s="76" t="str">
        <f t="shared" si="0"/>
        <v>NUMERIC</v>
      </c>
      <c r="R29" s="76" t="str">
        <f t="shared" si="1"/>
        <v/>
      </c>
      <c r="S29" s="76" t="str">
        <f t="shared" si="5"/>
        <v/>
      </c>
      <c r="T29" s="76" t="str">
        <f t="shared" si="6"/>
        <v>-- 行為材料料</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6"/>
      <c r="O30" s="76"/>
      <c r="P30" s="76" t="str">
        <f t="shared" si="4"/>
        <v>,koi_times</v>
      </c>
      <c r="Q30" s="76" t="str">
        <f t="shared" si="0"/>
        <v>NUMERIC</v>
      </c>
      <c r="R30" s="76" t="str">
        <f t="shared" si="1"/>
        <v/>
      </c>
      <c r="S30" s="76" t="str">
        <f t="shared" si="5"/>
        <v/>
      </c>
      <c r="T30" s="76" t="str">
        <f t="shared" si="6"/>
        <v>-- 行為回数</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milscm_2023_009.sny_202310_base_mart_shinryou_koui.koi_times IS '行為回数';</v>
      </c>
    </row>
    <row r="31" spans="1:45" s="25" customFormat="1">
      <c r="A31" s="4"/>
      <c r="B31" s="21">
        <f t="shared" si="2"/>
        <v>19</v>
      </c>
      <c r="C31" s="13" t="s">
        <v>1754</v>
      </c>
      <c r="D31" s="13" t="s">
        <v>233</v>
      </c>
      <c r="E31" s="7"/>
      <c r="F31" s="7" t="s">
        <v>1741</v>
      </c>
      <c r="G31" s="7" t="str">
        <f t="shared" si="3"/>
        <v>text</v>
      </c>
      <c r="H31" s="58"/>
      <c r="I31" s="23"/>
      <c r="J31" s="24" t="s">
        <v>1772</v>
      </c>
      <c r="M31" s="4"/>
      <c r="N31" s="76"/>
      <c r="O31" s="76"/>
      <c r="P31" s="76" t="str">
        <f t="shared" si="4"/>
        <v>,receipt_type_code</v>
      </c>
      <c r="Q31" s="76" t="str">
        <f t="shared" si="0"/>
        <v>TEXT</v>
      </c>
      <c r="R31" s="76" t="str">
        <f t="shared" si="1"/>
        <v/>
      </c>
      <c r="S31" s="76" t="str">
        <f t="shared" si="5"/>
        <v/>
      </c>
      <c r="T31" s="76" t="str">
        <f t="shared" si="6"/>
        <v>-- レセプト種別コード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6"/>
      <c r="O32" s="76"/>
      <c r="P32" s="76" t="str">
        <f t="shared" si="4"/>
        <v>,jisshi_ymd</v>
      </c>
      <c r="Q32" s="76" t="str">
        <f t="shared" si="0"/>
        <v>TEXT</v>
      </c>
      <c r="R32" s="76" t="str">
        <f t="shared" si="1"/>
        <v/>
      </c>
      <c r="S32" s="76" t="str">
        <f t="shared" si="5"/>
        <v>NOT NULL</v>
      </c>
      <c r="T32" s="76" t="str">
        <f t="shared" si="6"/>
        <v>-- 実施年月日</v>
      </c>
      <c r="U32" s="4"/>
      <c r="AA32" s="4"/>
      <c r="AB32" s="4"/>
      <c r="AC32" s="4"/>
      <c r="AD32" s="4"/>
      <c r="AE32" s="4"/>
      <c r="AF32" s="4"/>
      <c r="AG32" s="4"/>
      <c r="AH32" s="4"/>
      <c r="AI32" s="4"/>
      <c r="AJ32" s="76" t="str">
        <f>IF(E32="○",IF(COUNTA(E$13:E32)=1,"",",")&amp;D32,"")</f>
        <v>,jisshi_ymd</v>
      </c>
      <c r="AK32" s="4"/>
      <c r="AL32" s="4"/>
      <c r="AM32" s="4"/>
      <c r="AN32" s="4"/>
      <c r="AO32" s="4"/>
      <c r="AP32" s="4"/>
      <c r="AQ32" s="4"/>
      <c r="AR32" s="4"/>
      <c r="AS32" s="76" t="str">
        <f>"COMMENT ON COLUMN "&amp;エンティティ一覧!$O$2&amp;"."&amp;D$8&amp;"."&amp;D32&amp;" IS '"&amp;C32&amp;"';"</f>
        <v>COMMENT ON COLUMN milscm_2023_009.sny_202310_base_mart_shinryou_koui.jisshi_ymd IS '実施年月日';</v>
      </c>
    </row>
    <row r="33" spans="1:52" s="25" customFormat="1">
      <c r="A33" s="4"/>
      <c r="B33" s="21">
        <f t="shared" si="2"/>
        <v>21</v>
      </c>
      <c r="C33" s="13" t="s">
        <v>1756</v>
      </c>
      <c r="D33" s="13" t="s">
        <v>235</v>
      </c>
      <c r="E33" s="7"/>
      <c r="F33" s="7" t="s">
        <v>1741</v>
      </c>
      <c r="G33" s="7" t="str">
        <f t="shared" si="3"/>
        <v>text</v>
      </c>
      <c r="H33" s="58"/>
      <c r="I33" s="23"/>
      <c r="J33" s="24" t="s">
        <v>1772</v>
      </c>
      <c r="M33" s="4"/>
      <c r="N33" s="76"/>
      <c r="O33" s="76"/>
      <c r="P33" s="76" t="str">
        <f t="shared" si="4"/>
        <v>,receipt_ka_kubun</v>
      </c>
      <c r="Q33" s="76" t="str">
        <f t="shared" si="0"/>
        <v>TEXT</v>
      </c>
      <c r="R33" s="76" t="str">
        <f t="shared" si="1"/>
        <v/>
      </c>
      <c r="S33" s="76" t="str">
        <f t="shared" si="5"/>
        <v/>
      </c>
      <c r="T33" s="76" t="str">
        <f t="shared" si="6"/>
        <v>-- レセプト科区分</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6"/>
      <c r="O34" s="76"/>
      <c r="P34" s="76" t="str">
        <f t="shared" si="4"/>
        <v>,department_kubun</v>
      </c>
      <c r="Q34" s="76" t="str">
        <f t="shared" si="0"/>
        <v>TEXT</v>
      </c>
      <c r="R34" s="76" t="str">
        <f t="shared" si="1"/>
        <v/>
      </c>
      <c r="S34" s="76" t="str">
        <f t="shared" si="5"/>
        <v/>
      </c>
      <c r="T34" s="76" t="str">
        <f t="shared" si="6"/>
        <v>-- 診療科区分</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milscm_2023_009.sny_202310_base_mart_shinryou_koui.department_kubun IS '診療科区分';</v>
      </c>
    </row>
    <row r="35" spans="1:52" s="25" customFormat="1" ht="34.799999999999997">
      <c r="A35" s="4"/>
      <c r="B35" s="21">
        <f t="shared" si="2"/>
        <v>23</v>
      </c>
      <c r="C35" s="13" t="s">
        <v>1757</v>
      </c>
      <c r="D35" s="13" t="s">
        <v>243</v>
      </c>
      <c r="E35" s="7"/>
      <c r="F35" s="7" t="s">
        <v>1741</v>
      </c>
      <c r="G35" s="7" t="str">
        <f t="shared" si="3"/>
        <v>text</v>
      </c>
      <c r="H35" s="58"/>
      <c r="I35" s="23"/>
      <c r="J35" s="24" t="s">
        <v>1764</v>
      </c>
      <c r="M35" s="4"/>
      <c r="N35" s="76"/>
      <c r="O35" s="76"/>
      <c r="P35" s="76" t="str">
        <f t="shared" si="4"/>
        <v>,nyugai_kubun</v>
      </c>
      <c r="Q35" s="76" t="str">
        <f t="shared" si="0"/>
        <v>TEXT</v>
      </c>
      <c r="R35" s="76" t="str">
        <f t="shared" si="1"/>
        <v/>
      </c>
      <c r="S35" s="76" t="str">
        <f t="shared" si="5"/>
        <v/>
      </c>
      <c r="T35" s="76" t="str">
        <f t="shared" si="6"/>
        <v>-- 入外区分</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milscm_2023_009.sny_202310_base_mart_shinryou_koui.nyugai_kubun IS '入外区分';</v>
      </c>
    </row>
    <row r="36" spans="1:52" s="25" customFormat="1" ht="18" thickBot="1">
      <c r="A36" s="4"/>
      <c r="B36" s="27">
        <f>ROW()-12</f>
        <v>24</v>
      </c>
      <c r="C36" s="57" t="s">
        <v>1758</v>
      </c>
      <c r="D36" s="57" t="s">
        <v>1759</v>
      </c>
      <c r="E36" s="56" t="s">
        <v>127</v>
      </c>
      <c r="F36" s="56" t="s">
        <v>204</v>
      </c>
      <c r="G36" s="56" t="str">
        <f t="shared" si="3"/>
        <v>integer</v>
      </c>
      <c r="H36" s="59"/>
      <c r="I36" s="60"/>
      <c r="J36" s="64" t="s">
        <v>1765</v>
      </c>
      <c r="N36" s="76"/>
      <c r="O36" s="76"/>
      <c r="P36" s="76" t="str">
        <f t="shared" si="4"/>
        <v>,seq_no</v>
      </c>
      <c r="Q36" s="76" t="str">
        <f t="shared" si="0"/>
        <v>INTEGER</v>
      </c>
      <c r="R36" s="76" t="str">
        <f t="shared" si="1"/>
        <v/>
      </c>
      <c r="S36" s="76" t="str">
        <f t="shared" si="5"/>
        <v/>
      </c>
      <c r="T36" s="76" t="str">
        <f t="shared" si="6"/>
        <v>-- シーケンス番号</v>
      </c>
      <c r="U36" s="4"/>
      <c r="AA36" s="4"/>
      <c r="AB36" s="4"/>
      <c r="AC36" s="4"/>
      <c r="AD36" s="4"/>
      <c r="AE36" s="4"/>
      <c r="AF36" s="4"/>
      <c r="AG36" s="4"/>
      <c r="AH36" s="4"/>
      <c r="AI36" s="4"/>
      <c r="AJ36" s="76" t="str">
        <f>IF(E36="○",IF(COUNTA(E$13:E36)=1,"",",")&amp;D36,"")</f>
        <v>,seq_no</v>
      </c>
      <c r="AK36" s="4"/>
      <c r="AL36" s="4"/>
      <c r="AM36" s="4"/>
      <c r="AN36" s="4"/>
      <c r="AO36" s="4"/>
      <c r="AP36" s="4"/>
      <c r="AQ36" s="4"/>
      <c r="AR36" s="4"/>
      <c r="AS36" s="76" t="str">
        <f>"COMMENT ON COLUMN "&amp;エンティティ一覧!$O$2&amp;"."&amp;D$8&amp;"."&amp;D36&amp;" IS '"&amp;C36&amp;"';"</f>
        <v>COMMENT ON COLUMN milscm_2023_009.sny_202310_base_mart_shinryou_koui.seq_no IS 'シーケンス番号';</v>
      </c>
    </row>
    <row r="37" spans="1:52">
      <c r="L37" s="25"/>
      <c r="M37" s="25"/>
      <c r="N37" s="76" t="s">
        <v>142</v>
      </c>
      <c r="O37" s="76"/>
      <c r="P37" s="76"/>
      <c r="Q37" s="76"/>
      <c r="R37" s="76"/>
      <c r="S37" s="76"/>
      <c r="T37" s="76"/>
      <c r="V37" s="25"/>
      <c r="W37" s="25"/>
      <c r="X37" s="25"/>
      <c r="Y37" s="25"/>
      <c r="Z37" s="25"/>
      <c r="AJ37" s="76"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ENT_31_A1-06</v>
      </c>
      <c r="E6" s="234"/>
      <c r="F6" s="234"/>
      <c r="G6" s="234"/>
      <c r="H6" s="234"/>
      <c r="I6" s="234"/>
      <c r="J6" s="235"/>
    </row>
    <row r="7" spans="1:45">
      <c r="B7" s="223" t="s">
        <v>115</v>
      </c>
      <c r="C7" s="224"/>
      <c r="D7" s="225" t="s">
        <v>3697</v>
      </c>
      <c r="E7" s="226"/>
      <c r="F7" s="226"/>
      <c r="G7" s="226"/>
      <c r="H7" s="226"/>
      <c r="I7" s="226"/>
      <c r="J7" s="227"/>
    </row>
    <row r="8" spans="1:45">
      <c r="B8" s="223" t="s">
        <v>116</v>
      </c>
      <c r="C8" s="224"/>
      <c r="D8" s="225" t="str">
        <f>エンティティ一覧!AE2&amp;"_"&amp;D5&amp;"_mart_nyu_tai_in"</f>
        <v>sny_202310_base_mart_nyu_tai_in</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バックアップ_入院退院データテーブルから対象患者で絞り込んだ結果を格納するテーブル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milscm_2023_009.sny_202310_base_mart_nyu_tai_in;</v>
      </c>
      <c r="O10" s="76"/>
      <c r="P10" s="76"/>
      <c r="Q10" s="76"/>
      <c r="R10" s="76"/>
      <c r="S10" s="76"/>
      <c r="T10" s="76"/>
      <c r="AJ10" s="76" t="str">
        <f>"ALTER TABLE ONLY "&amp;エンティティ一覧!$O$2&amp;"."&amp;D$8</f>
        <v>ALTER TABLE ONLY milscm_2023_009.sny_202310_base_mart_nyu_tai_in</v>
      </c>
      <c r="AS10" s="76" t="str">
        <f>"ALTER TABLE "&amp;エンティティ一覧!$O$2&amp;"."&amp;D$8&amp;" OWNER TO pgmisgrp1;"</f>
        <v>ALTER TABLE milscm_2023_009.sny_202310_base_mart_nyu_tai_in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milscm_2023_009.sny_202310_base_mart_nyu_tai_in</v>
      </c>
      <c r="O11" s="76"/>
      <c r="P11" s="76"/>
      <c r="Q11" s="76"/>
      <c r="R11" s="76"/>
      <c r="S11" s="76"/>
      <c r="T11" s="76"/>
      <c r="AJ11" s="76" t="str">
        <f>"ADD CONSTRAINT "&amp;D$8&amp;"_pkey PRIMARY KEY"</f>
        <v>ADD CONSTRAINT sny_202310_base_mart_nyu_tai_in_pkey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milscm_2023_009.sny_202310_base_mart_nyu_tai_in IS 'ベース_入院退院データ';</v>
      </c>
    </row>
    <row r="13" spans="1:45" s="25" customFormat="1">
      <c r="A13" s="4"/>
      <c r="B13" s="21">
        <f>ROW()-12</f>
        <v>1</v>
      </c>
      <c r="C13" s="6" t="s">
        <v>1740</v>
      </c>
      <c r="D13" s="6" t="s">
        <v>210</v>
      </c>
      <c r="E13" s="8" t="s">
        <v>127</v>
      </c>
      <c r="F13" s="8" t="s">
        <v>1741</v>
      </c>
      <c r="G13" s="7" t="str">
        <f>IF(F13="フラグ","boolean",IF(F13="文字列","text",IF(F13="整数","integer",IF(F13="実数","numeric",""))))</f>
        <v>text</v>
      </c>
      <c r="H13" s="9"/>
      <c r="I13" s="10" t="s">
        <v>127</v>
      </c>
      <c r="J13" s="11" t="s">
        <v>1819</v>
      </c>
      <c r="M13" s="4"/>
      <c r="N13" s="76"/>
      <c r="O13" s="76"/>
      <c r="P13" s="76" t="str">
        <f>IF(B13&lt;&gt;1,","&amp;D13,D13)</f>
        <v>shikibetsu_no</v>
      </c>
      <c r="Q13" s="76" t="str">
        <f t="shared" ref="Q13:Q19" si="0">UPPER(G13)</f>
        <v>TEXT</v>
      </c>
      <c r="R13" s="76" t="str">
        <f t="shared" ref="R13:R19" si="1">IF(H13&lt;&gt;"","default "&amp;IF(G13="text","'"&amp;H13&amp;"'",H13),"")</f>
        <v/>
      </c>
      <c r="S13" s="76" t="str">
        <f>IF(I13="○","NOT NULL","")</f>
        <v>NOT NULL</v>
      </c>
      <c r="T13" s="76" t="str">
        <f>"-- "&amp;C13</f>
        <v>-- データ識別番号</v>
      </c>
      <c r="U13" s="4"/>
      <c r="AA13" s="4"/>
      <c r="AB13" s="4"/>
      <c r="AC13" s="4"/>
      <c r="AD13" s="4"/>
      <c r="AE13" s="4"/>
      <c r="AF13" s="4"/>
      <c r="AG13" s="4"/>
      <c r="AH13" s="4"/>
      <c r="AI13" s="4"/>
      <c r="AJ13" s="76" t="str">
        <f>IF(E13="○",IF(COUNTA(E$13:E13)=1,"",",")&amp;D13,"")</f>
        <v>shikibetsu_no</v>
      </c>
      <c r="AK13" s="4"/>
      <c r="AL13" s="4"/>
      <c r="AM13" s="4"/>
      <c r="AN13" s="4"/>
      <c r="AO13" s="4"/>
      <c r="AP13" s="4"/>
      <c r="AQ13" s="4"/>
      <c r="AR13" s="4"/>
      <c r="AS13" s="76" t="str">
        <f>"COMMENT ON COLUMN "&amp;エンティティ一覧!$O$2&amp;"."&amp;D$8&amp;"."&amp;D13&amp;" IS '"&amp;C13&amp;"';"</f>
        <v>COMMENT ON COLUMN milscm_2023_009.sny_202310_base_mart_nyu_tai_in.shikibetsu_no IS 'データ識別番号';</v>
      </c>
    </row>
    <row r="14" spans="1:45" s="25" customFormat="1">
      <c r="A14" s="4"/>
      <c r="B14" s="21">
        <f t="shared" ref="B14:B18" si="2">ROW()-12</f>
        <v>2</v>
      </c>
      <c r="C14" s="6" t="s">
        <v>137</v>
      </c>
      <c r="D14" s="6" t="s">
        <v>128</v>
      </c>
      <c r="E14" s="8" t="s">
        <v>127</v>
      </c>
      <c r="F14" s="7" t="s">
        <v>737</v>
      </c>
      <c r="G14" s="7" t="str">
        <f t="shared" ref="G14:G19" si="3">IF(F14="フラグ","boolean",IF(F14="文字列","text",IF(F14="整数","integer",IF(F14="実数","numeric",""))))</f>
        <v>text</v>
      </c>
      <c r="H14" s="26"/>
      <c r="I14" s="10" t="s">
        <v>127</v>
      </c>
      <c r="J14" s="11" t="s">
        <v>1819</v>
      </c>
      <c r="M14" s="4"/>
      <c r="N14" s="76"/>
      <c r="O14" s="76"/>
      <c r="P14" s="76" t="str">
        <f t="shared" ref="P14:P19" si="4">IF(B14&lt;&gt;1,","&amp;D14,D14)</f>
        <v>,facility_id</v>
      </c>
      <c r="Q14" s="76" t="str">
        <f t="shared" si="0"/>
        <v>TEXT</v>
      </c>
      <c r="R14" s="76" t="str">
        <f t="shared" si="1"/>
        <v/>
      </c>
      <c r="S14" s="76" t="str">
        <f t="shared" ref="S14:S17" si="5">IF(I14="○","NOT NULL","")</f>
        <v>NOT NULL</v>
      </c>
      <c r="T14" s="76" t="str">
        <f t="shared" ref="T14:T17" si="6">"-- "&amp;C14</f>
        <v>-- 施設ID</v>
      </c>
      <c r="U14" s="4"/>
      <c r="AA14" s="4"/>
      <c r="AB14" s="4"/>
      <c r="AC14" s="4"/>
      <c r="AD14" s="4"/>
      <c r="AE14" s="4"/>
      <c r="AF14" s="4"/>
      <c r="AG14" s="4"/>
      <c r="AH14" s="4"/>
      <c r="AI14" s="4"/>
      <c r="AJ14" s="76" t="str">
        <f>IF(E14="○",IF(COUNTA(E$13:E14)=1,"",",")&amp;D14,"")</f>
        <v>,facility_id</v>
      </c>
      <c r="AK14" s="4"/>
      <c r="AL14" s="4"/>
      <c r="AM14" s="4"/>
      <c r="AN14" s="4"/>
      <c r="AO14" s="4"/>
      <c r="AP14" s="4"/>
      <c r="AQ14" s="4"/>
      <c r="AR14" s="4"/>
      <c r="AS14" s="76" t="str">
        <f>"COMMENT ON COLUMN "&amp;エンティティ一覧!$O$2&amp;"."&amp;D$8&amp;"."&amp;D14&amp;" IS '"&amp;C14&amp;"';"</f>
        <v>COMMENT ON COLUMN milscm_2023_009.sny_202310_base_mart_nyu_tai_in.facility_id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6"/>
      <c r="O15" s="76"/>
      <c r="P15" s="76" t="str">
        <f t="shared" si="4"/>
        <v>,nyuin_ym</v>
      </c>
      <c r="Q15" s="76" t="str">
        <f t="shared" si="0"/>
        <v>TEXT</v>
      </c>
      <c r="R15" s="76" t="str">
        <f t="shared" si="1"/>
        <v/>
      </c>
      <c r="S15" s="76" t="str">
        <f t="shared" si="5"/>
        <v>NOT NULL</v>
      </c>
      <c r="T15" s="76" t="str">
        <f t="shared" si="6"/>
        <v>-- 入院年月</v>
      </c>
      <c r="U15" s="4"/>
      <c r="AA15" s="4"/>
      <c r="AB15" s="4"/>
      <c r="AC15" s="4"/>
      <c r="AD15" s="4"/>
      <c r="AE15" s="4"/>
      <c r="AF15" s="4"/>
      <c r="AG15" s="4"/>
      <c r="AH15" s="4"/>
      <c r="AI15" s="4"/>
      <c r="AJ15" s="76" t="str">
        <f>IF(E15="○",IF(COUNTA(E$13:E15)=1,"",",")&amp;D15,"")</f>
        <v/>
      </c>
      <c r="AK15" s="4"/>
      <c r="AL15" s="4"/>
      <c r="AM15" s="4"/>
      <c r="AN15" s="4"/>
      <c r="AO15" s="4"/>
      <c r="AP15" s="4"/>
      <c r="AQ15" s="4"/>
      <c r="AR15" s="4"/>
      <c r="AS15" s="76" t="str">
        <f>"COMMENT ON COLUMN "&amp;エンティティ一覧!$O$2&amp;"."&amp;D$8&amp;"."&amp;D15&amp;" IS '"&amp;C15&amp;"';"</f>
        <v>COMMENT ON COLUMN milscm_2023_009.sny_202310_base_mart_nyu_tai_in.nyuin_ym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6"/>
      <c r="O16" s="76"/>
      <c r="P16" s="76" t="str">
        <f t="shared" si="4"/>
        <v>,taiin_ym</v>
      </c>
      <c r="Q16" s="76" t="str">
        <f t="shared" si="0"/>
        <v>TEXT</v>
      </c>
      <c r="R16" s="76" t="str">
        <f t="shared" si="1"/>
        <v/>
      </c>
      <c r="S16" s="76" t="str">
        <f t="shared" si="5"/>
        <v>NOT NULL</v>
      </c>
      <c r="T16" s="76" t="str">
        <f t="shared" si="6"/>
        <v>-- 退院年月</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6"/>
      <c r="O17" s="76"/>
      <c r="P17" s="76" t="str">
        <f t="shared" si="4"/>
        <v>,nyuin_ymd</v>
      </c>
      <c r="Q17" s="76" t="str">
        <f t="shared" si="0"/>
        <v>TEXT</v>
      </c>
      <c r="R17" s="76" t="str">
        <f t="shared" si="1"/>
        <v/>
      </c>
      <c r="S17" s="76" t="str">
        <f t="shared" si="5"/>
        <v>NOT NULL</v>
      </c>
      <c r="T17" s="76" t="str">
        <f t="shared" si="6"/>
        <v>-- 入院年月日</v>
      </c>
      <c r="U17" s="4"/>
      <c r="AA17" s="4"/>
      <c r="AB17" s="4"/>
      <c r="AC17" s="4"/>
      <c r="AD17" s="4"/>
      <c r="AE17" s="4"/>
      <c r="AF17" s="4"/>
      <c r="AG17" s="4"/>
      <c r="AH17" s="4"/>
      <c r="AI17" s="4"/>
      <c r="AJ17" s="76" t="str">
        <f>IF(E17="○",IF(COUNTA(E$13:E17)=1,"",",")&amp;D17,"")</f>
        <v>,nyuin_ymd</v>
      </c>
      <c r="AK17" s="4"/>
      <c r="AL17" s="4"/>
      <c r="AM17" s="4"/>
      <c r="AN17" s="4"/>
      <c r="AO17" s="4"/>
      <c r="AP17" s="4"/>
      <c r="AQ17" s="4"/>
      <c r="AR17" s="4"/>
      <c r="AS17" s="76" t="str">
        <f>"COMMENT ON COLUMN "&amp;エンティティ一覧!$O$2&amp;"."&amp;D$8&amp;"."&amp;D17&amp;" IS '"&amp;C17&amp;"';"</f>
        <v>COMMENT ON COLUMN milscm_2023_009.sny_202310_base_mart_nyu_tai_in.nyuin_ymd IS '入院年月日';</v>
      </c>
    </row>
    <row r="18" spans="1:52" s="25" customFormat="1">
      <c r="A18" s="4"/>
      <c r="B18" s="21">
        <f t="shared" si="2"/>
        <v>6</v>
      </c>
      <c r="C18" s="6" t="s">
        <v>1816</v>
      </c>
      <c r="D18" s="6" t="s">
        <v>212</v>
      </c>
      <c r="E18" s="8" t="s">
        <v>127</v>
      </c>
      <c r="F18" s="7" t="s">
        <v>1741</v>
      </c>
      <c r="G18" s="7" t="str">
        <f t="shared" si="3"/>
        <v>text</v>
      </c>
      <c r="H18" s="26"/>
      <c r="I18" s="10" t="s">
        <v>127</v>
      </c>
      <c r="J18" s="11" t="s">
        <v>1819</v>
      </c>
      <c r="M18" s="4"/>
      <c r="N18" s="76"/>
      <c r="O18" s="76"/>
      <c r="P18" s="76" t="str">
        <f t="shared" si="4"/>
        <v>,taiin_ymd</v>
      </c>
      <c r="Q18" s="76" t="str">
        <f t="shared" si="0"/>
        <v>TEXT</v>
      </c>
      <c r="R18" s="76" t="str">
        <f t="shared" si="1"/>
        <v/>
      </c>
      <c r="S18" s="76" t="str">
        <f>IF(I18="○","NOT NULL","")</f>
        <v>NOT NULL</v>
      </c>
      <c r="T18" s="76" t="str">
        <f>"-- "&amp;C18</f>
        <v>-- 退院年月日</v>
      </c>
      <c r="U18" s="4"/>
      <c r="AA18" s="4"/>
      <c r="AB18" s="4"/>
      <c r="AC18" s="4"/>
      <c r="AD18" s="4"/>
      <c r="AE18" s="4"/>
      <c r="AF18" s="4"/>
      <c r="AG18" s="4"/>
      <c r="AH18" s="4"/>
      <c r="AI18" s="4"/>
      <c r="AJ18" s="76" t="str">
        <f>IF(E18="○",IF(COUNTA(E$13:E18)=1,"",",")&amp;D18,"")</f>
        <v>,taiin_ymd</v>
      </c>
      <c r="AK18" s="4"/>
      <c r="AL18" s="4"/>
      <c r="AM18" s="4"/>
      <c r="AN18" s="4"/>
      <c r="AO18" s="4"/>
      <c r="AP18" s="4"/>
      <c r="AQ18" s="4"/>
      <c r="AR18" s="4"/>
      <c r="AS18" s="76" t="str">
        <f>"COMMENT ON COLUMN "&amp;エンティティ一覧!$O$2&amp;"."&amp;D$8&amp;"."&amp;D18&amp;" IS '"&amp;C18&amp;"';"</f>
        <v>COMMENT ON COLUMN milscm_2023_009.sny_202310_base_mart_nyu_tai_in.taiin_ymd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4" t="s">
        <v>1822</v>
      </c>
      <c r="N19" s="76"/>
      <c r="O19" s="76"/>
      <c r="P19" s="76" t="str">
        <f t="shared" si="4"/>
        <v>,nyuinchu_flg</v>
      </c>
      <c r="Q19" s="76" t="str">
        <f t="shared" si="0"/>
        <v>TEXT</v>
      </c>
      <c r="R19" s="76" t="str">
        <f t="shared" si="1"/>
        <v/>
      </c>
      <c r="S19" s="76" t="str">
        <f t="shared" ref="S19" si="7">IF(I19="○","NOT NULL","")</f>
        <v>NOT NULL</v>
      </c>
      <c r="T19" s="76" t="str">
        <f t="shared" ref="T19" si="8">"-- "&amp;C19</f>
        <v>-- 入院中F</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milscm_2023_009.sny_202310_base_mart_nyu_tai_in.nyuinchu_flg IS '入院中F';</v>
      </c>
    </row>
    <row r="20" spans="1:52">
      <c r="L20" s="25"/>
      <c r="M20" s="25"/>
      <c r="N20" s="76" t="s">
        <v>142</v>
      </c>
      <c r="O20" s="76"/>
      <c r="P20" s="76"/>
      <c r="Q20" s="76"/>
      <c r="R20" s="76"/>
      <c r="S20" s="76"/>
      <c r="T20" s="76"/>
      <c r="V20" s="25"/>
      <c r="W20" s="25"/>
      <c r="X20" s="25"/>
      <c r="Y20" s="25"/>
      <c r="Z20" s="25"/>
      <c r="AJ20" s="76"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ENT_31_A1-14</v>
      </c>
      <c r="E6" s="234"/>
      <c r="F6" s="234"/>
      <c r="G6" s="234"/>
      <c r="H6" s="234"/>
      <c r="I6" s="234"/>
      <c r="J6" s="235"/>
    </row>
    <row r="7" spans="1:45">
      <c r="B7" s="223" t="s">
        <v>115</v>
      </c>
      <c r="C7" s="224"/>
      <c r="D7" s="225" t="s">
        <v>3698</v>
      </c>
      <c r="E7" s="226"/>
      <c r="F7" s="226"/>
      <c r="G7" s="226"/>
      <c r="H7" s="226"/>
      <c r="I7" s="226"/>
      <c r="J7" s="227"/>
    </row>
    <row r="8" spans="1:45">
      <c r="B8" s="223" t="s">
        <v>116</v>
      </c>
      <c r="C8" s="224"/>
      <c r="D8" s="225" t="str">
        <f>エンティティ一覧!AE2&amp;"_"&amp;D5&amp;"_mart_patient_basic"</f>
        <v>sny_202310_base_mart_patient_basic</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バックアップ_患者基本データテーブルから対象患者で絞り込んだ結果を格納するテーブル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milscm_2023_009.sny_202310_base_mart_patient_basic;</v>
      </c>
      <c r="O10" s="76"/>
      <c r="P10" s="76"/>
      <c r="Q10" s="76"/>
      <c r="R10" s="76"/>
      <c r="S10" s="76"/>
      <c r="T10" s="76"/>
      <c r="AJ10" s="76" t="str">
        <f>"ALTER TABLE ONLY "&amp;エンティティ一覧!$O$2&amp;"."&amp;D$8</f>
        <v>ALTER TABLE ONLY milscm_2023_009.sny_202310_base_mart_patient_basic</v>
      </c>
      <c r="AS10" s="76" t="str">
        <f>"ALTER TABLE "&amp;エンティティ一覧!$O$2&amp;"."&amp;D$8&amp;" OWNER TO pgmisgrp1;"</f>
        <v>ALTER TABLE milscm_2023_009.sny_202310_base_mart_patient_basic OWNER TO pgmisgrp1;</v>
      </c>
    </row>
    <row r="11" spans="1:45" ht="18" thickBot="1">
      <c r="B11" s="20" t="s">
        <v>118</v>
      </c>
      <c r="C11" s="19"/>
      <c r="D11" s="5"/>
      <c r="E11" s="5"/>
      <c r="F11" s="5"/>
      <c r="G11" s="5"/>
      <c r="H11" s="5"/>
      <c r="I11" s="5"/>
      <c r="J11" s="18"/>
      <c r="N11" s="76" t="str">
        <f>"CREATE TABLE  "&amp;エンティティ一覧!$O$2&amp;"."&amp;D$8</f>
        <v>CREATE TABLE  milscm_2023_009.sny_202310_base_mart_patient_basic</v>
      </c>
      <c r="O11" s="76"/>
      <c r="P11" s="76"/>
      <c r="Q11" s="76"/>
      <c r="R11" s="76"/>
      <c r="S11" s="76"/>
      <c r="T11" s="76"/>
      <c r="AJ11" s="76" t="str">
        <f>"ADD CONSTRAINT "&amp;D$8&amp;"_pkey PRIMARY KEY"</f>
        <v>ADD CONSTRAINT sny_202310_base_mart_patient_basic_pkey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6"/>
      <c r="O13" s="76"/>
      <c r="P13" s="76" t="str">
        <f>IF(B13&lt;&gt;1,","&amp;D13,D13)</f>
        <v>facility_id</v>
      </c>
      <c r="Q13" s="76" t="str">
        <f t="shared" ref="Q13:Q21" si="0">UPPER(G13)</f>
        <v>TEXT</v>
      </c>
      <c r="R13" s="76" t="str">
        <f t="shared" ref="R13:R21" si="1">IF(H13&lt;&gt;"","default "&amp;IF(G13="text","'"&amp;H13&amp;"'",H13),"")</f>
        <v/>
      </c>
      <c r="S13" s="76" t="str">
        <f>IF(I13="○","NOT NULL","")</f>
        <v>NOT NULL</v>
      </c>
      <c r="T13" s="76" t="str">
        <f>"-- "&amp;C13</f>
        <v>-- 施設ID</v>
      </c>
      <c r="U13" s="4"/>
      <c r="AA13" s="4"/>
      <c r="AB13" s="4"/>
      <c r="AC13" s="4"/>
      <c r="AD13" s="4"/>
      <c r="AE13" s="4"/>
      <c r="AF13" s="4"/>
      <c r="AG13" s="4"/>
      <c r="AH13" s="4"/>
      <c r="AI13" s="4"/>
      <c r="AJ13" s="76" t="str">
        <f>IF(E13="○",IF(COUNTA(E$13:E13)=1,"",",")&amp;D13,"")</f>
        <v>facility_id</v>
      </c>
      <c r="AK13" s="4"/>
      <c r="AL13" s="4"/>
      <c r="AM13" s="4"/>
      <c r="AN13" s="4"/>
      <c r="AO13" s="4"/>
      <c r="AP13" s="4"/>
      <c r="AQ13" s="4"/>
      <c r="AR13" s="4"/>
      <c r="AS13" s="76" t="str">
        <f>"COMMENT ON COLUMN "&amp;エンティティ一覧!$O$2&amp;"."&amp;D$8&amp;"."&amp;D13&amp;" IS '"&amp;C13&amp;"';"</f>
        <v>COMMENT ON COLUMN milscm_2023_009.sny_202310_base_mart_patient_basic.facility_id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6"/>
      <c r="O14" s="76"/>
      <c r="P14" s="76" t="str">
        <f t="shared" ref="P14:P21" si="4">IF(B14&lt;&gt;1,","&amp;D14,D14)</f>
        <v>,himoduke_id</v>
      </c>
      <c r="Q14" s="76" t="str">
        <f t="shared" si="0"/>
        <v>TEXT</v>
      </c>
      <c r="R14" s="76" t="str">
        <f t="shared" si="1"/>
        <v/>
      </c>
      <c r="S14" s="76" t="str">
        <f t="shared" ref="S14:S21" si="5">IF(I14="○","NOT NULL","")</f>
        <v>NOT NULL</v>
      </c>
      <c r="T14" s="76" t="str">
        <f t="shared" ref="T14:T21" si="6">"-- "&amp;C14</f>
        <v>-- 紐付けID</v>
      </c>
      <c r="U14" s="4"/>
      <c r="AA14" s="4"/>
      <c r="AB14" s="4"/>
      <c r="AC14" s="4"/>
      <c r="AD14" s="4"/>
      <c r="AE14" s="4"/>
      <c r="AF14" s="4"/>
      <c r="AG14" s="4"/>
      <c r="AH14" s="4"/>
      <c r="AI14" s="4"/>
      <c r="AJ14" s="76" t="str">
        <f>IF(E14="○",IF(COUNTA(E$13:E14)=1,"",",")&amp;D14,"")</f>
        <v>,himoduke_id</v>
      </c>
      <c r="AK14" s="4"/>
      <c r="AL14" s="4"/>
      <c r="AM14" s="4"/>
      <c r="AN14" s="4"/>
      <c r="AO14" s="4"/>
      <c r="AP14" s="4"/>
      <c r="AQ14" s="4"/>
      <c r="AR14" s="4"/>
      <c r="AS14" s="76" t="str">
        <f>"COMMENT ON COLUMN "&amp;エンティティ一覧!$O$2&amp;"."&amp;D$8&amp;"."&amp;D14&amp;" IS '"&amp;C14&amp;"';"</f>
        <v>COMMENT ON COLUMN milscm_2023_009.sny_202310_base_mart_patient_basic.himoduke_id IS '紐付けID';</v>
      </c>
    </row>
    <row r="15" spans="1:45" s="25" customFormat="1">
      <c r="A15" s="4"/>
      <c r="B15" s="21">
        <f t="shared" si="2"/>
        <v>3</v>
      </c>
      <c r="C15" s="6" t="s">
        <v>1824</v>
      </c>
      <c r="D15" s="6" t="s">
        <v>208</v>
      </c>
      <c r="E15" s="8" t="s">
        <v>127</v>
      </c>
      <c r="F15" s="7" t="s">
        <v>1825</v>
      </c>
      <c r="G15" s="7" t="str">
        <f t="shared" si="3"/>
        <v>text</v>
      </c>
      <c r="H15" s="26"/>
      <c r="I15" s="10" t="s">
        <v>127</v>
      </c>
      <c r="J15" s="11" t="s">
        <v>1828</v>
      </c>
      <c r="M15" s="4"/>
      <c r="N15" s="76"/>
      <c r="O15" s="76"/>
      <c r="P15" s="76" t="str">
        <f t="shared" si="4"/>
        <v>,data_type</v>
      </c>
      <c r="Q15" s="76" t="str">
        <f t="shared" si="0"/>
        <v>TEXT</v>
      </c>
      <c r="R15" s="76" t="str">
        <f t="shared" si="1"/>
        <v/>
      </c>
      <c r="S15" s="76" t="str">
        <f t="shared" si="5"/>
        <v>NOT NULL</v>
      </c>
      <c r="T15" s="76" t="str">
        <f t="shared" si="6"/>
        <v>-- データ種別</v>
      </c>
      <c r="U15" s="4"/>
      <c r="AA15" s="4"/>
      <c r="AB15" s="4"/>
      <c r="AC15" s="4"/>
      <c r="AD15" s="4"/>
      <c r="AE15" s="4"/>
      <c r="AF15" s="4"/>
      <c r="AG15" s="4"/>
      <c r="AH15" s="4"/>
      <c r="AI15" s="4"/>
      <c r="AJ15" s="76" t="str">
        <f>IF(E15="○",IF(COUNTA(E$13:E15)=1,"",",")&amp;D15,"")</f>
        <v>,data_type</v>
      </c>
      <c r="AK15" s="4"/>
      <c r="AL15" s="4"/>
      <c r="AM15" s="4"/>
      <c r="AN15" s="4"/>
      <c r="AO15" s="4"/>
      <c r="AP15" s="4"/>
      <c r="AQ15" s="4"/>
      <c r="AR15" s="4"/>
      <c r="AS15" s="76" t="str">
        <f>"COMMENT ON COLUMN "&amp;エンティティ一覧!$O$2&amp;"."&amp;D$8&amp;"."&amp;D15&amp;" IS '"&amp;C15&amp;"';"</f>
        <v>COMMENT ON COLUMN milscm_2023_009.sny_202310_base_mart_patient_basic.data_type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6"/>
      <c r="O16" s="76"/>
      <c r="P16" s="76" t="str">
        <f t="shared" si="4"/>
        <v>,shinryo_ym_min</v>
      </c>
      <c r="Q16" s="76" t="str">
        <f t="shared" si="0"/>
        <v>TEXT</v>
      </c>
      <c r="R16" s="76" t="str">
        <f t="shared" si="1"/>
        <v/>
      </c>
      <c r="S16" s="76" t="str">
        <f t="shared" si="5"/>
        <v/>
      </c>
      <c r="T16" s="76" t="str">
        <f t="shared" si="6"/>
        <v>-- 診療年月_最小</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6"/>
      <c r="O17" s="76"/>
      <c r="P17" s="76" t="str">
        <f t="shared" si="4"/>
        <v>,shinryo_ym_max</v>
      </c>
      <c r="Q17" s="76" t="str">
        <f t="shared" si="0"/>
        <v>TEXT</v>
      </c>
      <c r="R17" s="76" t="str">
        <f t="shared" si="1"/>
        <v/>
      </c>
      <c r="S17" s="76" t="str">
        <f t="shared" si="5"/>
        <v/>
      </c>
      <c r="T17" s="76" t="str">
        <f t="shared" si="6"/>
        <v>-- 診療年月_最大</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6"/>
      <c r="O18" s="76"/>
      <c r="P18" s="76" t="str">
        <f t="shared" si="4"/>
        <v>,sex_kubun</v>
      </c>
      <c r="Q18" s="76" t="str">
        <f t="shared" si="0"/>
        <v>TEXT</v>
      </c>
      <c r="R18" s="76" t="str">
        <f t="shared" si="1"/>
        <v/>
      </c>
      <c r="S18" s="76" t="str">
        <f t="shared" si="5"/>
        <v>NOT NULL</v>
      </c>
      <c r="T18" s="76" t="str">
        <f t="shared" si="6"/>
        <v>-- 男女区分</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milscm_2023_009.sny_202310_base_mart_patient_basic.sex_kubun IS '男女区分';</v>
      </c>
    </row>
    <row r="19" spans="1:52" s="25" customFormat="1" ht="52.2">
      <c r="A19" s="4"/>
      <c r="B19" s="21">
        <f t="shared" si="2"/>
        <v>7</v>
      </c>
      <c r="C19" s="6" t="s">
        <v>1836</v>
      </c>
      <c r="D19" s="6" t="s">
        <v>322</v>
      </c>
      <c r="E19" s="8"/>
      <c r="F19" s="7" t="s">
        <v>1741</v>
      </c>
      <c r="G19" s="7" t="str">
        <f t="shared" si="3"/>
        <v>text</v>
      </c>
      <c r="H19" s="26"/>
      <c r="I19" s="10" t="s">
        <v>127</v>
      </c>
      <c r="J19" s="11" t="s">
        <v>1856</v>
      </c>
      <c r="M19" s="4"/>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milscm_2023_009.sny_202310_base_mart_patient_basic.birthday IS '生年月日';</v>
      </c>
    </row>
    <row r="20" spans="1:52" s="25" customFormat="1" ht="69.599999999999994">
      <c r="A20" s="4"/>
      <c r="B20" s="21">
        <f t="shared" si="2"/>
        <v>8</v>
      </c>
      <c r="C20" s="6" t="s">
        <v>1282</v>
      </c>
      <c r="D20" s="6" t="s">
        <v>1283</v>
      </c>
      <c r="E20" s="8"/>
      <c r="F20" s="7" t="s">
        <v>317</v>
      </c>
      <c r="G20" s="7" t="str">
        <f t="shared" si="3"/>
        <v>text</v>
      </c>
      <c r="H20" s="26"/>
      <c r="I20" s="10"/>
      <c r="J20" s="11" t="s">
        <v>1857</v>
      </c>
      <c r="M20" s="4"/>
      <c r="N20" s="76"/>
      <c r="O20" s="76"/>
      <c r="P20" s="76" t="str">
        <f t="shared" si="4"/>
        <v>,death_flag</v>
      </c>
      <c r="Q20" s="76" t="str">
        <f t="shared" si="0"/>
        <v>TEXT</v>
      </c>
      <c r="R20" s="76" t="str">
        <f t="shared" si="1"/>
        <v/>
      </c>
      <c r="S20" s="76" t="str">
        <f t="shared" si="5"/>
        <v/>
      </c>
      <c r="T20" s="76" t="str">
        <f t="shared" si="6"/>
        <v>-- 死亡フラグ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milscm_2023_009.sny_202310_base_mart_patient_basic.death_flag IS '死亡フラグ';</v>
      </c>
    </row>
    <row r="21" spans="1:52" s="25" customFormat="1" ht="70.2" thickBot="1">
      <c r="A21" s="4"/>
      <c r="B21" s="27">
        <f>ROW()-12</f>
        <v>9</v>
      </c>
      <c r="C21" s="57" t="s">
        <v>1284</v>
      </c>
      <c r="D21" s="57" t="s">
        <v>1285</v>
      </c>
      <c r="E21" s="56"/>
      <c r="F21" s="56" t="s">
        <v>317</v>
      </c>
      <c r="G21" s="56" t="str">
        <f t="shared" si="3"/>
        <v>text</v>
      </c>
      <c r="H21" s="59"/>
      <c r="I21" s="60"/>
      <c r="J21" s="64" t="s">
        <v>1858</v>
      </c>
      <c r="N21" s="76"/>
      <c r="O21" s="76"/>
      <c r="P21" s="76" t="str">
        <f t="shared" si="4"/>
        <v>,death_date</v>
      </c>
      <c r="Q21" s="76" t="str">
        <f t="shared" si="0"/>
        <v>TEXT</v>
      </c>
      <c r="R21" s="76" t="str">
        <f t="shared" si="1"/>
        <v/>
      </c>
      <c r="S21" s="76" t="str">
        <f t="shared" si="5"/>
        <v/>
      </c>
      <c r="T21" s="76" t="str">
        <f t="shared" si="6"/>
        <v>-- 死亡日時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milscm_2023_009.sny_202310_base_mart_patient_basic.death_date IS '死亡日時';</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ENT_31_A6-02</v>
      </c>
      <c r="E6" s="234"/>
      <c r="F6" s="234"/>
      <c r="G6" s="234"/>
      <c r="H6" s="234"/>
      <c r="I6" s="234"/>
      <c r="J6" s="235"/>
    </row>
    <row r="7" spans="1:45">
      <c r="B7" s="223" t="s">
        <v>115</v>
      </c>
      <c r="C7" s="224"/>
      <c r="D7" s="225" t="s">
        <v>3699</v>
      </c>
      <c r="E7" s="226"/>
      <c r="F7" s="226"/>
      <c r="G7" s="226"/>
      <c r="H7" s="226"/>
      <c r="I7" s="226"/>
      <c r="J7" s="227"/>
    </row>
    <row r="8" spans="1:45">
      <c r="B8" s="223" t="s">
        <v>116</v>
      </c>
      <c r="C8" s="224"/>
      <c r="D8" s="225" t="str">
        <f>エンティティ一覧!AE2&amp;"_"&amp;D5&amp;"_text_mml_common"</f>
        <v>sny_202310_base_text_mml_common</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バックアップ_MML共通テーブルから対象患者で絞り込んだ結果を格納するテーブル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milscm_2023_009.sny_202310_base_text_mml_common;</v>
      </c>
      <c r="O10" s="76"/>
      <c r="P10" s="76"/>
      <c r="Q10" s="76"/>
      <c r="R10" s="76"/>
      <c r="S10" s="76"/>
      <c r="T10" s="76"/>
      <c r="AJ10" s="76" t="str">
        <f>"ALTER TABLE ONLY "&amp;エンティティ一覧!$O$2&amp;"."&amp;D$8</f>
        <v>ALTER TABLE ONLY milscm_2023_009.sny_202310_base_text_mml_common</v>
      </c>
      <c r="AS10" s="76" t="str">
        <f>"ALTER TABLE "&amp;エンティティ一覧!$O$2&amp;"."&amp;D$8&amp;" OWNER TO pgmisgrp1;"</f>
        <v>ALTER TABLE milscm_2023_009.sny_202310_base_text_mml_common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milscm_2023_009.sny_202310_base_text_mml_common</v>
      </c>
      <c r="O11" s="76"/>
      <c r="P11" s="76"/>
      <c r="Q11" s="76"/>
      <c r="R11" s="76"/>
      <c r="S11" s="76"/>
      <c r="T11" s="76"/>
      <c r="AJ11" s="76" t="str">
        <f>"ADD CONSTRAINT "&amp;D$8&amp;"_pkey PRIMARY KEY"</f>
        <v>ADD CONSTRAINT sny_202310_base_text_mml_common_pkey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milscm_2023_009.sny_202310_base_text_mml_common IS 'ベース_MML共通';</v>
      </c>
    </row>
    <row r="13" spans="1:45" s="25" customFormat="1">
      <c r="A13" s="4"/>
      <c r="B13" s="21">
        <f>ROW()-12</f>
        <v>1</v>
      </c>
      <c r="C13" s="6" t="s">
        <v>2784</v>
      </c>
      <c r="D13" s="6" t="s">
        <v>2785</v>
      </c>
      <c r="E13" s="8" t="s">
        <v>127</v>
      </c>
      <c r="F13" s="8" t="s">
        <v>3273</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milscm_2023_009.sny_202310_base_text_mml_common.zip_no IS 'ZipファイルNo';</v>
      </c>
    </row>
    <row r="14" spans="1:45" s="25" customFormat="1">
      <c r="A14" s="4"/>
      <c r="B14" s="21">
        <f t="shared" ref="B14:B22" si="2">ROW()-12</f>
        <v>2</v>
      </c>
      <c r="C14" s="6" t="s">
        <v>2787</v>
      </c>
      <c r="D14" s="6" t="s">
        <v>2788</v>
      </c>
      <c r="E14" s="8" t="s">
        <v>127</v>
      </c>
      <c r="F14" s="7" t="s">
        <v>3273</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milscm_2023_009.sny_202310_base_text_mml_common.file_no IS 'ファイルNo';</v>
      </c>
    </row>
    <row r="15" spans="1:45" s="25" customFormat="1">
      <c r="A15" s="4"/>
      <c r="B15" s="21">
        <f t="shared" si="2"/>
        <v>3</v>
      </c>
      <c r="C15" s="6" t="s">
        <v>3262</v>
      </c>
      <c r="D15" s="6" t="s">
        <v>2790</v>
      </c>
      <c r="E15" s="8" t="s">
        <v>127</v>
      </c>
      <c r="F15" s="7" t="s">
        <v>3273</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milscm_2023_009.sny_202310_base_text_mml_common.body_no IS '本文No';</v>
      </c>
    </row>
    <row r="16" spans="1:45" s="25" customFormat="1">
      <c r="A16" s="4"/>
      <c r="B16" s="21">
        <f t="shared" si="2"/>
        <v>4</v>
      </c>
      <c r="C16" s="6" t="s">
        <v>3263</v>
      </c>
      <c r="D16" s="6" t="s">
        <v>2407</v>
      </c>
      <c r="E16" s="8"/>
      <c r="F16" s="7" t="s">
        <v>317</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milscm_2023_009.sny_202310_base_text_mml_common.facility_id_mml IS '施設ID（MML）';</v>
      </c>
    </row>
    <row r="17" spans="1:52" s="25" customFormat="1">
      <c r="A17" s="4"/>
      <c r="B17" s="21">
        <f t="shared" si="2"/>
        <v>5</v>
      </c>
      <c r="C17" s="6" t="s">
        <v>2792</v>
      </c>
      <c r="D17" s="6" t="s">
        <v>1250</v>
      </c>
      <c r="E17" s="8"/>
      <c r="F17" s="7" t="s">
        <v>317</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milscm_2023_009.sny_202310_base_text_mml_common.master_id IS '患者ID';</v>
      </c>
    </row>
    <row r="18" spans="1:52" s="25" customFormat="1">
      <c r="A18" s="4"/>
      <c r="B18" s="21">
        <f t="shared" si="2"/>
        <v>6</v>
      </c>
      <c r="C18" s="6" t="s">
        <v>3264</v>
      </c>
      <c r="D18" s="6" t="s">
        <v>1252</v>
      </c>
      <c r="E18" s="8"/>
      <c r="F18" s="7" t="s">
        <v>317</v>
      </c>
      <c r="G18" s="7" t="str">
        <f t="shared" si="3"/>
        <v>text</v>
      </c>
      <c r="H18" s="26"/>
      <c r="I18" s="10" t="s">
        <v>127</v>
      </c>
      <c r="J18" s="11"/>
      <c r="M18" s="4"/>
      <c r="N18" s="76"/>
      <c r="O18" s="76"/>
      <c r="P18" s="76" t="str">
        <f t="shared" si="4"/>
        <v>,uid</v>
      </c>
      <c r="Q18" s="76" t="str">
        <f t="shared" si="0"/>
        <v>TEXT</v>
      </c>
      <c r="R18" s="76" t="str">
        <f t="shared" si="1"/>
        <v/>
      </c>
      <c r="S18" s="76" t="str">
        <f t="shared" si="5"/>
        <v>NOT NULL</v>
      </c>
      <c r="T18" s="76" t="str">
        <f t="shared" si="6"/>
        <v>-- UID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milscm_2023_009.sny_202310_base_text_mml_common.uid IS 'UID';</v>
      </c>
    </row>
    <row r="19" spans="1:52" s="25" customFormat="1">
      <c r="A19" s="4"/>
      <c r="B19" s="21">
        <f t="shared" si="2"/>
        <v>7</v>
      </c>
      <c r="C19" s="6" t="s">
        <v>3265</v>
      </c>
      <c r="D19" s="6" t="s">
        <v>3266</v>
      </c>
      <c r="E19" s="8"/>
      <c r="F19" s="7" t="s">
        <v>317</v>
      </c>
      <c r="G19" s="7" t="str">
        <f t="shared" si="3"/>
        <v>text</v>
      </c>
      <c r="H19" s="26"/>
      <c r="I19" s="10" t="s">
        <v>127</v>
      </c>
      <c r="J19" s="11" t="s">
        <v>2798</v>
      </c>
      <c r="M19" s="4"/>
      <c r="N19" s="76"/>
      <c r="O19" s="76"/>
      <c r="P19" s="76" t="str">
        <f t="shared" si="4"/>
        <v>,comfirm_date</v>
      </c>
      <c r="Q19" s="76" t="str">
        <f t="shared" si="0"/>
        <v>TEXT</v>
      </c>
      <c r="R19" s="76" t="str">
        <f t="shared" si="1"/>
        <v/>
      </c>
      <c r="S19" s="76" t="str">
        <f t="shared" si="5"/>
        <v>NOT NULL</v>
      </c>
      <c r="T19" s="76" t="str">
        <f t="shared" si="6"/>
        <v>-- 記載確定日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milscm_2023_009.sny_202310_base_text_mml_common.comfirm_date IS '記載確定日';</v>
      </c>
    </row>
    <row r="20" spans="1:52" s="25" customFormat="1">
      <c r="A20" s="4"/>
      <c r="B20" s="21">
        <f t="shared" si="2"/>
        <v>8</v>
      </c>
      <c r="C20" s="6" t="s">
        <v>3267</v>
      </c>
      <c r="D20" s="6" t="s">
        <v>3268</v>
      </c>
      <c r="E20" s="8"/>
      <c r="F20" s="7" t="s">
        <v>317</v>
      </c>
      <c r="G20" s="7" t="str">
        <f t="shared" si="3"/>
        <v>text</v>
      </c>
      <c r="H20" s="26"/>
      <c r="I20" s="10" t="s">
        <v>127</v>
      </c>
      <c r="J20" s="11"/>
      <c r="M20" s="4"/>
      <c r="N20" s="76"/>
      <c r="O20" s="76"/>
      <c r="P20" s="76" t="str">
        <f t="shared" si="4"/>
        <v>,mml_type</v>
      </c>
      <c r="Q20" s="76" t="str">
        <f t="shared" si="0"/>
        <v>TEXT</v>
      </c>
      <c r="R20" s="76" t="str">
        <f t="shared" si="1"/>
        <v/>
      </c>
      <c r="S20" s="76" t="str">
        <f t="shared" si="5"/>
        <v>NOT NULL</v>
      </c>
      <c r="T20" s="76" t="str">
        <f t="shared" si="6"/>
        <v>-- MMLモジュール種別</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milscm_2023_009.sny_202310_base_text_mml_common.mml_type IS 'MMLモジュール種別';</v>
      </c>
    </row>
    <row r="21" spans="1:52" s="25" customFormat="1">
      <c r="A21" s="4"/>
      <c r="B21" s="21">
        <f t="shared" si="2"/>
        <v>9</v>
      </c>
      <c r="C21" s="6" t="s">
        <v>3269</v>
      </c>
      <c r="D21" s="6" t="s">
        <v>3270</v>
      </c>
      <c r="E21" s="8"/>
      <c r="F21" s="7" t="s">
        <v>317</v>
      </c>
      <c r="G21" s="7" t="str">
        <f t="shared" si="3"/>
        <v>text</v>
      </c>
      <c r="H21" s="26"/>
      <c r="I21" s="10" t="s">
        <v>127</v>
      </c>
      <c r="J21" s="11" t="s">
        <v>3275</v>
      </c>
      <c r="M21" s="4"/>
      <c r="N21" s="76"/>
      <c r="O21" s="76"/>
      <c r="P21" s="76" t="str">
        <f t="shared" si="4"/>
        <v>,file_name</v>
      </c>
      <c r="Q21" s="76" t="str">
        <f t="shared" si="0"/>
        <v>TEXT</v>
      </c>
      <c r="R21" s="76" t="str">
        <f t="shared" si="1"/>
        <v/>
      </c>
      <c r="S21" s="76" t="str">
        <f t="shared" si="5"/>
        <v>NOT NULL</v>
      </c>
      <c r="T21" s="76" t="str">
        <f t="shared" si="6"/>
        <v>-- ファイル名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milscm_2023_009.sny_202310_base_text_mml_common.file_name IS 'ファイル名';</v>
      </c>
    </row>
    <row r="22" spans="1:52" s="25" customFormat="1">
      <c r="A22" s="4"/>
      <c r="B22" s="21">
        <f t="shared" si="2"/>
        <v>10</v>
      </c>
      <c r="C22" s="6" t="s">
        <v>3271</v>
      </c>
      <c r="D22" s="6" t="s">
        <v>2512</v>
      </c>
      <c r="E22" s="8"/>
      <c r="F22" s="7" t="s">
        <v>2422</v>
      </c>
      <c r="G22" s="7" t="str">
        <f t="shared" si="3"/>
        <v>boolean</v>
      </c>
      <c r="H22" s="26" t="b">
        <v>1</v>
      </c>
      <c r="I22" s="10" t="s">
        <v>127</v>
      </c>
      <c r="J22" s="11" t="s">
        <v>3276</v>
      </c>
      <c r="M22" s="4"/>
      <c r="N22" s="76"/>
      <c r="O22" s="76"/>
      <c r="P22" s="76" t="str">
        <f t="shared" si="4"/>
        <v>,new_f</v>
      </c>
      <c r="Q22" s="76" t="str">
        <f t="shared" si="0"/>
        <v>BOOLEAN</v>
      </c>
      <c r="R22" s="76" t="str">
        <f t="shared" si="1"/>
        <v>default TRUE</v>
      </c>
      <c r="S22" s="76" t="str">
        <f t="shared" si="5"/>
        <v>NOT NULL</v>
      </c>
      <c r="T22" s="76" t="str">
        <f t="shared" si="6"/>
        <v>-- 最新フラグ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milscm_2023_009.sny_202310_base_text_mml_common.new_f IS '最新フラグ';</v>
      </c>
    </row>
    <row r="23" spans="1:52" s="25" customFormat="1" ht="18" thickBot="1">
      <c r="A23" s="4"/>
      <c r="B23" s="27">
        <f>ROW()-12</f>
        <v>11</v>
      </c>
      <c r="C23" s="57" t="s">
        <v>3272</v>
      </c>
      <c r="D23" s="57" t="s">
        <v>1908</v>
      </c>
      <c r="E23" s="56"/>
      <c r="F23" s="56" t="s">
        <v>2422</v>
      </c>
      <c r="G23" s="56" t="str">
        <f t="shared" si="3"/>
        <v>boolean</v>
      </c>
      <c r="H23" s="59" t="b">
        <v>0</v>
      </c>
      <c r="I23" s="60" t="s">
        <v>127</v>
      </c>
      <c r="J23" s="64" t="s">
        <v>3277</v>
      </c>
      <c r="N23" s="76"/>
      <c r="O23" s="76"/>
      <c r="P23" s="76" t="str">
        <f t="shared" si="4"/>
        <v>,del_f</v>
      </c>
      <c r="Q23" s="76" t="str">
        <f t="shared" si="0"/>
        <v>BOOLEAN</v>
      </c>
      <c r="R23" s="76" t="str">
        <f t="shared" si="1"/>
        <v>default FALSE</v>
      </c>
      <c r="S23" s="76" t="str">
        <f t="shared" si="5"/>
        <v>NOT NULL</v>
      </c>
      <c r="T23" s="76" t="str">
        <f t="shared" si="6"/>
        <v>-- 削除フラグ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milscm_2023_009.sny_202310_base_text_mml_common.del_f IS '削除フラグ';</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ENT_31_A6-03</v>
      </c>
      <c r="E6" s="234"/>
      <c r="F6" s="234"/>
      <c r="G6" s="234"/>
      <c r="H6" s="234"/>
      <c r="I6" s="234"/>
      <c r="J6" s="235"/>
    </row>
    <row r="7" spans="1:45">
      <c r="B7" s="223" t="s">
        <v>115</v>
      </c>
      <c r="C7" s="224"/>
      <c r="D7" s="225" t="s">
        <v>3700</v>
      </c>
      <c r="E7" s="226"/>
      <c r="F7" s="226"/>
      <c r="G7" s="226"/>
      <c r="H7" s="226"/>
      <c r="I7" s="226"/>
      <c r="J7" s="227"/>
    </row>
    <row r="8" spans="1:45">
      <c r="B8" s="223" t="s">
        <v>116</v>
      </c>
      <c r="C8" s="224"/>
      <c r="D8" s="225" t="str">
        <f>エンティティ一覧!AE2&amp;"_"&amp;D5&amp;"_text_mml_mmlrd_body"</f>
        <v>sny_202310_base_text_mml_mmlrd_body</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milscm_2023_009.sny_202310_base_text_mml_mmlrd_body;</v>
      </c>
      <c r="O10" s="76"/>
      <c r="P10" s="76"/>
      <c r="Q10" s="76"/>
      <c r="R10" s="76"/>
      <c r="S10" s="76"/>
      <c r="T10" s="76"/>
      <c r="AJ10" s="76" t="str">
        <f>"ALTER TABLE ONLY "&amp;エンティティ一覧!$O$2&amp;"."&amp;D$8</f>
        <v>ALTER TABLE ONLY milscm_2023_009.sny_202310_base_text_mml_mmlrd_body</v>
      </c>
      <c r="AS10" s="76" t="str">
        <f>"ALTER TABLE "&amp;エンティティ一覧!$O$2&amp;"."&amp;D$8&amp;" OWNER TO pgmisgrp1;"</f>
        <v>ALTER TABLE milscm_2023_009.sny_202310_base_text_mml_mmlrd_body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milscm_2023_009.sny_202310_base_text_mml_mmlrd_body</v>
      </c>
      <c r="O11" s="76"/>
      <c r="P11" s="76"/>
      <c r="Q11" s="76"/>
      <c r="R11" s="76"/>
      <c r="S11" s="76"/>
      <c r="T11" s="76"/>
      <c r="AJ11" s="76" t="str">
        <f>"ADD CONSTRAINT "&amp;D$8&amp;"_pkey PRIMARY KEY"</f>
        <v>ADD CONSTRAINT sny_202310_base_text_mml_mmlrd_body_pkey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6"/>
      <c r="O18" s="76"/>
      <c r="P18" s="76" t="str">
        <f t="shared" si="4"/>
        <v>,start_date</v>
      </c>
      <c r="Q18" s="76" t="str">
        <f t="shared" si="0"/>
        <v>TEXT</v>
      </c>
      <c r="R18" s="76" t="str">
        <f t="shared" si="1"/>
        <v/>
      </c>
      <c r="S18" s="76" t="str">
        <f t="shared" si="5"/>
        <v/>
      </c>
      <c r="T18" s="76" t="str">
        <f t="shared" si="6"/>
        <v>-- 疾患開始日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6"/>
      <c r="O19" s="76"/>
      <c r="P19" s="76" t="str">
        <f t="shared" si="4"/>
        <v>,end_date</v>
      </c>
      <c r="Q19" s="76" t="str">
        <f t="shared" si="0"/>
        <v>TEXT</v>
      </c>
      <c r="R19" s="76" t="str">
        <f t="shared" si="1"/>
        <v/>
      </c>
      <c r="S19" s="76" t="str">
        <f t="shared" si="5"/>
        <v/>
      </c>
      <c r="T19" s="76" t="str">
        <f t="shared" si="6"/>
        <v>-- 疾患終了日</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6"/>
      <c r="O20" s="76"/>
      <c r="P20" s="76" t="str">
        <f t="shared" si="4"/>
        <v>,outcome</v>
      </c>
      <c r="Q20" s="76" t="str">
        <f t="shared" si="0"/>
        <v>TEXT</v>
      </c>
      <c r="R20" s="76" t="str">
        <f t="shared" si="1"/>
        <v/>
      </c>
      <c r="S20" s="76" t="str">
        <f t="shared" si="5"/>
        <v/>
      </c>
      <c r="T20" s="76" t="str">
        <f t="shared" si="6"/>
        <v>-- 転帰</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4"/>
      <c r="N21" s="76"/>
      <c r="O21" s="76"/>
      <c r="P21" s="76" t="str">
        <f t="shared" si="4"/>
        <v>,first_encounter_date</v>
      </c>
      <c r="Q21" s="76" t="str">
        <f t="shared" si="0"/>
        <v>TEXT</v>
      </c>
      <c r="R21" s="76" t="str">
        <f t="shared" si="1"/>
        <v/>
      </c>
      <c r="S21" s="76" t="str">
        <f t="shared" si="5"/>
        <v/>
      </c>
      <c r="T21" s="76" t="str">
        <f t="shared" si="6"/>
        <v>-- 疾患の初診日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milscm_2023_009.sny_202310_base_text_mml_mmlrd_body.first_encounter_date IS '疾患の初診日';</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ENT_31_A6-04</v>
      </c>
      <c r="E6" s="234"/>
      <c r="F6" s="234"/>
      <c r="G6" s="234"/>
      <c r="H6" s="234"/>
      <c r="I6" s="234"/>
      <c r="J6" s="235"/>
    </row>
    <row r="7" spans="1:45">
      <c r="B7" s="223" t="s">
        <v>115</v>
      </c>
      <c r="C7" s="224"/>
      <c r="D7" s="225" t="s">
        <v>3701</v>
      </c>
      <c r="E7" s="226"/>
      <c r="F7" s="226"/>
      <c r="G7" s="226"/>
      <c r="H7" s="226"/>
      <c r="I7" s="226"/>
      <c r="J7" s="227"/>
    </row>
    <row r="8" spans="1:45">
      <c r="B8" s="223" t="s">
        <v>116</v>
      </c>
      <c r="C8" s="224"/>
      <c r="D8" s="225" t="str">
        <f>エンティティ一覧!AE2&amp;"_"&amp;D5&amp;"_text_mml_mmlrd_byomei"</f>
        <v>sny_202310_base_text_mml_mmlrd_byomei</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milscm_2023_009.sny_202310_base_text_mml_mmlrd_byomei;</v>
      </c>
      <c r="O10" s="76"/>
      <c r="P10" s="76"/>
      <c r="Q10" s="76"/>
      <c r="R10" s="76"/>
      <c r="S10" s="76"/>
      <c r="T10" s="76"/>
      <c r="AJ10" s="76" t="str">
        <f>"ALTER TABLE ONLY "&amp;エンティティ一覧!$O$2&amp;"."&amp;D$8</f>
        <v>ALTER TABLE ONLY milscm_2023_009.sny_202310_base_text_mml_mmlrd_byomei</v>
      </c>
      <c r="AS10" s="76" t="str">
        <f>"ALTER TABLE "&amp;エンティティ一覧!$O$2&amp;"."&amp;D$8&amp;" OWNER TO pgmisgrp1;"</f>
        <v>ALTER TABLE milscm_2023_009.sny_202310_base_text_mml_mmlrd_byomei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milscm_2023_009.sny_202310_base_text_mml_mmlrd_byomei</v>
      </c>
      <c r="O11" s="76"/>
      <c r="P11" s="76"/>
      <c r="Q11" s="76"/>
      <c r="R11" s="76"/>
      <c r="S11" s="76"/>
      <c r="T11" s="76"/>
      <c r="AJ11" s="76" t="str">
        <f>"ADD CONSTRAINT "&amp;D$8&amp;"_pkey PRIMARY KEY"</f>
        <v>ADD CONSTRAINT sny_202310_base_text_mml_mmlrd_byomei_pkey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6"/>
      <c r="O18" s="76"/>
      <c r="P18" s="76" t="str">
        <f t="shared" si="4"/>
        <v>,byomei_no</v>
      </c>
      <c r="Q18" s="76" t="str">
        <f t="shared" si="0"/>
        <v>INTEGER</v>
      </c>
      <c r="R18" s="76" t="str">
        <f t="shared" si="1"/>
        <v/>
      </c>
      <c r="S18" s="76" t="str">
        <f t="shared" si="5"/>
        <v>NOT NULL</v>
      </c>
      <c r="T18" s="76" t="str">
        <f t="shared" si="6"/>
        <v>-- 病名No</v>
      </c>
      <c r="U18" s="4"/>
      <c r="AA18" s="4"/>
      <c r="AB18" s="4"/>
      <c r="AC18" s="4"/>
      <c r="AD18" s="4"/>
      <c r="AE18" s="4"/>
      <c r="AF18" s="4"/>
      <c r="AG18" s="4"/>
      <c r="AH18" s="4"/>
      <c r="AI18" s="4"/>
      <c r="AJ18" s="76" t="str">
        <f>IF(E18="○",IF(COUNTA(E$13:E18)=1,"",",")&amp;D18,"")</f>
        <v>,byomei_no</v>
      </c>
      <c r="AK18" s="4"/>
      <c r="AL18" s="4"/>
      <c r="AM18" s="4"/>
      <c r="AN18" s="4"/>
      <c r="AO18" s="4"/>
      <c r="AP18" s="4"/>
      <c r="AQ18" s="4"/>
      <c r="AR18" s="4"/>
      <c r="AS18" s="76" t="str">
        <f>"COMMENT ON COLUMN "&amp;エンティティ一覧!$O$2&amp;"."&amp;D$8&amp;"."&amp;D18&amp;" IS '"&amp;C18&amp;"';"</f>
        <v>COMMENT ON COLUMN milscm_2023_009.sny_202310_base_text_mml_mmlrd_byomei.byomei_no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6"/>
      <c r="O19" s="76"/>
      <c r="P19" s="76" t="str">
        <f t="shared" si="4"/>
        <v>,tag_name</v>
      </c>
      <c r="Q19" s="76" t="str">
        <f t="shared" si="0"/>
        <v>TEXT</v>
      </c>
      <c r="R19" s="76" t="str">
        <f t="shared" si="1"/>
        <v/>
      </c>
      <c r="S19" s="76" t="str">
        <f t="shared" si="5"/>
        <v/>
      </c>
      <c r="T19" s="76" t="str">
        <f t="shared" si="6"/>
        <v>-- タグ名</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6"/>
      <c r="O20" s="76"/>
      <c r="P20" s="76" t="str">
        <f t="shared" si="4"/>
        <v>,diagnosis</v>
      </c>
      <c r="Q20" s="76" t="str">
        <f t="shared" si="0"/>
        <v>TEXT</v>
      </c>
      <c r="R20" s="76" t="str">
        <f t="shared" si="1"/>
        <v/>
      </c>
      <c r="S20" s="76" t="str">
        <f t="shared" si="5"/>
        <v/>
      </c>
      <c r="T20" s="76" t="str">
        <f t="shared" si="6"/>
        <v>-- 病名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milscm_2023_009.sny_202310_base_text_mml_mmlrd_byomei.diagnosis IS '病名';</v>
      </c>
    </row>
    <row r="21" spans="1:52" s="25" customFormat="1">
      <c r="A21" s="4"/>
      <c r="B21" s="21">
        <f t="shared" si="2"/>
        <v>9</v>
      </c>
      <c r="C21" s="6" t="s">
        <v>2805</v>
      </c>
      <c r="D21" s="6" t="s">
        <v>359</v>
      </c>
      <c r="E21" s="8"/>
      <c r="F21" s="7" t="s">
        <v>1825</v>
      </c>
      <c r="G21" s="7" t="str">
        <f t="shared" si="3"/>
        <v>text</v>
      </c>
      <c r="H21" s="26"/>
      <c r="I21" s="10"/>
      <c r="J21" s="11"/>
      <c r="M21" s="4"/>
      <c r="N21" s="76"/>
      <c r="O21" s="76"/>
      <c r="P21" s="76" t="str">
        <f t="shared" si="4"/>
        <v>,code</v>
      </c>
      <c r="Q21" s="76" t="str">
        <f t="shared" si="0"/>
        <v>TEXT</v>
      </c>
      <c r="R21" s="76" t="str">
        <f t="shared" si="1"/>
        <v/>
      </c>
      <c r="S21" s="76" t="str">
        <f t="shared" si="5"/>
        <v/>
      </c>
      <c r="T21" s="76" t="str">
        <f t="shared" si="6"/>
        <v>-- コード値</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4"/>
      <c r="N22" s="76"/>
      <c r="O22" s="76"/>
      <c r="P22" s="76" t="str">
        <f t="shared" si="4"/>
        <v>,system</v>
      </c>
      <c r="Q22" s="76" t="str">
        <f t="shared" si="0"/>
        <v>TEXT</v>
      </c>
      <c r="R22" s="76" t="str">
        <f t="shared" si="1"/>
        <v/>
      </c>
      <c r="S22" s="76" t="str">
        <f t="shared" si="5"/>
        <v/>
      </c>
      <c r="T22" s="76" t="str">
        <f t="shared" si="6"/>
        <v>-- コード体系名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milscm_2023_009.sny_202310_base_text_mml_mmlrd_byomei.system IS 'コード体系名';</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ENT_31_A6-18</v>
      </c>
      <c r="E6" s="234"/>
      <c r="F6" s="234"/>
      <c r="G6" s="234"/>
      <c r="H6" s="234"/>
      <c r="I6" s="234"/>
      <c r="J6" s="235"/>
    </row>
    <row r="7" spans="1:45">
      <c r="B7" s="223" t="s">
        <v>115</v>
      </c>
      <c r="C7" s="224"/>
      <c r="D7" s="225" t="s">
        <v>4016</v>
      </c>
      <c r="E7" s="226"/>
      <c r="F7" s="226"/>
      <c r="G7" s="226"/>
      <c r="H7" s="226"/>
      <c r="I7" s="226"/>
      <c r="J7" s="227"/>
    </row>
    <row r="8" spans="1:45">
      <c r="B8" s="223" t="s">
        <v>116</v>
      </c>
      <c r="C8" s="224"/>
      <c r="D8" s="225" t="str">
        <f>エンティティ一覧!AE2&amp;"_"&amp;D5&amp;"_text_mml_mmllb_body"</f>
        <v>sny_202310_base_text_mml_mmllb_body</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milscm_2023_009.sny_202310_base_text_mml_mmllb_body;</v>
      </c>
      <c r="O10" s="76"/>
      <c r="P10" s="76"/>
      <c r="Q10" s="76"/>
      <c r="R10" s="76"/>
      <c r="S10" s="76"/>
      <c r="T10" s="76"/>
      <c r="AJ10" s="76" t="str">
        <f>"ALTER TABLE ONLY "&amp;エンティティ一覧!$O$2&amp;"."&amp;D$8</f>
        <v>ALTER TABLE ONLY milscm_2023_009.sny_202310_base_text_mml_mmllb_body</v>
      </c>
      <c r="AS10" s="76" t="str">
        <f>"ALTER TABLE "&amp;エンティティ一覧!$O$2&amp;"."&amp;D$8&amp;" OWNER TO pgmisgrp1;"</f>
        <v>ALTER TABLE milscm_2023_009.sny_202310_base_text_mml_mmllb_body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milscm_2023_009.sny_202310_base_text_mml_mmllb_body</v>
      </c>
      <c r="O11" s="76"/>
      <c r="P11" s="76"/>
      <c r="Q11" s="76"/>
      <c r="R11" s="76"/>
      <c r="S11" s="76"/>
      <c r="T11" s="76"/>
      <c r="AJ11" s="76" t="str">
        <f>"ADD CONSTRAINT "&amp;D$8&amp;"_pkey PRIMARY KEY"</f>
        <v>ADD CONSTRAINT sny_202310_base_text_mml_mmllb_body_pkey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milscm_2023_009.sny_202310_base_text_mml_mmllb_body IS 'ベース_MML_検歴情報モジュール_本文';</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6" si="0">UPPER(G13)</f>
        <v>INTEGER</v>
      </c>
      <c r="R13" s="76" t="str">
        <f t="shared" ref="R13:R46"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milscm_2023_009.sny_202310_base_text_mml_mmllb_body.zip_no IS 'ZipファイルNo';</v>
      </c>
    </row>
    <row r="14" spans="1:45" s="25" customFormat="1">
      <c r="A14" s="4"/>
      <c r="B14" s="21">
        <f t="shared" ref="B14:B45" si="2">ROW()-12</f>
        <v>2</v>
      </c>
      <c r="C14" s="6" t="s">
        <v>2787</v>
      </c>
      <c r="D14" s="6" t="s">
        <v>2788</v>
      </c>
      <c r="E14" s="8" t="s">
        <v>127</v>
      </c>
      <c r="F14" s="7" t="s">
        <v>3278</v>
      </c>
      <c r="G14" s="7" t="str">
        <f t="shared" ref="G14:G46" si="3">IF(F14="フラグ","boolean",IF(F14="文字列","text",IF(F14="整数","integer",IF(F14="実数","numeric",""))))</f>
        <v>integer</v>
      </c>
      <c r="H14" s="26"/>
      <c r="I14" s="10" t="s">
        <v>127</v>
      </c>
      <c r="J14" s="11"/>
      <c r="M14" s="4"/>
      <c r="N14" s="76"/>
      <c r="O14" s="76"/>
      <c r="P14" s="76" t="str">
        <f t="shared" ref="P14:P46" si="4">IF(B14&lt;&gt;1,","&amp;D14,D14)</f>
        <v>,file_no</v>
      </c>
      <c r="Q14" s="76" t="str">
        <f t="shared" si="0"/>
        <v>INTEGER</v>
      </c>
      <c r="R14" s="76" t="str">
        <f t="shared" si="1"/>
        <v/>
      </c>
      <c r="S14" s="76" t="str">
        <f t="shared" ref="S14:S46" si="5">IF(I14="○","NOT NULL","")</f>
        <v>NOT NULL</v>
      </c>
      <c r="T14" s="76" t="str">
        <f t="shared" ref="T14:T46"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milscm_2023_009.sny_202310_base_text_mml_mmllb_body.file_no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milscm_2023_009.sny_202310_base_text_mml_mmllb_body.body_no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milscm_2023_009.sny_202310_base_text_mml_mmllb_body.facility_id_mml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milscm_2023_009.sny_202310_base_text_mml_mmllb_body.master_id IS '患者ID';</v>
      </c>
    </row>
    <row r="18" spans="1:45" s="25" customFormat="1">
      <c r="A18" s="4"/>
      <c r="B18" s="21">
        <f t="shared" si="2"/>
        <v>6</v>
      </c>
      <c r="C18" s="6" t="s">
        <v>1550</v>
      </c>
      <c r="D18" s="6" t="s">
        <v>3873</v>
      </c>
      <c r="E18" s="8"/>
      <c r="F18" s="7" t="s">
        <v>3280</v>
      </c>
      <c r="G18" s="7" t="str">
        <f t="shared" si="3"/>
        <v>text</v>
      </c>
      <c r="H18" s="26"/>
      <c r="I18" s="10"/>
      <c r="J18" s="11"/>
      <c r="M18" s="4"/>
      <c r="N18" s="76"/>
      <c r="O18" s="76"/>
      <c r="P18" s="76" t="str">
        <f t="shared" si="4"/>
        <v>,regist_id</v>
      </c>
      <c r="Q18" s="76" t="str">
        <f t="shared" si="0"/>
        <v>TEXT</v>
      </c>
      <c r="R18" s="76" t="str">
        <f t="shared" si="1"/>
        <v/>
      </c>
      <c r="S18" s="76" t="str">
        <f t="shared" si="5"/>
        <v/>
      </c>
      <c r="T18" s="76" t="str">
        <f t="shared" si="6"/>
        <v>-- 依頼ID</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milscm_2023_009.sny_202310_base_text_mml_mmllb_body.regist_id IS '依頼ID';</v>
      </c>
    </row>
    <row r="19" spans="1:45" s="25" customFormat="1">
      <c r="A19" s="4"/>
      <c r="B19" s="21">
        <f t="shared" si="2"/>
        <v>7</v>
      </c>
      <c r="C19" s="6" t="s">
        <v>1552</v>
      </c>
      <c r="D19" s="6" t="s">
        <v>1553</v>
      </c>
      <c r="E19" s="8"/>
      <c r="F19" s="7" t="s">
        <v>3280</v>
      </c>
      <c r="G19" s="7" t="str">
        <f t="shared" si="3"/>
        <v>text</v>
      </c>
      <c r="H19" s="26"/>
      <c r="I19" s="10"/>
      <c r="J19" s="11" t="s">
        <v>2798</v>
      </c>
      <c r="M19" s="4"/>
      <c r="N19" s="76"/>
      <c r="O19" s="76"/>
      <c r="P19" s="76" t="str">
        <f t="shared" si="4"/>
        <v>,sample_time</v>
      </c>
      <c r="Q19" s="76" t="str">
        <f t="shared" si="0"/>
        <v>TEXT</v>
      </c>
      <c r="R19" s="76" t="str">
        <f t="shared" si="1"/>
        <v/>
      </c>
      <c r="S19" s="76" t="str">
        <f t="shared" si="5"/>
        <v/>
      </c>
      <c r="T19" s="76" t="str">
        <f t="shared" si="6"/>
        <v>-- 採取日時</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milscm_2023_009.sny_202310_base_text_mml_mmllb_body.sample_time IS '採取日時';</v>
      </c>
    </row>
    <row r="20" spans="1:45" s="25" customFormat="1">
      <c r="A20" s="4"/>
      <c r="B20" s="21">
        <f t="shared" si="2"/>
        <v>8</v>
      </c>
      <c r="C20" s="6" t="s">
        <v>1554</v>
      </c>
      <c r="D20" s="6" t="s">
        <v>3874</v>
      </c>
      <c r="E20" s="8"/>
      <c r="F20" s="7" t="s">
        <v>3280</v>
      </c>
      <c r="G20" s="7" t="str">
        <f t="shared" si="3"/>
        <v>text</v>
      </c>
      <c r="H20" s="26"/>
      <c r="I20" s="10"/>
      <c r="J20" s="11" t="s">
        <v>2798</v>
      </c>
      <c r="M20" s="4"/>
      <c r="N20" s="76"/>
      <c r="O20" s="76"/>
      <c r="P20" s="76" t="str">
        <f t="shared" si="4"/>
        <v>,regist_time</v>
      </c>
      <c r="Q20" s="76" t="str">
        <f t="shared" si="0"/>
        <v>TEXT</v>
      </c>
      <c r="R20" s="76" t="str">
        <f t="shared" si="1"/>
        <v/>
      </c>
      <c r="S20" s="76" t="str">
        <f t="shared" si="5"/>
        <v/>
      </c>
      <c r="T20" s="76" t="str">
        <f t="shared" si="6"/>
        <v>-- 受付日時</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milscm_2023_009.sny_202310_base_text_mml_mmllb_body.regist_time IS '受付日時';</v>
      </c>
    </row>
    <row r="21" spans="1:45" s="25" customFormat="1">
      <c r="A21" s="4"/>
      <c r="B21" s="21">
        <f t="shared" si="2"/>
        <v>9</v>
      </c>
      <c r="C21" s="6" t="s">
        <v>1556</v>
      </c>
      <c r="D21" s="6" t="s">
        <v>1557</v>
      </c>
      <c r="E21" s="8"/>
      <c r="F21" s="7" t="s">
        <v>3280</v>
      </c>
      <c r="G21" s="7" t="str">
        <f t="shared" si="3"/>
        <v>text</v>
      </c>
      <c r="H21" s="26"/>
      <c r="I21" s="10"/>
      <c r="J21" s="11" t="s">
        <v>2798</v>
      </c>
      <c r="M21" s="4"/>
      <c r="N21" s="76"/>
      <c r="O21" s="76"/>
      <c r="P21" s="76" t="str">
        <f t="shared" si="4"/>
        <v>,report_time</v>
      </c>
      <c r="Q21" s="76" t="str">
        <f t="shared" si="0"/>
        <v>TEXT</v>
      </c>
      <c r="R21" s="76" t="str">
        <f t="shared" si="1"/>
        <v/>
      </c>
      <c r="S21" s="76" t="str">
        <f t="shared" si="5"/>
        <v/>
      </c>
      <c r="T21" s="76" t="str">
        <f t="shared" si="6"/>
        <v>-- 報告日時</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milscm_2023_009.sny_202310_base_text_mml_mmllb_body.report_time IS '報告日時';</v>
      </c>
    </row>
    <row r="22" spans="1:45" s="25" customFormat="1">
      <c r="A22" s="4"/>
      <c r="B22" s="21">
        <f t="shared" si="2"/>
        <v>10</v>
      </c>
      <c r="C22" s="6" t="s">
        <v>1558</v>
      </c>
      <c r="D22" s="6" t="s">
        <v>2947</v>
      </c>
      <c r="E22" s="8"/>
      <c r="F22" s="7" t="s">
        <v>3280</v>
      </c>
      <c r="G22" s="7" t="str">
        <f t="shared" si="3"/>
        <v>text</v>
      </c>
      <c r="H22" s="26"/>
      <c r="I22" s="10"/>
      <c r="J22" s="11"/>
      <c r="M22" s="4"/>
      <c r="N22" s="76"/>
      <c r="O22" s="76"/>
      <c r="P22" s="76" t="str">
        <f t="shared" si="4"/>
        <v>,report_status</v>
      </c>
      <c r="Q22" s="76" t="str">
        <f t="shared" si="0"/>
        <v>TEXT</v>
      </c>
      <c r="R22" s="76" t="str">
        <f t="shared" si="1"/>
        <v/>
      </c>
      <c r="S22" s="76" t="str">
        <f t="shared" si="5"/>
        <v/>
      </c>
      <c r="T22" s="76" t="str">
        <f t="shared" si="6"/>
        <v>-- 報告状態</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milscm_2023_009.sny_202310_base_text_mml_mmllb_body.report_status IS '報告状態';</v>
      </c>
    </row>
    <row r="23" spans="1:45" s="25" customFormat="1">
      <c r="A23" s="4"/>
      <c r="B23" s="21">
        <f t="shared" si="2"/>
        <v>11</v>
      </c>
      <c r="C23" s="6" t="s">
        <v>1560</v>
      </c>
      <c r="D23" s="6" t="s">
        <v>1561</v>
      </c>
      <c r="E23" s="8"/>
      <c r="F23" s="7" t="s">
        <v>3280</v>
      </c>
      <c r="G23" s="7" t="str">
        <f t="shared" si="3"/>
        <v>text</v>
      </c>
      <c r="H23" s="26"/>
      <c r="I23" s="10"/>
      <c r="J23" s="11"/>
      <c r="M23" s="4"/>
      <c r="N23" s="76"/>
      <c r="O23" s="76"/>
      <c r="P23" s="76" t="str">
        <f t="shared" si="4"/>
        <v>,status_code</v>
      </c>
      <c r="Q23" s="76" t="str">
        <f t="shared" si="0"/>
        <v>TEXT</v>
      </c>
      <c r="R23" s="76" t="str">
        <f t="shared" si="1"/>
        <v/>
      </c>
      <c r="S23" s="76" t="str">
        <f t="shared" si="5"/>
        <v/>
      </c>
      <c r="T23" s="76" t="str">
        <f t="shared" si="6"/>
        <v>-- 報告状態コード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milscm_2023_009.sny_202310_base_text_mml_mmllb_body.status_code IS '報告状態コード';</v>
      </c>
    </row>
    <row r="24" spans="1:45" s="25" customFormat="1">
      <c r="A24" s="4"/>
      <c r="B24" s="21">
        <f t="shared" si="2"/>
        <v>12</v>
      </c>
      <c r="C24" s="6" t="s">
        <v>2949</v>
      </c>
      <c r="D24" s="6" t="s">
        <v>3875</v>
      </c>
      <c r="E24" s="8"/>
      <c r="F24" s="7" t="s">
        <v>3280</v>
      </c>
      <c r="G24" s="7" t="str">
        <f t="shared" si="3"/>
        <v>text</v>
      </c>
      <c r="H24" s="26"/>
      <c r="I24" s="10"/>
      <c r="J24" s="11"/>
      <c r="M24" s="4"/>
      <c r="N24" s="76"/>
      <c r="O24" s="76"/>
      <c r="P24" s="76" t="str">
        <f t="shared" si="4"/>
        <v>,status_code_id</v>
      </c>
      <c r="Q24" s="76" t="str">
        <f t="shared" si="0"/>
        <v>TEXT</v>
      </c>
      <c r="R24" s="76" t="str">
        <f t="shared" si="1"/>
        <v/>
      </c>
      <c r="S24" s="76" t="str">
        <f t="shared" si="5"/>
        <v/>
      </c>
      <c r="T24" s="76" t="str">
        <f t="shared" si="6"/>
        <v>-- 報告状態コードID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milscm_2023_009.sny_202310_base_text_mml_mmllb_body.status_code_id IS '報告状態コードID';</v>
      </c>
    </row>
    <row r="25" spans="1:45" s="25" customFormat="1">
      <c r="A25" s="4"/>
      <c r="B25" s="21">
        <f t="shared" si="2"/>
        <v>13</v>
      </c>
      <c r="C25" s="6" t="s">
        <v>1562</v>
      </c>
      <c r="D25" s="6" t="s">
        <v>3876</v>
      </c>
      <c r="E25" s="8"/>
      <c r="F25" s="7" t="s">
        <v>3280</v>
      </c>
      <c r="G25" s="7" t="str">
        <f t="shared" si="3"/>
        <v>text</v>
      </c>
      <c r="H25" s="26"/>
      <c r="I25" s="10"/>
      <c r="J25" s="11"/>
      <c r="M25" s="4"/>
      <c r="N25" s="76"/>
      <c r="O25" s="76"/>
      <c r="P25" s="76" t="str">
        <f t="shared" si="4"/>
        <v>,set</v>
      </c>
      <c r="Q25" s="76" t="str">
        <f t="shared" si="0"/>
        <v>TEXT</v>
      </c>
      <c r="R25" s="76" t="str">
        <f t="shared" si="1"/>
        <v/>
      </c>
      <c r="S25" s="76" t="str">
        <f t="shared" si="5"/>
        <v/>
      </c>
      <c r="T25" s="76" t="str">
        <f t="shared" si="6"/>
        <v>-- セット名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milscm_2023_009.sny_202310_base_text_mml_mmllb_body.set IS 'セット名';</v>
      </c>
    </row>
    <row r="26" spans="1:45" s="25" customFormat="1">
      <c r="A26" s="4"/>
      <c r="B26" s="21">
        <f t="shared" si="2"/>
        <v>14</v>
      </c>
      <c r="C26" s="6" t="s">
        <v>1564</v>
      </c>
      <c r="D26" s="6" t="s">
        <v>3877</v>
      </c>
      <c r="E26" s="8"/>
      <c r="F26" s="7" t="s">
        <v>3280</v>
      </c>
      <c r="G26" s="7" t="str">
        <f t="shared" si="3"/>
        <v>text</v>
      </c>
      <c r="H26" s="26"/>
      <c r="I26" s="10"/>
      <c r="J26" s="11"/>
      <c r="M26" s="4"/>
      <c r="N26" s="76"/>
      <c r="O26" s="76"/>
      <c r="P26" s="76" t="str">
        <f t="shared" si="4"/>
        <v>,set_code</v>
      </c>
      <c r="Q26" s="76" t="str">
        <f t="shared" si="0"/>
        <v>TEXT</v>
      </c>
      <c r="R26" s="76" t="str">
        <f t="shared" si="1"/>
        <v/>
      </c>
      <c r="S26" s="76" t="str">
        <f t="shared" si="5"/>
        <v/>
      </c>
      <c r="T26" s="76" t="str">
        <f t="shared" si="6"/>
        <v>-- セット名コード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milscm_2023_009.sny_202310_base_text_mml_mmllb_body.set_code IS 'セット名コード';</v>
      </c>
    </row>
    <row r="27" spans="1:45" s="25" customFormat="1">
      <c r="A27" s="4"/>
      <c r="B27" s="21">
        <f t="shared" si="2"/>
        <v>15</v>
      </c>
      <c r="C27" s="6" t="s">
        <v>1566</v>
      </c>
      <c r="D27" s="6" t="s">
        <v>3878</v>
      </c>
      <c r="E27" s="8"/>
      <c r="F27" s="7" t="s">
        <v>3280</v>
      </c>
      <c r="G27" s="7" t="str">
        <f t="shared" si="3"/>
        <v>text</v>
      </c>
      <c r="H27" s="26"/>
      <c r="I27" s="10"/>
      <c r="J27" s="11"/>
      <c r="M27" s="4"/>
      <c r="N27" s="76"/>
      <c r="O27" s="76"/>
      <c r="P27" s="76" t="str">
        <f t="shared" si="4"/>
        <v>,set_code_id</v>
      </c>
      <c r="Q27" s="76" t="str">
        <f t="shared" si="0"/>
        <v>TEXT</v>
      </c>
      <c r="R27" s="76" t="str">
        <f t="shared" si="1"/>
        <v/>
      </c>
      <c r="S27" s="76" t="str">
        <f t="shared" si="5"/>
        <v/>
      </c>
      <c r="T27" s="76" t="str">
        <f t="shared" si="6"/>
        <v>-- セット名コードID</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milscm_2023_009.sny_202310_base_text_mml_mmllb_body.set_code_id IS 'セット名コードID';</v>
      </c>
    </row>
    <row r="28" spans="1:45" s="25" customFormat="1">
      <c r="A28" s="4"/>
      <c r="B28" s="21">
        <f t="shared" si="2"/>
        <v>16</v>
      </c>
      <c r="C28" s="6" t="s">
        <v>2965</v>
      </c>
      <c r="D28" s="6" t="s">
        <v>3879</v>
      </c>
      <c r="E28" s="8"/>
      <c r="F28" s="7" t="s">
        <v>3280</v>
      </c>
      <c r="G28" s="7" t="str">
        <f t="shared" si="3"/>
        <v>text</v>
      </c>
      <c r="H28" s="26"/>
      <c r="I28" s="10"/>
      <c r="J28" s="11"/>
      <c r="M28" s="4"/>
      <c r="N28" s="76"/>
      <c r="O28" s="76"/>
      <c r="P28" s="76" t="str">
        <f t="shared" si="4"/>
        <v>,facility</v>
      </c>
      <c r="Q28" s="76" t="str">
        <f t="shared" si="0"/>
        <v>TEXT</v>
      </c>
      <c r="R28" s="76" t="str">
        <f t="shared" si="1"/>
        <v/>
      </c>
      <c r="S28" s="76" t="str">
        <f t="shared" si="5"/>
        <v/>
      </c>
      <c r="T28" s="76" t="str">
        <f t="shared" si="6"/>
        <v>-- 依頼施設</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milscm_2023_009.sny_202310_base_text_mml_mmllb_body.facility IS '依頼施設';</v>
      </c>
    </row>
    <row r="29" spans="1:45" s="25" customFormat="1">
      <c r="A29" s="4"/>
      <c r="B29" s="21">
        <f t="shared" si="2"/>
        <v>17</v>
      </c>
      <c r="C29" s="6" t="s">
        <v>1570</v>
      </c>
      <c r="D29" s="6" t="s">
        <v>3880</v>
      </c>
      <c r="E29" s="8"/>
      <c r="F29" s="7" t="s">
        <v>3280</v>
      </c>
      <c r="G29" s="7" t="str">
        <f t="shared" si="3"/>
        <v>text</v>
      </c>
      <c r="H29" s="26"/>
      <c r="I29" s="10"/>
      <c r="J29" s="11"/>
      <c r="M29" s="4"/>
      <c r="N29" s="76"/>
      <c r="O29" s="76"/>
      <c r="P29" s="76" t="str">
        <f t="shared" si="4"/>
        <v>,facility_code</v>
      </c>
      <c r="Q29" s="76" t="str">
        <f t="shared" si="0"/>
        <v>TEXT</v>
      </c>
      <c r="R29" s="76" t="str">
        <f t="shared" si="1"/>
        <v/>
      </c>
      <c r="S29" s="76" t="str">
        <f t="shared" si="5"/>
        <v/>
      </c>
      <c r="T29" s="76" t="str">
        <f t="shared" si="6"/>
        <v>-- 依頼施設コード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milscm_2023_009.sny_202310_base_text_mml_mmllb_body.facility_code IS '依頼施設コード';</v>
      </c>
    </row>
    <row r="30" spans="1:45" s="25" customFormat="1">
      <c r="A30" s="4"/>
      <c r="B30" s="21">
        <f t="shared" si="2"/>
        <v>18</v>
      </c>
      <c r="C30" s="6" t="s">
        <v>1572</v>
      </c>
      <c r="D30" s="6" t="s">
        <v>3881</v>
      </c>
      <c r="E30" s="8"/>
      <c r="F30" s="7" t="s">
        <v>3280</v>
      </c>
      <c r="G30" s="7" t="str">
        <f t="shared" si="3"/>
        <v>text</v>
      </c>
      <c r="H30" s="26"/>
      <c r="I30" s="10"/>
      <c r="J30" s="11"/>
      <c r="M30" s="4"/>
      <c r="N30" s="76"/>
      <c r="O30" s="76"/>
      <c r="P30" s="76" t="str">
        <f t="shared" si="4"/>
        <v>,facility_code_id</v>
      </c>
      <c r="Q30" s="76" t="str">
        <f t="shared" si="0"/>
        <v>TEXT</v>
      </c>
      <c r="R30" s="76" t="str">
        <f t="shared" si="1"/>
        <v/>
      </c>
      <c r="S30" s="76" t="str">
        <f t="shared" si="5"/>
        <v/>
      </c>
      <c r="T30" s="76" t="str">
        <f t="shared" si="6"/>
        <v>-- 依頼施設コードID</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milscm_2023_009.sny_202310_base_text_mml_mmllb_body.facility_code_id IS '依頼施設コードID';</v>
      </c>
    </row>
    <row r="31" spans="1:45" s="25" customFormat="1">
      <c r="A31" s="4"/>
      <c r="B31" s="21">
        <f t="shared" si="2"/>
        <v>19</v>
      </c>
      <c r="C31" s="6" t="s">
        <v>1574</v>
      </c>
      <c r="D31" s="6" t="s">
        <v>3882</v>
      </c>
      <c r="E31" s="8"/>
      <c r="F31" s="7" t="s">
        <v>3280</v>
      </c>
      <c r="G31" s="7" t="str">
        <f t="shared" si="3"/>
        <v>text</v>
      </c>
      <c r="H31" s="26"/>
      <c r="I31" s="10"/>
      <c r="J31" s="11"/>
      <c r="M31" s="4"/>
      <c r="N31" s="76"/>
      <c r="O31" s="76"/>
      <c r="P31" s="76" t="str">
        <f t="shared" si="4"/>
        <v>,department</v>
      </c>
      <c r="Q31" s="76" t="str">
        <f t="shared" si="0"/>
        <v>TEXT</v>
      </c>
      <c r="R31" s="76" t="str">
        <f t="shared" si="1"/>
        <v/>
      </c>
      <c r="S31" s="76" t="str">
        <f t="shared" si="5"/>
        <v/>
      </c>
      <c r="T31" s="76" t="str">
        <f t="shared" si="6"/>
        <v>-- 依頼診療科</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milscm_2023_009.sny_202310_base_text_mml_mmllb_body.department IS '依頼診療科';</v>
      </c>
    </row>
    <row r="32" spans="1:45" s="25" customFormat="1">
      <c r="A32" s="4"/>
      <c r="B32" s="21">
        <f t="shared" si="2"/>
        <v>20</v>
      </c>
      <c r="C32" s="6" t="s">
        <v>1576</v>
      </c>
      <c r="D32" s="6" t="s">
        <v>1687</v>
      </c>
      <c r="E32" s="8"/>
      <c r="F32" s="7" t="s">
        <v>3280</v>
      </c>
      <c r="G32" s="7" t="str">
        <f t="shared" si="3"/>
        <v>text</v>
      </c>
      <c r="H32" s="26"/>
      <c r="I32" s="10"/>
      <c r="J32" s="11"/>
      <c r="M32" s="4"/>
      <c r="N32" s="76"/>
      <c r="O32" s="76"/>
      <c r="P32" s="76" t="str">
        <f t="shared" si="4"/>
        <v>,department_code</v>
      </c>
      <c r="Q32" s="76" t="str">
        <f t="shared" si="0"/>
        <v>TEXT</v>
      </c>
      <c r="R32" s="76" t="str">
        <f t="shared" si="1"/>
        <v/>
      </c>
      <c r="S32" s="76" t="str">
        <f t="shared" si="5"/>
        <v/>
      </c>
      <c r="T32" s="76" t="str">
        <f t="shared" si="6"/>
        <v>-- 依頼診療科コード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milscm_2023_009.sny_202310_base_text_mml_mmllb_body.department_code IS '依頼診療科コード';</v>
      </c>
    </row>
    <row r="33" spans="1:52" s="25" customFormat="1">
      <c r="A33" s="4"/>
      <c r="B33" s="21">
        <f t="shared" si="2"/>
        <v>21</v>
      </c>
      <c r="C33" s="6" t="s">
        <v>2971</v>
      </c>
      <c r="D33" s="6" t="s">
        <v>3883</v>
      </c>
      <c r="E33" s="8"/>
      <c r="F33" s="7" t="s">
        <v>3280</v>
      </c>
      <c r="G33" s="7" t="str">
        <f t="shared" si="3"/>
        <v>text</v>
      </c>
      <c r="H33" s="26"/>
      <c r="I33" s="10"/>
      <c r="J33" s="11"/>
      <c r="M33" s="4"/>
      <c r="N33" s="76"/>
      <c r="O33" s="76"/>
      <c r="P33" s="76" t="str">
        <f t="shared" si="4"/>
        <v>,department_code_id</v>
      </c>
      <c r="Q33" s="76" t="str">
        <f t="shared" si="0"/>
        <v>TEXT</v>
      </c>
      <c r="R33" s="76" t="str">
        <f t="shared" si="1"/>
        <v/>
      </c>
      <c r="S33" s="76" t="str">
        <f t="shared" si="5"/>
        <v/>
      </c>
      <c r="T33" s="76" t="str">
        <f t="shared" si="6"/>
        <v>-- 依頼診療科コードID</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milscm_2023_009.sny_202310_base_text_mml_mmllb_body.department_code_id IS '依頼診療科コードID';</v>
      </c>
    </row>
    <row r="34" spans="1:52" s="25" customFormat="1">
      <c r="A34" s="4"/>
      <c r="B34" s="21">
        <f t="shared" si="2"/>
        <v>22</v>
      </c>
      <c r="C34" s="6" t="s">
        <v>1578</v>
      </c>
      <c r="D34" s="6" t="s">
        <v>1689</v>
      </c>
      <c r="E34" s="8"/>
      <c r="F34" s="7" t="s">
        <v>3280</v>
      </c>
      <c r="G34" s="7" t="str">
        <f t="shared" si="3"/>
        <v>text</v>
      </c>
      <c r="H34" s="26"/>
      <c r="I34" s="10"/>
      <c r="J34" s="11"/>
      <c r="M34" s="4"/>
      <c r="N34" s="76"/>
      <c r="O34" s="76"/>
      <c r="P34" s="76" t="str">
        <f t="shared" si="4"/>
        <v>,ward</v>
      </c>
      <c r="Q34" s="76" t="str">
        <f t="shared" si="0"/>
        <v>TEXT</v>
      </c>
      <c r="R34" s="76" t="str">
        <f t="shared" si="1"/>
        <v/>
      </c>
      <c r="S34" s="76" t="str">
        <f t="shared" si="5"/>
        <v/>
      </c>
      <c r="T34" s="76" t="str">
        <f t="shared" si="6"/>
        <v>-- 依頼病棟</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milscm_2023_009.sny_202310_base_text_mml_mmllb_body.ward IS '依頼病棟';</v>
      </c>
    </row>
    <row r="35" spans="1:52" s="25" customFormat="1">
      <c r="A35" s="4"/>
      <c r="B35" s="21">
        <f t="shared" si="2"/>
        <v>23</v>
      </c>
      <c r="C35" s="6" t="s">
        <v>1580</v>
      </c>
      <c r="D35" s="6" t="s">
        <v>239</v>
      </c>
      <c r="E35" s="8"/>
      <c r="F35" s="7" t="s">
        <v>3280</v>
      </c>
      <c r="G35" s="7" t="str">
        <f t="shared" si="3"/>
        <v>text</v>
      </c>
      <c r="H35" s="26"/>
      <c r="I35" s="10"/>
      <c r="J35" s="11"/>
      <c r="M35" s="4"/>
      <c r="N35" s="76"/>
      <c r="O35" s="76"/>
      <c r="P35" s="76" t="str">
        <f t="shared" si="4"/>
        <v>,ward_code</v>
      </c>
      <c r="Q35" s="76" t="str">
        <f t="shared" si="0"/>
        <v>TEXT</v>
      </c>
      <c r="R35" s="76" t="str">
        <f t="shared" si="1"/>
        <v/>
      </c>
      <c r="S35" s="76" t="str">
        <f t="shared" si="5"/>
        <v/>
      </c>
      <c r="T35" s="76" t="str">
        <f t="shared" si="6"/>
        <v>-- 依頼病棟コード</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milscm_2023_009.sny_202310_base_text_mml_mmllb_body.ward_code IS '依頼病棟コード';</v>
      </c>
    </row>
    <row r="36" spans="1:52" s="25" customFormat="1">
      <c r="A36" s="4"/>
      <c r="B36" s="21">
        <f t="shared" si="2"/>
        <v>24</v>
      </c>
      <c r="C36" s="6" t="s">
        <v>1582</v>
      </c>
      <c r="D36" s="6" t="s">
        <v>1691</v>
      </c>
      <c r="E36" s="8"/>
      <c r="F36" s="7" t="s">
        <v>3280</v>
      </c>
      <c r="G36" s="7" t="str">
        <f t="shared" si="3"/>
        <v>text</v>
      </c>
      <c r="H36" s="26"/>
      <c r="I36" s="10"/>
      <c r="J36" s="11"/>
      <c r="M36" s="4"/>
      <c r="N36" s="76"/>
      <c r="O36" s="76"/>
      <c r="P36" s="76" t="str">
        <f t="shared" si="4"/>
        <v>,ward_code_id</v>
      </c>
      <c r="Q36" s="76" t="str">
        <f t="shared" si="0"/>
        <v>TEXT</v>
      </c>
      <c r="R36" s="76" t="str">
        <f t="shared" si="1"/>
        <v/>
      </c>
      <c r="S36" s="76" t="str">
        <f t="shared" si="5"/>
        <v/>
      </c>
      <c r="T36" s="76" t="str">
        <f t="shared" si="6"/>
        <v>-- 依頼病棟コードID</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milscm_2023_009.sny_202310_base_text_mml_mmllb_body.ward_code_id IS '依頼病棟コードID';</v>
      </c>
    </row>
    <row r="37" spans="1:52" s="25" customFormat="1">
      <c r="A37" s="4"/>
      <c r="B37" s="21">
        <f t="shared" si="2"/>
        <v>25</v>
      </c>
      <c r="C37" s="6" t="s">
        <v>3884</v>
      </c>
      <c r="D37" s="6" t="s">
        <v>3885</v>
      </c>
      <c r="E37" s="8"/>
      <c r="F37" s="7" t="s">
        <v>3280</v>
      </c>
      <c r="G37" s="7" t="str">
        <f t="shared" si="3"/>
        <v>text</v>
      </c>
      <c r="H37" s="26"/>
      <c r="I37" s="10"/>
      <c r="J37" s="11"/>
      <c r="M37" s="4"/>
      <c r="N37" s="76"/>
      <c r="O37" s="76"/>
      <c r="P37" s="76" t="str">
        <f t="shared" si="4"/>
        <v>,client</v>
      </c>
      <c r="Q37" s="76" t="str">
        <f t="shared" si="0"/>
        <v>TEXT</v>
      </c>
      <c r="R37" s="76" t="str">
        <f t="shared" si="1"/>
        <v/>
      </c>
      <c r="S37" s="76" t="str">
        <f t="shared" si="5"/>
        <v/>
      </c>
      <c r="T37" s="76" t="str">
        <f t="shared" si="6"/>
        <v>-- 依頼者</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milscm_2023_009.sny_202310_base_text_mml_mmllb_body.client IS '依頼者';</v>
      </c>
    </row>
    <row r="38" spans="1:52" s="25" customFormat="1">
      <c r="A38" s="4"/>
      <c r="B38" s="21">
        <f t="shared" si="2"/>
        <v>26</v>
      </c>
      <c r="C38" s="6" t="s">
        <v>3886</v>
      </c>
      <c r="D38" s="6" t="s">
        <v>3887</v>
      </c>
      <c r="E38" s="8"/>
      <c r="F38" s="7" t="s">
        <v>3280</v>
      </c>
      <c r="G38" s="7" t="str">
        <f t="shared" si="3"/>
        <v>text</v>
      </c>
      <c r="H38" s="26"/>
      <c r="I38" s="10"/>
      <c r="J38" s="11"/>
      <c r="M38" s="4"/>
      <c r="N38" s="76"/>
      <c r="O38" s="76"/>
      <c r="P38" s="76" t="str">
        <f t="shared" si="4"/>
        <v>,client_code</v>
      </c>
      <c r="Q38" s="76" t="str">
        <f t="shared" si="0"/>
        <v>TEXT</v>
      </c>
      <c r="R38" s="76" t="str">
        <f t="shared" si="1"/>
        <v/>
      </c>
      <c r="S38" s="76" t="str">
        <f t="shared" si="5"/>
        <v/>
      </c>
      <c r="T38" s="76" t="str">
        <f t="shared" si="6"/>
        <v>-- 依頼者コード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milscm_2023_009.sny_202310_base_text_mml_mmllb_body.client_code IS '依頼者コード';</v>
      </c>
    </row>
    <row r="39" spans="1:52" s="25" customFormat="1">
      <c r="A39" s="4"/>
      <c r="B39" s="21">
        <f t="shared" si="2"/>
        <v>27</v>
      </c>
      <c r="C39" s="6" t="s">
        <v>3888</v>
      </c>
      <c r="D39" s="6" t="s">
        <v>3889</v>
      </c>
      <c r="E39" s="8"/>
      <c r="F39" s="7" t="s">
        <v>3280</v>
      </c>
      <c r="G39" s="7" t="str">
        <f t="shared" si="3"/>
        <v>text</v>
      </c>
      <c r="H39" s="26"/>
      <c r="I39" s="10"/>
      <c r="J39" s="11"/>
      <c r="M39" s="4"/>
      <c r="N39" s="76"/>
      <c r="O39" s="76"/>
      <c r="P39" s="76" t="str">
        <f t="shared" si="4"/>
        <v>,client_code_id</v>
      </c>
      <c r="Q39" s="76" t="str">
        <f t="shared" si="0"/>
        <v>TEXT</v>
      </c>
      <c r="R39" s="76" t="str">
        <f t="shared" si="1"/>
        <v/>
      </c>
      <c r="S39" s="76" t="str">
        <f t="shared" si="5"/>
        <v/>
      </c>
      <c r="T39" s="76" t="str">
        <f t="shared" si="6"/>
        <v>-- 依頼者コードID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milscm_2023_009.sny_202310_base_text_mml_mmllb_body.client_code_id IS '依頼者コードID';</v>
      </c>
    </row>
    <row r="40" spans="1:52" s="25" customFormat="1">
      <c r="A40" s="4"/>
      <c r="B40" s="21">
        <f t="shared" si="2"/>
        <v>28</v>
      </c>
      <c r="C40" s="6" t="s">
        <v>3890</v>
      </c>
      <c r="D40" s="6" t="s">
        <v>3891</v>
      </c>
      <c r="E40" s="8"/>
      <c r="F40" s="7" t="s">
        <v>3280</v>
      </c>
      <c r="G40" s="7" t="str">
        <f t="shared" si="3"/>
        <v>text</v>
      </c>
      <c r="H40" s="26"/>
      <c r="I40" s="10"/>
      <c r="J40" s="11"/>
      <c r="M40" s="4"/>
      <c r="N40" s="76"/>
      <c r="O40" s="76"/>
      <c r="P40" s="76" t="str">
        <f t="shared" si="4"/>
        <v>,laboratory_center</v>
      </c>
      <c r="Q40" s="76" t="str">
        <f t="shared" si="0"/>
        <v>TEXT</v>
      </c>
      <c r="R40" s="76" t="str">
        <f t="shared" si="1"/>
        <v/>
      </c>
      <c r="S40" s="76" t="str">
        <f t="shared" si="5"/>
        <v/>
      </c>
      <c r="T40" s="76" t="str">
        <f t="shared" si="6"/>
        <v>-- 検査実施施設</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milscm_2023_009.sny_202310_base_text_mml_mmllb_body.laboratory_center IS '検査実施施設';</v>
      </c>
    </row>
    <row r="41" spans="1:52" s="25" customFormat="1">
      <c r="A41" s="4"/>
      <c r="B41" s="21">
        <f t="shared" si="2"/>
        <v>29</v>
      </c>
      <c r="C41" s="6" t="s">
        <v>3892</v>
      </c>
      <c r="D41" s="6" t="s">
        <v>3893</v>
      </c>
      <c r="E41" s="8"/>
      <c r="F41" s="7" t="s">
        <v>3280</v>
      </c>
      <c r="G41" s="7" t="str">
        <f t="shared" si="3"/>
        <v>text</v>
      </c>
      <c r="H41" s="26"/>
      <c r="I41" s="10"/>
      <c r="J41" s="11"/>
      <c r="M41" s="4"/>
      <c r="N41" s="76"/>
      <c r="O41" s="76"/>
      <c r="P41" s="76" t="str">
        <f t="shared" si="4"/>
        <v>,laboratory_center_code</v>
      </c>
      <c r="Q41" s="76" t="str">
        <f t="shared" si="0"/>
        <v>TEXT</v>
      </c>
      <c r="R41" s="76" t="str">
        <f t="shared" si="1"/>
        <v/>
      </c>
      <c r="S41" s="76" t="str">
        <f t="shared" si="5"/>
        <v/>
      </c>
      <c r="T41" s="76" t="str">
        <f t="shared" si="6"/>
        <v>-- 検査実施施設コード</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milscm_2023_009.sny_202310_base_text_mml_mmllb_body.laboratory_center_code IS '検査実施施設コード';</v>
      </c>
    </row>
    <row r="42" spans="1:52" s="25" customFormat="1" ht="30">
      <c r="A42" s="4"/>
      <c r="B42" s="21">
        <f t="shared" si="2"/>
        <v>30</v>
      </c>
      <c r="C42" s="6" t="s">
        <v>3894</v>
      </c>
      <c r="D42" s="6" t="s">
        <v>3895</v>
      </c>
      <c r="E42" s="8"/>
      <c r="F42" s="7" t="s">
        <v>3280</v>
      </c>
      <c r="G42" s="7" t="str">
        <f t="shared" si="3"/>
        <v>text</v>
      </c>
      <c r="H42" s="26"/>
      <c r="I42" s="10"/>
      <c r="J42" s="11"/>
      <c r="M42" s="4"/>
      <c r="N42" s="76"/>
      <c r="O42" s="76"/>
      <c r="P42" s="76" t="str">
        <f t="shared" si="4"/>
        <v>,laboratory_center_code_id</v>
      </c>
      <c r="Q42" s="76" t="str">
        <f t="shared" si="0"/>
        <v>TEXT</v>
      </c>
      <c r="R42" s="76" t="str">
        <f t="shared" si="1"/>
        <v/>
      </c>
      <c r="S42" s="76" t="str">
        <f t="shared" si="5"/>
        <v/>
      </c>
      <c r="T42" s="76" t="str">
        <f t="shared" si="6"/>
        <v>-- 検査実施施設コードID</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milscm_2023_009.sny_202310_base_text_mml_mmllb_body.laboratory_center_code_id IS '検査実施施設コードID';</v>
      </c>
    </row>
    <row r="43" spans="1:52" s="25" customFormat="1">
      <c r="A43" s="4"/>
      <c r="B43" s="21">
        <f t="shared" si="2"/>
        <v>31</v>
      </c>
      <c r="C43" s="6" t="s">
        <v>3896</v>
      </c>
      <c r="D43" s="6" t="s">
        <v>3897</v>
      </c>
      <c r="E43" s="8"/>
      <c r="F43" s="7" t="s">
        <v>3280</v>
      </c>
      <c r="G43" s="7" t="str">
        <f t="shared" si="3"/>
        <v>text</v>
      </c>
      <c r="H43" s="26"/>
      <c r="I43" s="10"/>
      <c r="J43" s="11"/>
      <c r="M43" s="4"/>
      <c r="N43" s="76"/>
      <c r="O43" s="76"/>
      <c r="P43" s="76" t="str">
        <f t="shared" si="4"/>
        <v>,technician</v>
      </c>
      <c r="Q43" s="76" t="str">
        <f t="shared" si="0"/>
        <v>TEXT</v>
      </c>
      <c r="R43" s="76" t="str">
        <f t="shared" si="1"/>
        <v/>
      </c>
      <c r="S43" s="76" t="str">
        <f t="shared" si="5"/>
        <v/>
      </c>
      <c r="T43" s="76" t="str">
        <f t="shared" si="6"/>
        <v>-- 検査実施者</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milscm_2023_009.sny_202310_base_text_mml_mmllb_body.technician IS '検査実施者';</v>
      </c>
    </row>
    <row r="44" spans="1:52" s="25" customFormat="1">
      <c r="A44" s="4"/>
      <c r="B44" s="21">
        <f t="shared" si="2"/>
        <v>32</v>
      </c>
      <c r="C44" s="6" t="s">
        <v>3898</v>
      </c>
      <c r="D44" s="6" t="s">
        <v>3899</v>
      </c>
      <c r="E44" s="8"/>
      <c r="F44" s="7" t="s">
        <v>3280</v>
      </c>
      <c r="G44" s="7" t="str">
        <f t="shared" si="3"/>
        <v>text</v>
      </c>
      <c r="H44" s="26"/>
      <c r="I44" s="10"/>
      <c r="J44" s="11"/>
      <c r="M44" s="4"/>
      <c r="N44" s="76"/>
      <c r="O44" s="76"/>
      <c r="P44" s="76" t="str">
        <f t="shared" si="4"/>
        <v>,technician_code</v>
      </c>
      <c r="Q44" s="76" t="str">
        <f t="shared" si="0"/>
        <v>TEXT</v>
      </c>
      <c r="R44" s="76" t="str">
        <f t="shared" si="1"/>
        <v/>
      </c>
      <c r="S44" s="76" t="str">
        <f t="shared" si="5"/>
        <v/>
      </c>
      <c r="T44" s="76" t="str">
        <f t="shared" si="6"/>
        <v>-- 検査実施者コード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milscm_2023_009.sny_202310_base_text_mml_mmllb_body.technician_code IS '検査実施者コード';</v>
      </c>
    </row>
    <row r="45" spans="1:52" s="25" customFormat="1">
      <c r="A45" s="4"/>
      <c r="B45" s="21">
        <f t="shared" si="2"/>
        <v>33</v>
      </c>
      <c r="C45" s="6" t="s">
        <v>3900</v>
      </c>
      <c r="D45" s="6" t="s">
        <v>3901</v>
      </c>
      <c r="E45" s="8"/>
      <c r="F45" s="7" t="s">
        <v>3280</v>
      </c>
      <c r="G45" s="7" t="str">
        <f t="shared" si="3"/>
        <v>text</v>
      </c>
      <c r="H45" s="26"/>
      <c r="I45" s="10"/>
      <c r="J45" s="11"/>
      <c r="M45" s="4"/>
      <c r="N45" s="76"/>
      <c r="O45" s="76"/>
      <c r="P45" s="76" t="str">
        <f t="shared" si="4"/>
        <v>,technician_code_id</v>
      </c>
      <c r="Q45" s="76" t="str">
        <f t="shared" si="0"/>
        <v>TEXT</v>
      </c>
      <c r="R45" s="76" t="str">
        <f t="shared" si="1"/>
        <v/>
      </c>
      <c r="S45" s="76" t="str">
        <f t="shared" si="5"/>
        <v/>
      </c>
      <c r="T45" s="76" t="str">
        <f t="shared" si="6"/>
        <v>-- 検査実施者コードID</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milscm_2023_009.sny_202310_base_text_mml_mmllb_body.technician_code_id IS '検査実施者コードID';</v>
      </c>
    </row>
    <row r="46" spans="1:52" s="25" customFormat="1" ht="18" thickBot="1">
      <c r="A46" s="4"/>
      <c r="B46" s="27">
        <f>ROW()-12</f>
        <v>34</v>
      </c>
      <c r="C46" s="57" t="s">
        <v>1584</v>
      </c>
      <c r="D46" s="57" t="s">
        <v>3902</v>
      </c>
      <c r="E46" s="56"/>
      <c r="F46" s="56" t="s">
        <v>3280</v>
      </c>
      <c r="G46" s="56" t="str">
        <f t="shared" si="3"/>
        <v>text</v>
      </c>
      <c r="H46" s="59"/>
      <c r="I46" s="60"/>
      <c r="J46" s="64"/>
      <c r="N46" s="76"/>
      <c r="O46" s="76"/>
      <c r="P46" s="76" t="str">
        <f t="shared" si="4"/>
        <v>,rep_memo</v>
      </c>
      <c r="Q46" s="76" t="str">
        <f t="shared" si="0"/>
        <v>TEXT</v>
      </c>
      <c r="R46" s="76" t="str">
        <f t="shared" si="1"/>
        <v/>
      </c>
      <c r="S46" s="76" t="str">
        <f t="shared" si="5"/>
        <v/>
      </c>
      <c r="T46" s="76" t="str">
        <f t="shared" si="6"/>
        <v>-- 報告フリーコメント</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milscm_2023_009.sny_202310_base_text_mml_mmllb_body.rep_memo IS '報告フリーコメント';</v>
      </c>
    </row>
    <row r="47" spans="1:52">
      <c r="L47" s="25"/>
      <c r="M47" s="25"/>
      <c r="N47" s="76" t="s">
        <v>142</v>
      </c>
      <c r="O47" s="76"/>
      <c r="P47" s="76"/>
      <c r="Q47" s="76"/>
      <c r="R47" s="76"/>
      <c r="S47" s="76"/>
      <c r="T47" s="76"/>
      <c r="V47" s="25"/>
      <c r="W47" s="25"/>
      <c r="X47" s="25"/>
      <c r="Y47" s="25"/>
      <c r="Z47" s="25"/>
      <c r="AJ47" s="76"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ENT_31_A6-19</v>
      </c>
      <c r="E6" s="234"/>
      <c r="F6" s="234"/>
      <c r="G6" s="234"/>
      <c r="H6" s="234"/>
      <c r="I6" s="234"/>
      <c r="J6" s="235"/>
    </row>
    <row r="7" spans="1:45">
      <c r="B7" s="223" t="s">
        <v>115</v>
      </c>
      <c r="C7" s="224"/>
      <c r="D7" s="225" t="s">
        <v>4017</v>
      </c>
      <c r="E7" s="226"/>
      <c r="F7" s="226"/>
      <c r="G7" s="226"/>
      <c r="H7" s="226"/>
      <c r="I7" s="226"/>
      <c r="J7" s="227"/>
    </row>
    <row r="8" spans="1:45">
      <c r="B8" s="223" t="s">
        <v>116</v>
      </c>
      <c r="C8" s="224"/>
      <c r="D8" s="225" t="str">
        <f>エンティティ一覧!AE2&amp;"_"&amp;D5&amp;"_text_mml_mmllb_memo"</f>
        <v>sny_202310_base_text_mml_mmllb_memo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milscm_2023_009.sny_202310_base_text_mml_mmllb_memo;</v>
      </c>
      <c r="O10" s="76"/>
      <c r="P10" s="76"/>
      <c r="Q10" s="76"/>
      <c r="R10" s="76"/>
      <c r="S10" s="76"/>
      <c r="T10" s="76"/>
      <c r="AJ10" s="76" t="str">
        <f>"ALTER TABLE ONLY "&amp;エンティティ一覧!$O$2&amp;"."&amp;D$8</f>
        <v>ALTER TABLE ONLY milscm_2023_009.sny_202310_base_text_mml_mmllb_memo</v>
      </c>
      <c r="AS10" s="76" t="str">
        <f>"ALTER TABLE "&amp;エンティティ一覧!$O$2&amp;"."&amp;D$8&amp;" OWNER TO pgmisgrp1;"</f>
        <v>ALTER TABLE milscm_2023_009.sny_202310_base_text_mml_mmllb_memo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milscm_2023_009.sny_202310_base_text_mml_mmllb_memo</v>
      </c>
      <c r="O11" s="76"/>
      <c r="P11" s="76"/>
      <c r="Q11" s="76"/>
      <c r="R11" s="76"/>
      <c r="S11" s="76"/>
      <c r="T11" s="76"/>
      <c r="AJ11" s="76" t="str">
        <f>"ADD CONSTRAINT "&amp;D$8&amp;"_pkey PRIMARY KEY"</f>
        <v>ADD CONSTRAINT sny_202310_base_text_mml_mmllb_memo_pkey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milscm_2023_009.sny_202310_base_text_mml_mmllb_memo IS 'ベース_MML_検歴情報モジュール_報告コメント';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milscm_2023_009.sny_202310_base_text_mml_mmllb_memo.zip_no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milscm_2023_009.sny_202310_base_text_mml_mmllb_memo.master_id IS '患者ID';</v>
      </c>
    </row>
    <row r="18" spans="1:52" s="25" customFormat="1">
      <c r="A18" s="4"/>
      <c r="B18" s="21">
        <f t="shared" si="2"/>
        <v>6</v>
      </c>
      <c r="C18" s="6" t="s">
        <v>3903</v>
      </c>
      <c r="D18" s="6" t="s">
        <v>3904</v>
      </c>
      <c r="E18" s="8" t="s">
        <v>127</v>
      </c>
      <c r="F18" s="7" t="s">
        <v>3278</v>
      </c>
      <c r="G18" s="7" t="str">
        <f t="shared" si="3"/>
        <v>integer</v>
      </c>
      <c r="H18" s="26"/>
      <c r="I18" s="10" t="s">
        <v>127</v>
      </c>
      <c r="J18" s="11"/>
      <c r="M18" s="4"/>
      <c r="N18" s="76"/>
      <c r="O18" s="76"/>
      <c r="P18" s="76" t="str">
        <f t="shared" si="4"/>
        <v>,memo_no</v>
      </c>
      <c r="Q18" s="76" t="str">
        <f t="shared" si="0"/>
        <v>INTEGER</v>
      </c>
      <c r="R18" s="76" t="str">
        <f t="shared" si="1"/>
        <v/>
      </c>
      <c r="S18" s="76" t="str">
        <f t="shared" si="5"/>
        <v>NOT NULL</v>
      </c>
      <c r="T18" s="76" t="str">
        <f t="shared" si="6"/>
        <v>-- メモNo</v>
      </c>
      <c r="U18" s="4"/>
      <c r="AA18" s="4"/>
      <c r="AB18" s="4"/>
      <c r="AC18" s="4"/>
      <c r="AD18" s="4"/>
      <c r="AE18" s="4"/>
      <c r="AF18" s="4"/>
      <c r="AG18" s="4"/>
      <c r="AH18" s="4"/>
      <c r="AI18" s="4"/>
      <c r="AJ18" s="76" t="str">
        <f>IF(E18="○",IF(COUNTA(E$13:E18)=1,"",",")&amp;D18,"")</f>
        <v>,memo_no</v>
      </c>
      <c r="AK18" s="4"/>
      <c r="AL18" s="4"/>
      <c r="AM18" s="4"/>
      <c r="AN18" s="4"/>
      <c r="AO18" s="4"/>
      <c r="AP18" s="4"/>
      <c r="AQ18" s="4"/>
      <c r="AR18" s="4"/>
      <c r="AS18" s="76" t="str">
        <f>"COMMENT ON COLUMN "&amp;エンティティ一覧!$O$2&amp;"."&amp;D$8&amp;"."&amp;D18&amp;" IS '"&amp;C18&amp;"';"</f>
        <v>COMMENT ON COLUMN milscm_2023_009.sny_202310_base_text_mml_mmllb_memo.memo_no IS 'メモNo';</v>
      </c>
    </row>
    <row r="19" spans="1:52" s="25" customFormat="1">
      <c r="A19" s="4"/>
      <c r="B19" s="21">
        <f t="shared" si="2"/>
        <v>7</v>
      </c>
      <c r="C19" s="6" t="s">
        <v>3905</v>
      </c>
      <c r="D19" s="6" t="s">
        <v>3902</v>
      </c>
      <c r="E19" s="8"/>
      <c r="F19" s="7" t="s">
        <v>3280</v>
      </c>
      <c r="G19" s="7" t="str">
        <f t="shared" si="3"/>
        <v>text</v>
      </c>
      <c r="H19" s="26"/>
      <c r="I19" s="10"/>
      <c r="J19" s="11"/>
      <c r="M19" s="4"/>
      <c r="N19" s="76"/>
      <c r="O19" s="76"/>
      <c r="P19" s="76" t="str">
        <f t="shared" si="4"/>
        <v>,rep_memo</v>
      </c>
      <c r="Q19" s="76" t="str">
        <f t="shared" si="0"/>
        <v>TEXT</v>
      </c>
      <c r="R19" s="76" t="str">
        <f t="shared" si="1"/>
        <v/>
      </c>
      <c r="S19" s="76" t="str">
        <f t="shared" si="5"/>
        <v/>
      </c>
      <c r="T19" s="76" t="str">
        <f t="shared" si="6"/>
        <v>-- 報告コメント</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milscm_2023_009.sny_202310_base_text_mml_mmllb_memo.rep_memo IS '報告コメント';</v>
      </c>
    </row>
    <row r="20" spans="1:52" s="25" customFormat="1">
      <c r="A20" s="4"/>
      <c r="B20" s="21">
        <f t="shared" si="2"/>
        <v>8</v>
      </c>
      <c r="C20" s="6" t="s">
        <v>3906</v>
      </c>
      <c r="D20" s="6" t="s">
        <v>3907</v>
      </c>
      <c r="E20" s="8"/>
      <c r="F20" s="7" t="s">
        <v>3280</v>
      </c>
      <c r="G20" s="7" t="str">
        <f t="shared" si="3"/>
        <v>text</v>
      </c>
      <c r="H20" s="26"/>
      <c r="I20" s="10"/>
      <c r="J20" s="11"/>
      <c r="M20" s="4"/>
      <c r="N20" s="76"/>
      <c r="O20" s="76"/>
      <c r="P20" s="76" t="str">
        <f t="shared" si="4"/>
        <v>,rep_code_name</v>
      </c>
      <c r="Q20" s="76" t="str">
        <f t="shared" si="0"/>
        <v>TEXT</v>
      </c>
      <c r="R20" s="76" t="str">
        <f t="shared" si="1"/>
        <v/>
      </c>
      <c r="S20" s="76" t="str">
        <f t="shared" si="5"/>
        <v/>
      </c>
      <c r="T20" s="76" t="str">
        <f t="shared" si="6"/>
        <v>-- 報告コメントコード名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milscm_2023_009.sny_202310_base_text_mml_mmllb_memo.rep_code_name IS '報告コメントコード名';</v>
      </c>
    </row>
    <row r="21" spans="1:52" s="25" customFormat="1">
      <c r="A21" s="4"/>
      <c r="B21" s="21">
        <f t="shared" si="2"/>
        <v>9</v>
      </c>
      <c r="C21" s="6" t="s">
        <v>3908</v>
      </c>
      <c r="D21" s="6" t="s">
        <v>3061</v>
      </c>
      <c r="E21" s="8"/>
      <c r="F21" s="7" t="s">
        <v>3280</v>
      </c>
      <c r="G21" s="7" t="str">
        <f t="shared" si="3"/>
        <v>text</v>
      </c>
      <c r="H21" s="26"/>
      <c r="I21" s="10"/>
      <c r="J21" s="11"/>
      <c r="M21" s="4"/>
      <c r="N21" s="76"/>
      <c r="O21" s="76"/>
      <c r="P21" s="76" t="str">
        <f t="shared" si="4"/>
        <v>,rep_code</v>
      </c>
      <c r="Q21" s="76" t="str">
        <f t="shared" si="0"/>
        <v>TEXT</v>
      </c>
      <c r="R21" s="76" t="str">
        <f t="shared" si="1"/>
        <v/>
      </c>
      <c r="S21" s="76" t="str">
        <f t="shared" si="5"/>
        <v/>
      </c>
      <c r="T21" s="76" t="str">
        <f t="shared" si="6"/>
        <v>-- 報告コメントコード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milscm_2023_009.sny_202310_base_text_mml_mmllb_memo.rep_code IS '報告コメントコード';</v>
      </c>
    </row>
    <row r="22" spans="1:52" s="25" customFormat="1" ht="18" thickBot="1">
      <c r="A22" s="4"/>
      <c r="B22" s="27">
        <f>ROW()-12</f>
        <v>10</v>
      </c>
      <c r="C22" s="57" t="s">
        <v>3909</v>
      </c>
      <c r="D22" s="57" t="s">
        <v>3910</v>
      </c>
      <c r="E22" s="56"/>
      <c r="F22" s="56" t="s">
        <v>3280</v>
      </c>
      <c r="G22" s="56" t="str">
        <f t="shared" si="3"/>
        <v>text</v>
      </c>
      <c r="H22" s="59"/>
      <c r="I22" s="60"/>
      <c r="J22" s="64"/>
      <c r="N22" s="76"/>
      <c r="O22" s="76"/>
      <c r="P22" s="76" t="str">
        <f t="shared" si="4"/>
        <v>,rep_code_id</v>
      </c>
      <c r="Q22" s="76" t="str">
        <f t="shared" si="0"/>
        <v>TEXT</v>
      </c>
      <c r="R22" s="76" t="str">
        <f t="shared" si="1"/>
        <v/>
      </c>
      <c r="S22" s="76" t="str">
        <f t="shared" si="5"/>
        <v/>
      </c>
      <c r="T22" s="76" t="str">
        <f t="shared" si="6"/>
        <v>-- 報告コメントコードID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milscm_2023_009.sny_202310_base_text_mml_mmllb_memo.rep_code_id IS '報告コメントコードID';</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ENT_31_A6-20</v>
      </c>
      <c r="E6" s="234"/>
      <c r="F6" s="234"/>
      <c r="G6" s="234"/>
      <c r="H6" s="234"/>
      <c r="I6" s="234"/>
      <c r="J6" s="235"/>
    </row>
    <row r="7" spans="1:45">
      <c r="B7" s="223" t="s">
        <v>115</v>
      </c>
      <c r="C7" s="224"/>
      <c r="D7" s="225" t="s">
        <v>4018</v>
      </c>
      <c r="E7" s="226"/>
      <c r="F7" s="226"/>
      <c r="G7" s="226"/>
      <c r="H7" s="226"/>
      <c r="I7" s="226"/>
      <c r="J7" s="227"/>
    </row>
    <row r="8" spans="1:45">
      <c r="B8" s="223" t="s">
        <v>116</v>
      </c>
      <c r="C8" s="224"/>
      <c r="D8" s="225" t="str">
        <f>エンティティ一覧!AE2&amp;"_"&amp;D5&amp;"_text_mml_mmllb_labo_test"</f>
        <v>sny_202310_base_text_mml_mmllb_labo_test</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milscm_2023_009.sny_202310_base_text_mml_mmllb_labo_test;</v>
      </c>
      <c r="O10" s="76"/>
      <c r="P10" s="76"/>
      <c r="Q10" s="76"/>
      <c r="R10" s="76"/>
      <c r="S10" s="76"/>
      <c r="T10" s="76"/>
      <c r="AJ10" s="76" t="str">
        <f>"ALTER TABLE ONLY "&amp;エンティティ一覧!$O$2&amp;"."&amp;D$8</f>
        <v>ALTER TABLE ONLY milscm_2023_009.sny_202310_base_text_mml_mmllb_labo_test</v>
      </c>
      <c r="AS10" s="76" t="str">
        <f>"ALTER TABLE "&amp;エンティティ一覧!$O$2&amp;"."&amp;D$8&amp;" OWNER TO pgmisgrp1;"</f>
        <v>ALTER TABLE milscm_2023_009.sny_202310_base_text_mml_mmllb_labo_test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milscm_2023_009.sny_202310_base_text_mml_mmllb_labo_test</v>
      </c>
      <c r="O11" s="76"/>
      <c r="P11" s="76"/>
      <c r="Q11" s="76"/>
      <c r="R11" s="76"/>
      <c r="S11" s="76"/>
      <c r="T11" s="76"/>
      <c r="AJ11" s="76" t="str">
        <f>"ADD CONSTRAINT "&amp;D$8&amp;"_pkey PRIMARY KEY"</f>
        <v>ADD CONSTRAINT sny_202310_base_text_mml_mmllb_labo_test_pkey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milscm_2023_009.sny_202310_base_text_mml_mmllb_labo_test IS 'ベース_MML_検歴情報モジュール_検体検査結果情報';</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2" si="0">UPPER(G13)</f>
        <v>INTEGER</v>
      </c>
      <c r="R13" s="76" t="str">
        <f t="shared" ref="R13:R22"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milscm_2023_009.sny_202310_base_text_mml_mmllb_labo_test.zip_no IS 'ZipファイルNo';</v>
      </c>
    </row>
    <row r="14" spans="1:45" s="25" customFormat="1">
      <c r="A14" s="4"/>
      <c r="B14" s="21">
        <f t="shared" ref="B14:B21" si="2">ROW()-12</f>
        <v>2</v>
      </c>
      <c r="C14" s="6" t="s">
        <v>2787</v>
      </c>
      <c r="D14" s="6" t="s">
        <v>2788</v>
      </c>
      <c r="E14" s="8" t="s">
        <v>127</v>
      </c>
      <c r="F14" s="7" t="s">
        <v>3278</v>
      </c>
      <c r="G14" s="7" t="str">
        <f t="shared" ref="G14:G22" si="3">IF(F14="フラグ","boolean",IF(F14="文字列","text",IF(F14="整数","integer",IF(F14="実数","numeric",""))))</f>
        <v>integer</v>
      </c>
      <c r="H14" s="26"/>
      <c r="I14" s="10" t="s">
        <v>127</v>
      </c>
      <c r="J14" s="11"/>
      <c r="M14" s="4"/>
      <c r="N14" s="76"/>
      <c r="O14" s="76"/>
      <c r="P14" s="76" t="str">
        <f t="shared" ref="P14:P22" si="4">IF(B14&lt;&gt;1,","&amp;D14,D14)</f>
        <v>,file_no</v>
      </c>
      <c r="Q14" s="76" t="str">
        <f t="shared" si="0"/>
        <v>INTEGER</v>
      </c>
      <c r="R14" s="76" t="str">
        <f t="shared" si="1"/>
        <v/>
      </c>
      <c r="S14" s="76" t="str">
        <f t="shared" ref="S14:S22" si="5">IF(I14="○","NOT NULL","")</f>
        <v>NOT NULL</v>
      </c>
      <c r="T14" s="76" t="str">
        <f t="shared" ref="T14:T22"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milscm_2023_009.sny_202310_base_text_mml_mmllb_labo_test.file_no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milscm_2023_009.sny_202310_base_text_mml_mmllb_labo_test.body_no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milscm_2023_009.sny_202310_base_text_mml_mmllb_labo_test.facility_id_mml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milscm_2023_009.sny_202310_base_text_mml_mmllb_labo_test.master_id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milscm_2023_009.sny_202310_base_text_mml_mmllb_labo_test.labo_test_no IS '検体検査結果情報No';</v>
      </c>
    </row>
    <row r="19" spans="1:52" s="25" customFormat="1">
      <c r="A19" s="4"/>
      <c r="B19" s="21">
        <f t="shared" si="2"/>
        <v>7</v>
      </c>
      <c r="C19" s="6" t="s">
        <v>1610</v>
      </c>
      <c r="D19" s="6" t="s">
        <v>3991</v>
      </c>
      <c r="E19" s="8"/>
      <c r="F19" s="7" t="s">
        <v>3280</v>
      </c>
      <c r="G19" s="7" t="str">
        <f t="shared" si="3"/>
        <v>text</v>
      </c>
      <c r="H19" s="26"/>
      <c r="I19" s="10"/>
      <c r="J19" s="11"/>
      <c r="M19" s="4"/>
      <c r="N19" s="76"/>
      <c r="O19" s="76"/>
      <c r="P19" s="76" t="str">
        <f t="shared" si="4"/>
        <v>,specimen_name</v>
      </c>
      <c r="Q19" s="76" t="str">
        <f t="shared" si="0"/>
        <v>TEXT</v>
      </c>
      <c r="R19" s="76" t="str">
        <f t="shared" si="1"/>
        <v/>
      </c>
      <c r="S19" s="76" t="str">
        <f t="shared" si="5"/>
        <v/>
      </c>
      <c r="T19" s="76" t="str">
        <f t="shared" si="6"/>
        <v>-- 検体材料</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milscm_2023_009.sny_202310_base_text_mml_mmllb_labo_test.specimen_name IS '検体材料';</v>
      </c>
    </row>
    <row r="20" spans="1:52" s="25" customFormat="1">
      <c r="A20" s="4"/>
      <c r="B20" s="21">
        <f t="shared" si="2"/>
        <v>8</v>
      </c>
      <c r="C20" s="6" t="s">
        <v>1612</v>
      </c>
      <c r="D20" s="6" t="s">
        <v>1613</v>
      </c>
      <c r="E20" s="8"/>
      <c r="F20" s="7" t="s">
        <v>3280</v>
      </c>
      <c r="G20" s="7" t="str">
        <f t="shared" si="3"/>
        <v>text</v>
      </c>
      <c r="H20" s="26"/>
      <c r="I20" s="10"/>
      <c r="J20" s="11"/>
      <c r="M20" s="4"/>
      <c r="N20" s="76"/>
      <c r="O20" s="76"/>
      <c r="P20" s="76" t="str">
        <f t="shared" si="4"/>
        <v>,sp_code</v>
      </c>
      <c r="Q20" s="76" t="str">
        <f t="shared" si="0"/>
        <v>TEXT</v>
      </c>
      <c r="R20" s="76" t="str">
        <f t="shared" si="1"/>
        <v/>
      </c>
      <c r="S20" s="76" t="str">
        <f t="shared" si="5"/>
        <v/>
      </c>
      <c r="T20" s="76" t="str">
        <f t="shared" si="6"/>
        <v>-- 検体材料コード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milscm_2023_009.sny_202310_base_text_mml_mmllb_labo_test.sp_code IS '検体材料コード';</v>
      </c>
    </row>
    <row r="21" spans="1:52" s="25" customFormat="1">
      <c r="A21" s="4"/>
      <c r="B21" s="21">
        <f t="shared" si="2"/>
        <v>9</v>
      </c>
      <c r="C21" s="6" t="s">
        <v>3913</v>
      </c>
      <c r="D21" s="6" t="s">
        <v>1615</v>
      </c>
      <c r="E21" s="8"/>
      <c r="F21" s="7" t="s">
        <v>3280</v>
      </c>
      <c r="G21" s="7" t="str">
        <f t="shared" si="3"/>
        <v>text</v>
      </c>
      <c r="H21" s="26"/>
      <c r="I21" s="10"/>
      <c r="J21" s="11"/>
      <c r="M21" s="4"/>
      <c r="N21" s="76"/>
      <c r="O21" s="76"/>
      <c r="P21" s="76" t="str">
        <f t="shared" si="4"/>
        <v>,sp_code_id</v>
      </c>
      <c r="Q21" s="76" t="str">
        <f t="shared" si="0"/>
        <v>TEXT</v>
      </c>
      <c r="R21" s="76" t="str">
        <f t="shared" si="1"/>
        <v/>
      </c>
      <c r="S21" s="76" t="str">
        <f t="shared" si="5"/>
        <v/>
      </c>
      <c r="T21" s="76" t="str">
        <f t="shared" si="6"/>
        <v>-- 検体材料コードID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milscm_2023_009.sny_202310_base_text_mml_mmllb_labo_test.sp_code_id IS '検体材料コードID';</v>
      </c>
    </row>
    <row r="22" spans="1:52" s="25" customFormat="1" ht="18" thickBot="1">
      <c r="A22" s="4"/>
      <c r="B22" s="27">
        <f>ROW()-12</f>
        <v>10</v>
      </c>
      <c r="C22" s="57" t="s">
        <v>1616</v>
      </c>
      <c r="D22" s="57" t="s">
        <v>3914</v>
      </c>
      <c r="E22" s="56"/>
      <c r="F22" s="56" t="s">
        <v>3280</v>
      </c>
      <c r="G22" s="56" t="str">
        <f t="shared" si="3"/>
        <v>text</v>
      </c>
      <c r="H22" s="59"/>
      <c r="I22" s="60"/>
      <c r="J22" s="64"/>
      <c r="N22" s="76"/>
      <c r="O22" s="76"/>
      <c r="P22" s="76" t="str">
        <f t="shared" si="4"/>
        <v>,spc_memo_f</v>
      </c>
      <c r="Q22" s="76" t="str">
        <f t="shared" si="0"/>
        <v>TEXT</v>
      </c>
      <c r="R22" s="76" t="str">
        <f t="shared" si="1"/>
        <v/>
      </c>
      <c r="S22" s="76" t="str">
        <f t="shared" si="5"/>
        <v/>
      </c>
      <c r="T22" s="76" t="str">
        <f t="shared" si="6"/>
        <v>-- 検体フリーコメント</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milscm_2023_009.sny_202310_base_text_mml_mmllb_labo_test.spc_memo_f IS '検体フリーコメント';</v>
      </c>
    </row>
    <row r="23" spans="1:52">
      <c r="L23" s="25"/>
      <c r="M23" s="25"/>
      <c r="N23" s="76" t="s">
        <v>142</v>
      </c>
      <c r="O23" s="76"/>
      <c r="P23" s="76"/>
      <c r="Q23" s="76"/>
      <c r="R23" s="76"/>
      <c r="S23" s="76"/>
      <c r="T23" s="76"/>
      <c r="V23" s="25"/>
      <c r="W23" s="25"/>
      <c r="X23" s="25"/>
      <c r="Y23" s="25"/>
      <c r="Z23" s="25"/>
      <c r="AJ23" s="76"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ENT_31_A6-21</v>
      </c>
      <c r="E6" s="234"/>
      <c r="F6" s="234"/>
      <c r="G6" s="234"/>
      <c r="H6" s="234"/>
      <c r="I6" s="234"/>
      <c r="J6" s="235"/>
    </row>
    <row r="7" spans="1:45">
      <c r="B7" s="223" t="s">
        <v>115</v>
      </c>
      <c r="C7" s="224"/>
      <c r="D7" s="225" t="s">
        <v>4019</v>
      </c>
      <c r="E7" s="226"/>
      <c r="F7" s="226"/>
      <c r="G7" s="226"/>
      <c r="H7" s="226"/>
      <c r="I7" s="226"/>
      <c r="J7" s="227"/>
    </row>
    <row r="8" spans="1:45">
      <c r="B8" s="223" t="s">
        <v>116</v>
      </c>
      <c r="C8" s="224"/>
      <c r="D8" s="225" t="str">
        <f>エンティティ一覧!AE2&amp;"_"&amp;D5&amp;"_text_mml_mmllb_spc_memo"</f>
        <v>sny_202310_base_text_mml_mmllb_spc_memo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milscm_2023_009.sny_202310_base_text_mml_mmllb_spc_memo;</v>
      </c>
      <c r="O10" s="76"/>
      <c r="P10" s="76"/>
      <c r="Q10" s="76"/>
      <c r="R10" s="76"/>
      <c r="S10" s="76"/>
      <c r="T10" s="76"/>
      <c r="AJ10" s="76" t="str">
        <f>"ALTER TABLE ONLY "&amp;エンティティ一覧!$O$2&amp;"."&amp;D$8</f>
        <v>ALTER TABLE ONLY milscm_2023_009.sny_202310_base_text_mml_mmllb_spc_memo</v>
      </c>
      <c r="AS10" s="76" t="str">
        <f>"ALTER TABLE "&amp;エンティティ一覧!$O$2&amp;"."&amp;D$8&amp;" OWNER TO pgmisgrp1;"</f>
        <v>ALTER TABLE milscm_2023_009.sny_202310_base_text_mml_mmllb_spc_memo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milscm_2023_009.sny_202310_base_text_mml_mmllb_spc_memo</v>
      </c>
      <c r="O11" s="76"/>
      <c r="P11" s="76"/>
      <c r="Q11" s="76"/>
      <c r="R11" s="76"/>
      <c r="S11" s="76"/>
      <c r="T11" s="76"/>
      <c r="AJ11" s="76" t="str">
        <f>"ADD CONSTRAINT "&amp;D$8&amp;"_pkey PRIMARY KEY"</f>
        <v>ADD CONSTRAINT sny_202310_base_text_mml_mmllb_spc_memo_pkey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milscm_2023_009.sny_202310_base_text_mml_mmllb_spc_memo IS 'ベース_MML_検歴情報モジュール_検体コメント';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3" si="0">UPPER(G13)</f>
        <v>INTEGER</v>
      </c>
      <c r="R13" s="76" t="str">
        <f t="shared" ref="R13:R2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milscm_2023_009.sny_202310_base_text_mml_mmllb_spc_memo.zip_no IS 'ZipファイルNo';</v>
      </c>
    </row>
    <row r="14" spans="1:45" s="25" customFormat="1">
      <c r="A14" s="4"/>
      <c r="B14" s="21">
        <f t="shared" ref="B14:B22" si="2">ROW()-12</f>
        <v>2</v>
      </c>
      <c r="C14" s="6" t="s">
        <v>2787</v>
      </c>
      <c r="D14" s="6" t="s">
        <v>2788</v>
      </c>
      <c r="E14" s="8" t="s">
        <v>127</v>
      </c>
      <c r="F14" s="7" t="s">
        <v>3278</v>
      </c>
      <c r="G14" s="7" t="str">
        <f t="shared" ref="G14:G23" si="3">IF(F14="フラグ","boolean",IF(F14="文字列","text",IF(F14="整数","integer",IF(F14="実数","numeric",""))))</f>
        <v>integer</v>
      </c>
      <c r="H14" s="26"/>
      <c r="I14" s="10" t="s">
        <v>127</v>
      </c>
      <c r="J14" s="11"/>
      <c r="M14" s="4"/>
      <c r="N14" s="76"/>
      <c r="O14" s="76"/>
      <c r="P14" s="76" t="str">
        <f t="shared" ref="P14:P23" si="4">IF(B14&lt;&gt;1,","&amp;D14,D14)</f>
        <v>,file_no</v>
      </c>
      <c r="Q14" s="76" t="str">
        <f t="shared" si="0"/>
        <v>INTEGER</v>
      </c>
      <c r="R14" s="76" t="str">
        <f t="shared" si="1"/>
        <v/>
      </c>
      <c r="S14" s="76" t="str">
        <f t="shared" ref="S14:S23" si="5">IF(I14="○","NOT NULL","")</f>
        <v>NOT NULL</v>
      </c>
      <c r="T14" s="76" t="str">
        <f t="shared" ref="T14:T2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milscm_2023_009.sny_202310_base_text_mml_mmllb_spc_memo.file_no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milscm_2023_009.sny_202310_base_text_mml_mmllb_spc_memo.body_no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milscm_2023_009.sny_202310_base_text_mml_mmllb_spc_memo.facility_id_mml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milscm_2023_009.sny_202310_base_text_mml_mmllb_spc_memo.master_id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milscm_2023_009.sny_202310_base_text_mml_mmllb_spc_memo.labo_test_no IS '検体検査結果情報No';</v>
      </c>
    </row>
    <row r="19" spans="1:52" s="25" customFormat="1">
      <c r="A19" s="4"/>
      <c r="B19" s="21">
        <f t="shared" si="2"/>
        <v>7</v>
      </c>
      <c r="C19" s="6" t="s">
        <v>3915</v>
      </c>
      <c r="D19" s="6" t="s">
        <v>3916</v>
      </c>
      <c r="E19" s="8" t="s">
        <v>127</v>
      </c>
      <c r="F19" s="7" t="s">
        <v>3278</v>
      </c>
      <c r="G19" s="7" t="str">
        <f t="shared" si="3"/>
        <v>integer</v>
      </c>
      <c r="H19" s="26"/>
      <c r="I19" s="10" t="s">
        <v>127</v>
      </c>
      <c r="J19" s="11"/>
      <c r="M19" s="4"/>
      <c r="N19" s="76"/>
      <c r="O19" s="76"/>
      <c r="P19" s="76" t="str">
        <f t="shared" si="4"/>
        <v>,spc_memo_no</v>
      </c>
      <c r="Q19" s="76" t="str">
        <f t="shared" si="0"/>
        <v>INTEGER</v>
      </c>
      <c r="R19" s="76" t="str">
        <f t="shared" si="1"/>
        <v/>
      </c>
      <c r="S19" s="76" t="str">
        <f t="shared" si="5"/>
        <v>NOT NULL</v>
      </c>
      <c r="T19" s="76" t="str">
        <f t="shared" si="6"/>
        <v>-- 検体コメントNo</v>
      </c>
      <c r="U19" s="4"/>
      <c r="AA19" s="4"/>
      <c r="AB19" s="4"/>
      <c r="AC19" s="4"/>
      <c r="AD19" s="4"/>
      <c r="AE19" s="4"/>
      <c r="AF19" s="4"/>
      <c r="AG19" s="4"/>
      <c r="AH19" s="4"/>
      <c r="AI19" s="4"/>
      <c r="AJ19" s="76" t="str">
        <f>IF(E19="○",IF(COUNTA(E$13:E19)=1,"",",")&amp;D19,"")</f>
        <v>,spc_memo_no</v>
      </c>
      <c r="AK19" s="4"/>
      <c r="AL19" s="4"/>
      <c r="AM19" s="4"/>
      <c r="AN19" s="4"/>
      <c r="AO19" s="4"/>
      <c r="AP19" s="4"/>
      <c r="AQ19" s="4"/>
      <c r="AR19" s="4"/>
      <c r="AS19" s="76" t="str">
        <f>"COMMENT ON COLUMN "&amp;エンティティ一覧!$O$2&amp;"."&amp;D$8&amp;"."&amp;D19&amp;" IS '"&amp;C19&amp;"';"</f>
        <v>COMMENT ON COLUMN milscm_2023_009.sny_202310_base_text_mml_mmllb_spc_memo.spc_memo_no IS '検体コメントNo';</v>
      </c>
    </row>
    <row r="20" spans="1:52" s="25" customFormat="1">
      <c r="A20" s="4"/>
      <c r="B20" s="21">
        <f t="shared" si="2"/>
        <v>8</v>
      </c>
      <c r="C20" s="6" t="s">
        <v>3917</v>
      </c>
      <c r="D20" s="6" t="s">
        <v>3918</v>
      </c>
      <c r="E20" s="8"/>
      <c r="F20" s="7" t="s">
        <v>3280</v>
      </c>
      <c r="G20" s="7" t="str">
        <f t="shared" si="3"/>
        <v>text</v>
      </c>
      <c r="H20" s="26"/>
      <c r="I20" s="10"/>
      <c r="J20" s="11"/>
      <c r="M20" s="4"/>
      <c r="N20" s="76"/>
      <c r="O20" s="76"/>
      <c r="P20" s="76" t="str">
        <f t="shared" si="4"/>
        <v>,spc_memo</v>
      </c>
      <c r="Q20" s="76" t="str">
        <f t="shared" si="0"/>
        <v>TEXT</v>
      </c>
      <c r="R20" s="76" t="str">
        <f t="shared" si="1"/>
        <v/>
      </c>
      <c r="S20" s="76" t="str">
        <f t="shared" si="5"/>
        <v/>
      </c>
      <c r="T20" s="76" t="str">
        <f t="shared" si="6"/>
        <v>-- 検体コメント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milscm_2023_009.sny_202310_base_text_mml_mmllb_spc_memo.spc_memo IS '検体コメント';</v>
      </c>
    </row>
    <row r="21" spans="1:52" s="25" customFormat="1">
      <c r="A21" s="4"/>
      <c r="B21" s="21">
        <f t="shared" si="2"/>
        <v>9</v>
      </c>
      <c r="C21" s="6" t="s">
        <v>3919</v>
      </c>
      <c r="D21" s="6" t="s">
        <v>3920</v>
      </c>
      <c r="E21" s="8"/>
      <c r="F21" s="7" t="s">
        <v>3280</v>
      </c>
      <c r="G21" s="7" t="str">
        <f t="shared" si="3"/>
        <v>text</v>
      </c>
      <c r="H21" s="26"/>
      <c r="I21" s="10"/>
      <c r="J21" s="11"/>
      <c r="M21" s="4"/>
      <c r="N21" s="76"/>
      <c r="O21" s="76"/>
      <c r="P21" s="76" t="str">
        <f t="shared" si="4"/>
        <v>,sm_code_name</v>
      </c>
      <c r="Q21" s="76" t="str">
        <f t="shared" si="0"/>
        <v>TEXT</v>
      </c>
      <c r="R21" s="76" t="str">
        <f t="shared" si="1"/>
        <v/>
      </c>
      <c r="S21" s="76" t="str">
        <f t="shared" si="5"/>
        <v/>
      </c>
      <c r="T21" s="76" t="str">
        <f t="shared" si="6"/>
        <v>-- 検体コメントコード名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milscm_2023_009.sny_202310_base_text_mml_mmllb_spc_memo.sm_code_name IS '検体コメントコード名';</v>
      </c>
    </row>
    <row r="22" spans="1:52" s="25" customFormat="1">
      <c r="A22" s="4"/>
      <c r="B22" s="21">
        <f t="shared" si="2"/>
        <v>10</v>
      </c>
      <c r="C22" s="6" t="s">
        <v>3921</v>
      </c>
      <c r="D22" s="6" t="s">
        <v>3922</v>
      </c>
      <c r="E22" s="8"/>
      <c r="F22" s="7" t="s">
        <v>3280</v>
      </c>
      <c r="G22" s="7" t="str">
        <f t="shared" si="3"/>
        <v>text</v>
      </c>
      <c r="H22" s="26"/>
      <c r="I22" s="10"/>
      <c r="J22" s="11"/>
      <c r="M22" s="4"/>
      <c r="N22" s="76"/>
      <c r="O22" s="76"/>
      <c r="P22" s="76" t="str">
        <f t="shared" si="4"/>
        <v>,sm_code</v>
      </c>
      <c r="Q22" s="76" t="str">
        <f t="shared" si="0"/>
        <v>TEXT</v>
      </c>
      <c r="R22" s="76" t="str">
        <f t="shared" si="1"/>
        <v/>
      </c>
      <c r="S22" s="76" t="str">
        <f t="shared" si="5"/>
        <v/>
      </c>
      <c r="T22" s="76" t="str">
        <f t="shared" si="6"/>
        <v>-- 検体コメントコード</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milscm_2023_009.sny_202310_base_text_mml_mmllb_spc_memo.sm_code IS '検体コメントコード';</v>
      </c>
    </row>
    <row r="23" spans="1:52" s="25" customFormat="1" ht="18" thickBot="1">
      <c r="A23" s="4"/>
      <c r="B23" s="27">
        <f>ROW()-12</f>
        <v>11</v>
      </c>
      <c r="C23" s="57" t="s">
        <v>3923</v>
      </c>
      <c r="D23" s="57" t="s">
        <v>3924</v>
      </c>
      <c r="E23" s="56"/>
      <c r="F23" s="56" t="s">
        <v>3280</v>
      </c>
      <c r="G23" s="56" t="str">
        <f t="shared" si="3"/>
        <v>text</v>
      </c>
      <c r="H23" s="59"/>
      <c r="I23" s="60"/>
      <c r="J23" s="64"/>
      <c r="N23" s="76"/>
      <c r="O23" s="76"/>
      <c r="P23" s="76" t="str">
        <f t="shared" si="4"/>
        <v>,sm_code_id</v>
      </c>
      <c r="Q23" s="76" t="str">
        <f t="shared" si="0"/>
        <v>TEXT</v>
      </c>
      <c r="R23" s="76" t="str">
        <f t="shared" si="1"/>
        <v/>
      </c>
      <c r="S23" s="76" t="str">
        <f t="shared" si="5"/>
        <v/>
      </c>
      <c r="T23" s="76" t="str">
        <f t="shared" si="6"/>
        <v>-- 検体コメントコードID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milscm_2023_009.sny_202310_base_text_mml_mmllb_spc_memo.sm_code_id IS '検体コメントコードID';</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ENT_31_A6-22</v>
      </c>
      <c r="E6" s="234"/>
      <c r="F6" s="234"/>
      <c r="G6" s="234"/>
      <c r="H6" s="234"/>
      <c r="I6" s="234"/>
      <c r="J6" s="235"/>
    </row>
    <row r="7" spans="1:45">
      <c r="B7" s="223" t="s">
        <v>115</v>
      </c>
      <c r="C7" s="224"/>
      <c r="D7" s="225" t="s">
        <v>4020</v>
      </c>
      <c r="E7" s="226"/>
      <c r="F7" s="226"/>
      <c r="G7" s="226"/>
      <c r="H7" s="226"/>
      <c r="I7" s="226"/>
      <c r="J7" s="227"/>
    </row>
    <row r="8" spans="1:45">
      <c r="B8" s="223" t="s">
        <v>116</v>
      </c>
      <c r="C8" s="224"/>
      <c r="D8" s="225" t="str">
        <f>エンティティ一覧!AE2&amp;"_"&amp;D5&amp;"_text_mml_mmllb_item"</f>
        <v>sny_202310_base_text_mml_mmllb_item</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milscm_2023_009.sny_202310_base_text_mml_mmllb_item;</v>
      </c>
      <c r="O10" s="76"/>
      <c r="P10" s="76"/>
      <c r="Q10" s="76"/>
      <c r="R10" s="76"/>
      <c r="S10" s="76"/>
      <c r="T10" s="76"/>
      <c r="AJ10" s="76" t="str">
        <f>"ALTER TABLE ONLY "&amp;エンティティ一覧!$O$2&amp;"."&amp;D$8</f>
        <v>ALTER TABLE ONLY milscm_2023_009.sny_202310_base_text_mml_mmllb_item</v>
      </c>
      <c r="AS10" s="76" t="str">
        <f>"ALTER TABLE "&amp;エンティティ一覧!$O$2&amp;"."&amp;D$8&amp;" OWNER TO pgmisgrp1;"</f>
        <v>ALTER TABLE milscm_2023_009.sny_202310_base_text_mml_mmllb_item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milscm_2023_009.sny_202310_base_text_mml_mmllb_item</v>
      </c>
      <c r="O11" s="76"/>
      <c r="P11" s="76"/>
      <c r="Q11" s="76"/>
      <c r="R11" s="76"/>
      <c r="S11" s="76"/>
      <c r="T11" s="76"/>
      <c r="AJ11" s="76" t="str">
        <f>"ADD CONSTRAINT "&amp;D$8&amp;"_pkey PRIMARY KEY"</f>
        <v>ADD CONSTRAINT sny_202310_base_text_mml_mmllb_item_pkey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 IS 'ベース_MML_検歴情報モジュール_検査項目';</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41" si="0">UPPER(G13)</f>
        <v>INTEGER</v>
      </c>
      <c r="R13" s="76" t="str">
        <f t="shared" ref="R13:R4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milscm_2023_009.sny_202310_base_text_mml_mmllb_item.zip_no IS 'ZipファイルNo';</v>
      </c>
    </row>
    <row r="14" spans="1:45" s="25" customFormat="1">
      <c r="A14" s="4"/>
      <c r="B14" s="21">
        <f t="shared" ref="B14:B40" si="2">ROW()-12</f>
        <v>2</v>
      </c>
      <c r="C14" s="6" t="s">
        <v>2787</v>
      </c>
      <c r="D14" s="6" t="s">
        <v>2788</v>
      </c>
      <c r="E14" s="8" t="s">
        <v>127</v>
      </c>
      <c r="F14" s="7" t="s">
        <v>3278</v>
      </c>
      <c r="G14" s="7" t="str">
        <f t="shared" ref="G14:G41" si="3">IF(F14="フラグ","boolean",IF(F14="文字列","text",IF(F14="整数","integer",IF(F14="実数","numeric",""))))</f>
        <v>integer</v>
      </c>
      <c r="H14" s="26"/>
      <c r="I14" s="10" t="s">
        <v>127</v>
      </c>
      <c r="J14" s="11"/>
      <c r="M14" s="4"/>
      <c r="N14" s="76"/>
      <c r="O14" s="76"/>
      <c r="P14" s="76" t="str">
        <f t="shared" ref="P14:P41" si="4">IF(B14&lt;&gt;1,","&amp;D14,D14)</f>
        <v>,file_no</v>
      </c>
      <c r="Q14" s="76" t="str">
        <f t="shared" si="0"/>
        <v>INTEGER</v>
      </c>
      <c r="R14" s="76" t="str">
        <f t="shared" si="1"/>
        <v/>
      </c>
      <c r="S14" s="76" t="str">
        <f t="shared" ref="S14:S41" si="5">IF(I14="○","NOT NULL","")</f>
        <v>NOT NULL</v>
      </c>
      <c r="T14" s="76" t="str">
        <f t="shared" ref="T14:T4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milscm_2023_009.sny_202310_base_text_mml_mmllb_item.facility_id_mml IS '施設ID（MML）';</v>
      </c>
    </row>
    <row r="17" spans="1:45"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milscm_2023_009.sny_202310_base_text_mml_mmllb_item.master_id IS '患者ID';</v>
      </c>
    </row>
    <row r="18" spans="1:45"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milscm_2023_009.sny_202310_base_text_mml_mmllb_item.labo_test_no IS '検体検査結果情報No';</v>
      </c>
    </row>
    <row r="19" spans="1:45"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milscm_2023_009.sny_202310_base_text_mml_mmllb_item.item_no IS '項目No';</v>
      </c>
    </row>
    <row r="20" spans="1:45" s="25" customFormat="1">
      <c r="A20" s="4"/>
      <c r="B20" s="21">
        <f t="shared" si="2"/>
        <v>8</v>
      </c>
      <c r="C20" s="6" t="s">
        <v>3838</v>
      </c>
      <c r="D20" s="6" t="s">
        <v>1628</v>
      </c>
      <c r="E20" s="8"/>
      <c r="F20" s="7" t="s">
        <v>3280</v>
      </c>
      <c r="G20" s="7" t="str">
        <f t="shared" si="3"/>
        <v>text</v>
      </c>
      <c r="H20" s="26"/>
      <c r="I20" s="10"/>
      <c r="J20" s="11"/>
      <c r="M20" s="4"/>
      <c r="N20" s="76"/>
      <c r="O20" s="76"/>
      <c r="P20" s="76" t="str">
        <f t="shared" si="4"/>
        <v>,item_name</v>
      </c>
      <c r="Q20" s="76" t="str">
        <f t="shared" si="0"/>
        <v>TEXT</v>
      </c>
      <c r="R20" s="76" t="str">
        <f t="shared" si="1"/>
        <v/>
      </c>
      <c r="S20" s="76" t="str">
        <f t="shared" si="5"/>
        <v/>
      </c>
      <c r="T20" s="76" t="str">
        <f t="shared" si="6"/>
        <v>-- 検査名</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milscm_2023_009.sny_202310_base_text_mml_mmllb_item.item_name IS '検査名';</v>
      </c>
    </row>
    <row r="21" spans="1:45" s="25" customFormat="1">
      <c r="A21" s="4"/>
      <c r="B21" s="21">
        <f t="shared" si="2"/>
        <v>9</v>
      </c>
      <c r="C21" s="6" t="s">
        <v>3839</v>
      </c>
      <c r="D21" s="6" t="s">
        <v>3840</v>
      </c>
      <c r="E21" s="8"/>
      <c r="F21" s="7" t="s">
        <v>3280</v>
      </c>
      <c r="G21" s="7" t="str">
        <f t="shared" si="3"/>
        <v>text</v>
      </c>
      <c r="H21" s="26"/>
      <c r="I21" s="10"/>
      <c r="J21" s="11"/>
      <c r="M21" s="4"/>
      <c r="N21" s="76"/>
      <c r="O21" s="76"/>
      <c r="P21" s="76" t="str">
        <f t="shared" si="4"/>
        <v>,item_code</v>
      </c>
      <c r="Q21" s="76" t="str">
        <f t="shared" si="0"/>
        <v>TEXT</v>
      </c>
      <c r="R21" s="76" t="str">
        <f t="shared" si="1"/>
        <v/>
      </c>
      <c r="S21" s="76" t="str">
        <f t="shared" si="5"/>
        <v/>
      </c>
      <c r="T21" s="76" t="str">
        <f t="shared" si="6"/>
        <v>-- 検査名_施設固有コード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milscm_2023_009.sny_202310_base_text_mml_mmllb_item.item_code IS '検査名_施設固有コード';</v>
      </c>
    </row>
    <row r="22" spans="1:45" s="25" customFormat="1">
      <c r="A22" s="4"/>
      <c r="B22" s="21">
        <f t="shared" si="2"/>
        <v>10</v>
      </c>
      <c r="C22" s="6" t="s">
        <v>3929</v>
      </c>
      <c r="D22" s="6" t="s">
        <v>3930</v>
      </c>
      <c r="E22" s="8"/>
      <c r="F22" s="7" t="s">
        <v>3280</v>
      </c>
      <c r="G22" s="7" t="str">
        <f t="shared" si="3"/>
        <v>text</v>
      </c>
      <c r="H22" s="26"/>
      <c r="I22" s="10"/>
      <c r="J22" s="11"/>
      <c r="M22" s="4"/>
      <c r="N22" s="76"/>
      <c r="O22" s="76"/>
      <c r="P22" s="76" t="str">
        <f t="shared" si="4"/>
        <v>,item_code_id</v>
      </c>
      <c r="Q22" s="76" t="str">
        <f t="shared" si="0"/>
        <v>TEXT</v>
      </c>
      <c r="R22" s="76" t="str">
        <f t="shared" si="1"/>
        <v/>
      </c>
      <c r="S22" s="76" t="str">
        <f t="shared" si="5"/>
        <v/>
      </c>
      <c r="T22" s="76" t="str">
        <f t="shared" si="6"/>
        <v>-- 検査名_施設固有コードID</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milscm_2023_009.sny_202310_base_text_mml_mmllb_item.item_code_id IS '検査名_施設固有コードID';</v>
      </c>
    </row>
    <row r="23" spans="1:45" s="25" customFormat="1">
      <c r="A23" s="4"/>
      <c r="B23" s="21">
        <f t="shared" si="2"/>
        <v>11</v>
      </c>
      <c r="C23" s="6" t="s">
        <v>3931</v>
      </c>
      <c r="D23" s="6" t="s">
        <v>3932</v>
      </c>
      <c r="E23" s="8"/>
      <c r="F23" s="7" t="s">
        <v>3280</v>
      </c>
      <c r="G23" s="7" t="str">
        <f t="shared" si="3"/>
        <v>text</v>
      </c>
      <c r="H23" s="26"/>
      <c r="I23" s="10"/>
      <c r="J23" s="11" t="s">
        <v>1633</v>
      </c>
      <c r="M23" s="4"/>
      <c r="N23" s="76"/>
      <c r="O23" s="76"/>
      <c r="P23" s="76" t="str">
        <f t="shared" si="4"/>
        <v>,a_code</v>
      </c>
      <c r="Q23" s="76" t="str">
        <f t="shared" si="0"/>
        <v>TEXT</v>
      </c>
      <c r="R23" s="76" t="str">
        <f t="shared" si="1"/>
        <v/>
      </c>
      <c r="S23" s="76" t="str">
        <f t="shared" si="5"/>
        <v/>
      </c>
      <c r="T23" s="76" t="str">
        <f t="shared" si="6"/>
        <v>-- 検査名_分析物コード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milscm_2023_009.sny_202310_base_text_mml_mmllb_item.a_code IS '検査名_分析物コード';</v>
      </c>
    </row>
    <row r="24" spans="1:45" s="25" customFormat="1">
      <c r="A24" s="4"/>
      <c r="B24" s="21">
        <f t="shared" si="2"/>
        <v>12</v>
      </c>
      <c r="C24" s="6" t="s">
        <v>3933</v>
      </c>
      <c r="D24" s="6" t="s">
        <v>3934</v>
      </c>
      <c r="E24" s="8"/>
      <c r="F24" s="7" t="s">
        <v>3280</v>
      </c>
      <c r="G24" s="7" t="str">
        <f t="shared" si="3"/>
        <v>text</v>
      </c>
      <c r="H24" s="26"/>
      <c r="I24" s="10"/>
      <c r="J24" s="11" t="s">
        <v>1635</v>
      </c>
      <c r="M24" s="4"/>
      <c r="N24" s="76"/>
      <c r="O24" s="76"/>
      <c r="P24" s="76" t="str">
        <f t="shared" si="4"/>
        <v>,i_code</v>
      </c>
      <c r="Q24" s="76" t="str">
        <f t="shared" si="0"/>
        <v>TEXT</v>
      </c>
      <c r="R24" s="76" t="str">
        <f t="shared" si="1"/>
        <v/>
      </c>
      <c r="S24" s="76" t="str">
        <f t="shared" si="5"/>
        <v/>
      </c>
      <c r="T24" s="76" t="str">
        <f t="shared" si="6"/>
        <v>-- 検査名_識別コード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milscm_2023_009.sny_202310_base_text_mml_mmllb_item.i_code IS '検査名_識別コード';</v>
      </c>
    </row>
    <row r="25" spans="1:45" s="25" customFormat="1">
      <c r="A25" s="4"/>
      <c r="B25" s="21">
        <f t="shared" si="2"/>
        <v>13</v>
      </c>
      <c r="C25" s="6" t="s">
        <v>3935</v>
      </c>
      <c r="D25" s="6" t="s">
        <v>3936</v>
      </c>
      <c r="E25" s="8"/>
      <c r="F25" s="7" t="s">
        <v>3280</v>
      </c>
      <c r="G25" s="7" t="str">
        <f t="shared" si="3"/>
        <v>text</v>
      </c>
      <c r="H25" s="26"/>
      <c r="I25" s="10"/>
      <c r="J25" s="11" t="s">
        <v>1637</v>
      </c>
      <c r="M25" s="4"/>
      <c r="N25" s="76"/>
      <c r="O25" s="76"/>
      <c r="P25" s="76" t="str">
        <f t="shared" si="4"/>
        <v>,s_code</v>
      </c>
      <c r="Q25" s="76" t="str">
        <f t="shared" si="0"/>
        <v>TEXT</v>
      </c>
      <c r="R25" s="76" t="str">
        <f t="shared" si="1"/>
        <v/>
      </c>
      <c r="S25" s="76" t="str">
        <f t="shared" si="5"/>
        <v/>
      </c>
      <c r="T25" s="76" t="str">
        <f t="shared" si="6"/>
        <v>-- 検査名_材料コード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milscm_2023_009.sny_202310_base_text_mml_mmllb_item.s_code IS '検査名_材料コード';</v>
      </c>
    </row>
    <row r="26" spans="1:45" s="25" customFormat="1">
      <c r="A26" s="4"/>
      <c r="B26" s="21">
        <f t="shared" si="2"/>
        <v>14</v>
      </c>
      <c r="C26" s="6" t="s">
        <v>3937</v>
      </c>
      <c r="D26" s="6" t="s">
        <v>3938</v>
      </c>
      <c r="E26" s="8"/>
      <c r="F26" s="7" t="s">
        <v>3280</v>
      </c>
      <c r="G26" s="7" t="str">
        <f t="shared" si="3"/>
        <v>text</v>
      </c>
      <c r="H26" s="26"/>
      <c r="I26" s="10"/>
      <c r="J26" s="11" t="s">
        <v>1639</v>
      </c>
      <c r="M26" s="4"/>
      <c r="N26" s="76"/>
      <c r="O26" s="76"/>
      <c r="P26" s="76" t="str">
        <f t="shared" si="4"/>
        <v>,m_code</v>
      </c>
      <c r="Q26" s="76" t="str">
        <f t="shared" si="0"/>
        <v>TEXT</v>
      </c>
      <c r="R26" s="76" t="str">
        <f t="shared" si="1"/>
        <v/>
      </c>
      <c r="S26" s="76" t="str">
        <f t="shared" si="5"/>
        <v/>
      </c>
      <c r="T26" s="76" t="str">
        <f t="shared" si="6"/>
        <v>-- 検査名_測定法コード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milscm_2023_009.sny_202310_base_text_mml_mmllb_item.m_code IS '検査名_測定法コード';</v>
      </c>
    </row>
    <row r="27" spans="1:45" s="25" customFormat="1">
      <c r="A27" s="4"/>
      <c r="B27" s="21">
        <f t="shared" si="2"/>
        <v>15</v>
      </c>
      <c r="C27" s="6" t="s">
        <v>3939</v>
      </c>
      <c r="D27" s="6" t="s">
        <v>3940</v>
      </c>
      <c r="E27" s="8"/>
      <c r="F27" s="7" t="s">
        <v>3280</v>
      </c>
      <c r="G27" s="7" t="str">
        <f t="shared" si="3"/>
        <v>text</v>
      </c>
      <c r="H27" s="26"/>
      <c r="I27" s="10"/>
      <c r="J27" s="11" t="s">
        <v>1641</v>
      </c>
      <c r="M27" s="4"/>
      <c r="N27" s="76"/>
      <c r="O27" s="76"/>
      <c r="P27" s="76" t="str">
        <f t="shared" si="4"/>
        <v>,r_code</v>
      </c>
      <c r="Q27" s="76" t="str">
        <f t="shared" si="0"/>
        <v>TEXT</v>
      </c>
      <c r="R27" s="76" t="str">
        <f t="shared" si="1"/>
        <v/>
      </c>
      <c r="S27" s="76" t="str">
        <f t="shared" si="5"/>
        <v/>
      </c>
      <c r="T27" s="76" t="str">
        <f t="shared" si="6"/>
        <v>-- 検査名_結果識別コード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milscm_2023_009.sny_202310_base_text_mml_mmllb_item.r_code IS '検査名_結果識別コード';</v>
      </c>
    </row>
    <row r="28" spans="1:45" s="25" customFormat="1">
      <c r="A28" s="4"/>
      <c r="B28" s="21">
        <f t="shared" si="2"/>
        <v>16</v>
      </c>
      <c r="C28" s="6" t="s">
        <v>3941</v>
      </c>
      <c r="D28" s="6" t="s">
        <v>1644</v>
      </c>
      <c r="E28" s="8"/>
      <c r="F28" s="7" t="s">
        <v>3280</v>
      </c>
      <c r="G28" s="7" t="str">
        <f t="shared" si="3"/>
        <v>text</v>
      </c>
      <c r="H28" s="26"/>
      <c r="I28" s="10"/>
      <c r="J28" s="11"/>
      <c r="M28" s="4"/>
      <c r="N28" s="76"/>
      <c r="O28" s="76"/>
      <c r="P28" s="76" t="str">
        <f t="shared" si="4"/>
        <v>,value</v>
      </c>
      <c r="Q28" s="76" t="str">
        <f t="shared" si="0"/>
        <v>TEXT</v>
      </c>
      <c r="R28" s="76" t="str">
        <f t="shared" si="1"/>
        <v/>
      </c>
      <c r="S28" s="76" t="str">
        <f t="shared" si="5"/>
        <v/>
      </c>
      <c r="T28" s="76" t="str">
        <f t="shared" si="6"/>
        <v>-- 検査値（文字列）</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milscm_2023_009.sny_202310_base_text_mml_mmllb_item.value IS '検査値（文字列）';</v>
      </c>
    </row>
    <row r="29" spans="1:45" s="25" customFormat="1">
      <c r="A29" s="4"/>
      <c r="B29" s="21">
        <f t="shared" si="2"/>
        <v>17</v>
      </c>
      <c r="C29" s="6" t="s">
        <v>3942</v>
      </c>
      <c r="D29" s="6" t="s">
        <v>3943</v>
      </c>
      <c r="E29" s="8"/>
      <c r="F29" s="7" t="s">
        <v>3280</v>
      </c>
      <c r="G29" s="7" t="str">
        <f t="shared" si="3"/>
        <v>text</v>
      </c>
      <c r="H29" s="26"/>
      <c r="I29" s="10"/>
      <c r="J29" s="11"/>
      <c r="M29" s="4"/>
      <c r="N29" s="76"/>
      <c r="O29" s="76"/>
      <c r="P29" s="76" t="str">
        <f t="shared" si="4"/>
        <v>,value_up</v>
      </c>
      <c r="Q29" s="76" t="str">
        <f t="shared" si="0"/>
        <v>TEXT</v>
      </c>
      <c r="R29" s="76" t="str">
        <f t="shared" si="1"/>
        <v/>
      </c>
      <c r="S29" s="76" t="str">
        <f t="shared" si="5"/>
        <v/>
      </c>
      <c r="T29" s="76" t="str">
        <f t="shared" si="6"/>
        <v>-- 検査値（文字列）_上限値</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milscm_2023_009.sny_202310_base_text_mml_mmllb_item.value_up IS '検査値（文字列）_上限値';</v>
      </c>
    </row>
    <row r="30" spans="1:45" s="25" customFormat="1">
      <c r="A30" s="4"/>
      <c r="B30" s="21">
        <f t="shared" si="2"/>
        <v>18</v>
      </c>
      <c r="C30" s="6" t="s">
        <v>3944</v>
      </c>
      <c r="D30" s="6" t="s">
        <v>3945</v>
      </c>
      <c r="E30" s="8"/>
      <c r="F30" s="7" t="s">
        <v>3280</v>
      </c>
      <c r="G30" s="7" t="str">
        <f t="shared" si="3"/>
        <v>text</v>
      </c>
      <c r="H30" s="26"/>
      <c r="I30" s="10"/>
      <c r="J30" s="11"/>
      <c r="M30" s="4"/>
      <c r="N30" s="76"/>
      <c r="O30" s="76"/>
      <c r="P30" s="76" t="str">
        <f t="shared" si="4"/>
        <v>,value_low</v>
      </c>
      <c r="Q30" s="76" t="str">
        <f t="shared" si="0"/>
        <v>TEXT</v>
      </c>
      <c r="R30" s="76" t="str">
        <f t="shared" si="1"/>
        <v/>
      </c>
      <c r="S30" s="76" t="str">
        <f t="shared" si="5"/>
        <v/>
      </c>
      <c r="T30" s="76" t="str">
        <f t="shared" si="6"/>
        <v>-- 検査値（文字列）_下限値</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milscm_2023_009.sny_202310_base_text_mml_mmllb_item.value_low IS '検査値（文字列）_下限値';</v>
      </c>
    </row>
    <row r="31" spans="1:45" s="25" customFormat="1">
      <c r="A31" s="4"/>
      <c r="B31" s="21">
        <f t="shared" si="2"/>
        <v>19</v>
      </c>
      <c r="C31" s="6" t="s">
        <v>3946</v>
      </c>
      <c r="D31" s="6" t="s">
        <v>3947</v>
      </c>
      <c r="E31" s="8"/>
      <c r="F31" s="7" t="s">
        <v>3280</v>
      </c>
      <c r="G31" s="7" t="str">
        <f t="shared" si="3"/>
        <v>text</v>
      </c>
      <c r="H31" s="26"/>
      <c r="I31" s="10"/>
      <c r="J31" s="11"/>
      <c r="M31" s="4"/>
      <c r="N31" s="76"/>
      <c r="O31" s="76"/>
      <c r="P31" s="76" t="str">
        <f t="shared" si="4"/>
        <v>,value_normal</v>
      </c>
      <c r="Q31" s="76" t="str">
        <f t="shared" si="0"/>
        <v>TEXT</v>
      </c>
      <c r="R31" s="76" t="str">
        <f t="shared" si="1"/>
        <v/>
      </c>
      <c r="S31" s="76" t="str">
        <f t="shared" si="5"/>
        <v/>
      </c>
      <c r="T31" s="76" t="str">
        <f t="shared" si="6"/>
        <v>-- 検査値（文字列）_基準値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milscm_2023_009.sny_202310_base_text_mml_mmllb_item.value_normal IS '検査値（文字列）_基準値';</v>
      </c>
    </row>
    <row r="32" spans="1:45" s="25" customFormat="1" ht="69.599999999999994">
      <c r="A32" s="4"/>
      <c r="B32" s="21">
        <f t="shared" si="2"/>
        <v>20</v>
      </c>
      <c r="C32" s="6" t="s">
        <v>3948</v>
      </c>
      <c r="D32" s="6" t="s">
        <v>3949</v>
      </c>
      <c r="E32" s="8"/>
      <c r="F32" s="7" t="s">
        <v>3280</v>
      </c>
      <c r="G32" s="7" t="str">
        <f t="shared" si="3"/>
        <v>text</v>
      </c>
      <c r="H32" s="26"/>
      <c r="I32" s="10"/>
      <c r="J32" s="11" t="s">
        <v>3962</v>
      </c>
      <c r="M32" s="4"/>
      <c r="N32" s="76"/>
      <c r="O32" s="76"/>
      <c r="P32" s="76" t="str">
        <f t="shared" si="4"/>
        <v>,value_out</v>
      </c>
      <c r="Q32" s="76" t="str">
        <f t="shared" si="0"/>
        <v>TEXT</v>
      </c>
      <c r="R32" s="76" t="str">
        <f t="shared" si="1"/>
        <v/>
      </c>
      <c r="S32" s="76" t="str">
        <f t="shared" si="5"/>
        <v/>
      </c>
      <c r="T32" s="76" t="str">
        <f t="shared" si="6"/>
        <v>-- 検査値（文字列）_異常値フラグ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milscm_2023_009.sny_202310_base_text_mml_mmllb_item.value_out IS '検査値（文字列）_異常値フラグ';</v>
      </c>
    </row>
    <row r="33" spans="1:52" s="25" customFormat="1">
      <c r="A33" s="4"/>
      <c r="B33" s="21">
        <f t="shared" si="2"/>
        <v>21</v>
      </c>
      <c r="C33" s="6" t="s">
        <v>3950</v>
      </c>
      <c r="D33" s="6" t="s">
        <v>1646</v>
      </c>
      <c r="E33" s="8"/>
      <c r="F33" s="7" t="s">
        <v>3280</v>
      </c>
      <c r="G33" s="7" t="str">
        <f t="shared" si="3"/>
        <v>text</v>
      </c>
      <c r="H33" s="26"/>
      <c r="I33" s="10"/>
      <c r="J33" s="11"/>
      <c r="M33" s="4"/>
      <c r="N33" s="76"/>
      <c r="O33" s="76"/>
      <c r="P33" s="76" t="str">
        <f t="shared" si="4"/>
        <v>,num_value</v>
      </c>
      <c r="Q33" s="76" t="str">
        <f t="shared" si="0"/>
        <v>TEXT</v>
      </c>
      <c r="R33" s="76" t="str">
        <f t="shared" si="1"/>
        <v/>
      </c>
      <c r="S33" s="76" t="str">
        <f t="shared" si="5"/>
        <v/>
      </c>
      <c r="T33" s="76" t="str">
        <f t="shared" si="6"/>
        <v>-- 検査値（数値）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milscm_2023_009.sny_202310_base_text_mml_mmllb_item.num_value IS '検査値（数値）';</v>
      </c>
    </row>
    <row r="34" spans="1:52" s="25" customFormat="1">
      <c r="A34" s="4"/>
      <c r="B34" s="21">
        <f t="shared" si="2"/>
        <v>22</v>
      </c>
      <c r="C34" s="6" t="s">
        <v>3951</v>
      </c>
      <c r="D34" s="6" t="s">
        <v>3952</v>
      </c>
      <c r="E34" s="8"/>
      <c r="F34" s="7" t="s">
        <v>3280</v>
      </c>
      <c r="G34" s="7" t="str">
        <f t="shared" si="3"/>
        <v>text</v>
      </c>
      <c r="H34" s="26"/>
      <c r="I34" s="10"/>
      <c r="J34" s="11"/>
      <c r="M34" s="4"/>
      <c r="N34" s="76"/>
      <c r="O34" s="76"/>
      <c r="P34" s="76" t="str">
        <f t="shared" si="4"/>
        <v>,num_value_up</v>
      </c>
      <c r="Q34" s="76" t="str">
        <f t="shared" si="0"/>
        <v>TEXT</v>
      </c>
      <c r="R34" s="76" t="str">
        <f t="shared" si="1"/>
        <v/>
      </c>
      <c r="S34" s="76" t="str">
        <f t="shared" si="5"/>
        <v/>
      </c>
      <c r="T34" s="76" t="str">
        <f t="shared" si="6"/>
        <v>-- 検査値（数値）_上限値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milscm_2023_009.sny_202310_base_text_mml_mmllb_item.num_value_up IS '検査値（数値）_上限値';</v>
      </c>
    </row>
    <row r="35" spans="1:52" s="25" customFormat="1">
      <c r="A35" s="4"/>
      <c r="B35" s="21">
        <f t="shared" si="2"/>
        <v>23</v>
      </c>
      <c r="C35" s="6" t="s">
        <v>3953</v>
      </c>
      <c r="D35" s="6" t="s">
        <v>3954</v>
      </c>
      <c r="E35" s="8"/>
      <c r="F35" s="7" t="s">
        <v>3280</v>
      </c>
      <c r="G35" s="7" t="str">
        <f t="shared" si="3"/>
        <v>text</v>
      </c>
      <c r="H35" s="26"/>
      <c r="I35" s="10"/>
      <c r="J35" s="11"/>
      <c r="M35" s="4"/>
      <c r="N35" s="76"/>
      <c r="O35" s="76"/>
      <c r="P35" s="76" t="str">
        <f t="shared" si="4"/>
        <v>,num_value_low</v>
      </c>
      <c r="Q35" s="76" t="str">
        <f t="shared" si="0"/>
        <v>TEXT</v>
      </c>
      <c r="R35" s="76" t="str">
        <f t="shared" si="1"/>
        <v/>
      </c>
      <c r="S35" s="76" t="str">
        <f t="shared" si="5"/>
        <v/>
      </c>
      <c r="T35" s="76" t="str">
        <f t="shared" si="6"/>
        <v>-- 検査値（数値）_下限値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milscm_2023_009.sny_202310_base_text_mml_mmllb_item.num_value_low IS '検査値（数値）_下限値';</v>
      </c>
    </row>
    <row r="36" spans="1:52" s="25" customFormat="1">
      <c r="A36" s="4"/>
      <c r="B36" s="21">
        <f t="shared" si="2"/>
        <v>24</v>
      </c>
      <c r="C36" s="6" t="s">
        <v>3955</v>
      </c>
      <c r="D36" s="6" t="s">
        <v>3956</v>
      </c>
      <c r="E36" s="8"/>
      <c r="F36" s="7" t="s">
        <v>3280</v>
      </c>
      <c r="G36" s="7" t="str">
        <f t="shared" si="3"/>
        <v>text</v>
      </c>
      <c r="H36" s="26"/>
      <c r="I36" s="10"/>
      <c r="J36" s="11"/>
      <c r="M36" s="4"/>
      <c r="N36" s="76"/>
      <c r="O36" s="76"/>
      <c r="P36" s="76" t="str">
        <f t="shared" si="4"/>
        <v>,num_value_normal</v>
      </c>
      <c r="Q36" s="76" t="str">
        <f t="shared" si="0"/>
        <v>TEXT</v>
      </c>
      <c r="R36" s="76" t="str">
        <f t="shared" si="1"/>
        <v/>
      </c>
      <c r="S36" s="76" t="str">
        <f t="shared" si="5"/>
        <v/>
      </c>
      <c r="T36" s="76" t="str">
        <f t="shared" si="6"/>
        <v>-- 検査値（数値）_基準値</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milscm_2023_009.sny_202310_base_text_mml_mmllb_item.num_value_normal IS '検査値（数値）_基準値';</v>
      </c>
    </row>
    <row r="37" spans="1:52" s="25" customFormat="1" ht="69.599999999999994">
      <c r="A37" s="4"/>
      <c r="B37" s="21">
        <f t="shared" si="2"/>
        <v>25</v>
      </c>
      <c r="C37" s="6" t="s">
        <v>3957</v>
      </c>
      <c r="D37" s="6" t="s">
        <v>3958</v>
      </c>
      <c r="E37" s="8"/>
      <c r="F37" s="7" t="s">
        <v>3280</v>
      </c>
      <c r="G37" s="7" t="str">
        <f t="shared" si="3"/>
        <v>text</v>
      </c>
      <c r="H37" s="26"/>
      <c r="I37" s="10"/>
      <c r="J37" s="11" t="s">
        <v>3962</v>
      </c>
      <c r="M37" s="4"/>
      <c r="N37" s="76"/>
      <c r="O37" s="76"/>
      <c r="P37" s="76" t="str">
        <f t="shared" si="4"/>
        <v>,num_value_out</v>
      </c>
      <c r="Q37" s="76" t="str">
        <f t="shared" si="0"/>
        <v>TEXT</v>
      </c>
      <c r="R37" s="76" t="str">
        <f t="shared" si="1"/>
        <v/>
      </c>
      <c r="S37" s="76" t="str">
        <f t="shared" si="5"/>
        <v/>
      </c>
      <c r="T37" s="76" t="str">
        <f t="shared" si="6"/>
        <v>-- 検査値（数値）_異常値フラグ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milscm_2023_009.sny_202310_base_text_mml_mmllb_item.num_value_out IS '検査値（数値）_異常値フラグ';</v>
      </c>
    </row>
    <row r="38" spans="1:52" s="25" customFormat="1">
      <c r="A38" s="4"/>
      <c r="B38" s="21">
        <f t="shared" si="2"/>
        <v>26</v>
      </c>
      <c r="C38" s="6" t="s">
        <v>1655</v>
      </c>
      <c r="D38" s="6" t="s">
        <v>276</v>
      </c>
      <c r="E38" s="8"/>
      <c r="F38" s="7" t="s">
        <v>3280</v>
      </c>
      <c r="G38" s="7" t="str">
        <f t="shared" si="3"/>
        <v>text</v>
      </c>
      <c r="H38" s="26"/>
      <c r="I38" s="10"/>
      <c r="J38" s="11"/>
      <c r="M38" s="4"/>
      <c r="N38" s="76"/>
      <c r="O38" s="76"/>
      <c r="P38" s="76" t="str">
        <f t="shared" si="4"/>
        <v>,unit</v>
      </c>
      <c r="Q38" s="76" t="str">
        <f t="shared" si="0"/>
        <v>TEXT</v>
      </c>
      <c r="R38" s="76" t="str">
        <f t="shared" si="1"/>
        <v/>
      </c>
      <c r="S38" s="76" t="str">
        <f t="shared" si="5"/>
        <v/>
      </c>
      <c r="T38" s="76" t="str">
        <f t="shared" si="6"/>
        <v>-- 単位</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milscm_2023_009.sny_202310_base_text_mml_mmllb_item.unit IS '単位';</v>
      </c>
    </row>
    <row r="39" spans="1:52" s="25" customFormat="1">
      <c r="A39" s="4"/>
      <c r="B39" s="21">
        <f t="shared" si="2"/>
        <v>27</v>
      </c>
      <c r="C39" s="6" t="s">
        <v>1656</v>
      </c>
      <c r="D39" s="6" t="s">
        <v>3959</v>
      </c>
      <c r="E39" s="8"/>
      <c r="F39" s="7" t="s">
        <v>3280</v>
      </c>
      <c r="G39" s="7" t="str">
        <f t="shared" si="3"/>
        <v>text</v>
      </c>
      <c r="H39" s="26"/>
      <c r="I39" s="10"/>
      <c r="J39" s="11"/>
      <c r="M39" s="4"/>
      <c r="N39" s="76"/>
      <c r="O39" s="76"/>
      <c r="P39" s="76" t="str">
        <f t="shared" si="4"/>
        <v>,u_code</v>
      </c>
      <c r="Q39" s="76" t="str">
        <f t="shared" si="0"/>
        <v>TEXT</v>
      </c>
      <c r="R39" s="76" t="str">
        <f t="shared" si="1"/>
        <v/>
      </c>
      <c r="S39" s="76" t="str">
        <f t="shared" si="5"/>
        <v/>
      </c>
      <c r="T39" s="76" t="str">
        <f t="shared" si="6"/>
        <v>-- 単位コード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milscm_2023_009.sny_202310_base_text_mml_mmllb_item.u_code IS '単位コード';</v>
      </c>
    </row>
    <row r="40" spans="1:52" s="25" customFormat="1">
      <c r="A40" s="4"/>
      <c r="B40" s="21">
        <f t="shared" si="2"/>
        <v>28</v>
      </c>
      <c r="C40" s="6" t="s">
        <v>1658</v>
      </c>
      <c r="D40" s="6" t="s">
        <v>3960</v>
      </c>
      <c r="E40" s="8"/>
      <c r="F40" s="7" t="s">
        <v>3280</v>
      </c>
      <c r="G40" s="7" t="str">
        <f t="shared" si="3"/>
        <v>text</v>
      </c>
      <c r="H40" s="26"/>
      <c r="I40" s="10"/>
      <c r="J40" s="11"/>
      <c r="M40" s="4"/>
      <c r="N40" s="76"/>
      <c r="O40" s="76"/>
      <c r="P40" s="76" t="str">
        <f t="shared" si="4"/>
        <v>,u_code_id</v>
      </c>
      <c r="Q40" s="76" t="str">
        <f t="shared" si="0"/>
        <v>TEXT</v>
      </c>
      <c r="R40" s="76" t="str">
        <f t="shared" si="1"/>
        <v/>
      </c>
      <c r="S40" s="76" t="str">
        <f t="shared" si="5"/>
        <v/>
      </c>
      <c r="T40" s="76" t="str">
        <f t="shared" si="6"/>
        <v>-- 単位コードID</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milscm_2023_009.sny_202310_base_text_mml_mmllb_item.u_code_id IS '単位コードID';</v>
      </c>
    </row>
    <row r="41" spans="1:52" s="25" customFormat="1" ht="18" thickBot="1">
      <c r="A41" s="4"/>
      <c r="B41" s="27">
        <f>ROW()-12</f>
        <v>29</v>
      </c>
      <c r="C41" s="57" t="s">
        <v>1660</v>
      </c>
      <c r="D41" s="57" t="s">
        <v>3961</v>
      </c>
      <c r="E41" s="56"/>
      <c r="F41" s="56" t="s">
        <v>3280</v>
      </c>
      <c r="G41" s="56" t="str">
        <f t="shared" si="3"/>
        <v>text</v>
      </c>
      <c r="H41" s="59"/>
      <c r="I41" s="60"/>
      <c r="J41" s="64"/>
      <c r="N41" s="76"/>
      <c r="O41" s="76"/>
      <c r="P41" s="76" t="str">
        <f t="shared" si="4"/>
        <v>,item_memo_f</v>
      </c>
      <c r="Q41" s="76" t="str">
        <f t="shared" si="0"/>
        <v>TEXT</v>
      </c>
      <c r="R41" s="76" t="str">
        <f t="shared" si="1"/>
        <v/>
      </c>
      <c r="S41" s="76" t="str">
        <f t="shared" si="5"/>
        <v/>
      </c>
      <c r="T41" s="76" t="str">
        <f t="shared" si="6"/>
        <v>-- 項目フリーコメント</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milscm_2023_009.sny_202310_base_text_mml_mmllb_item.item_memo_f IS '項目フリーコメント';</v>
      </c>
    </row>
    <row r="42" spans="1:52">
      <c r="L42" s="25"/>
      <c r="M42" s="25"/>
      <c r="N42" s="76" t="s">
        <v>142</v>
      </c>
      <c r="O42" s="76"/>
      <c r="P42" s="76"/>
      <c r="Q42" s="76"/>
      <c r="R42" s="76"/>
      <c r="S42" s="76"/>
      <c r="T42" s="76"/>
      <c r="V42" s="25"/>
      <c r="W42" s="25"/>
      <c r="X42" s="25"/>
      <c r="Y42" s="25"/>
      <c r="Z42" s="25"/>
      <c r="AJ42" s="76"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ENT_31_A6-23</v>
      </c>
      <c r="E6" s="234"/>
      <c r="F6" s="234"/>
      <c r="G6" s="234"/>
      <c r="H6" s="234"/>
      <c r="I6" s="234"/>
      <c r="J6" s="235"/>
    </row>
    <row r="7" spans="1:45">
      <c r="B7" s="223" t="s">
        <v>115</v>
      </c>
      <c r="C7" s="224"/>
      <c r="D7" s="225" t="s">
        <v>4021</v>
      </c>
      <c r="E7" s="226"/>
      <c r="F7" s="226"/>
      <c r="G7" s="226"/>
      <c r="H7" s="226"/>
      <c r="I7" s="226"/>
      <c r="J7" s="227"/>
    </row>
    <row r="8" spans="1:45">
      <c r="B8" s="223" t="s">
        <v>116</v>
      </c>
      <c r="C8" s="224"/>
      <c r="D8" s="225" t="str">
        <f>エンティティ一覧!AE2&amp;"_"&amp;D5&amp;"_text_mml_mmllb_item_memo"</f>
        <v>sny_202310_base_text_mml_mmllb_item_memo</v>
      </c>
      <c r="E8" s="226"/>
      <c r="F8" s="226"/>
      <c r="G8" s="226"/>
      <c r="H8" s="226"/>
      <c r="I8" s="226"/>
      <c r="J8" s="227"/>
    </row>
    <row r="9" spans="1:45" ht="19.5" customHeight="1" thickBot="1">
      <c r="B9" s="228" t="s">
        <v>117</v>
      </c>
      <c r="C9" s="229"/>
      <c r="D9" s="230"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milscm_2023_009.sny_202310_base_text_mml_mmllb_item_memo;</v>
      </c>
      <c r="O10" s="76"/>
      <c r="P10" s="76"/>
      <c r="Q10" s="76"/>
      <c r="R10" s="76"/>
      <c r="S10" s="76"/>
      <c r="T10" s="76"/>
      <c r="AJ10" s="76" t="str">
        <f>"ALTER TABLE ONLY "&amp;エンティティ一覧!$O$2&amp;"."&amp;D$8</f>
        <v>ALTER TABLE ONLY milscm_2023_009.sny_202310_base_text_mml_mmllb_item_memo</v>
      </c>
      <c r="AS10" s="76" t="str">
        <f>"ALTER TABLE "&amp;エンティティ一覧!$O$2&amp;"."&amp;D$8&amp;" OWNER TO pgmisgrp1;"</f>
        <v>ALTER TABLE milscm_2023_009.sny_202310_base_text_mml_mmllb_item_memo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milscm_2023_009.sny_202310_base_text_mml_mmllb_item_memo</v>
      </c>
      <c r="O11" s="76"/>
      <c r="P11" s="76"/>
      <c r="Q11" s="76"/>
      <c r="R11" s="76"/>
      <c r="S11" s="76"/>
      <c r="T11" s="76"/>
      <c r="AJ11" s="76" t="str">
        <f>"ADD CONSTRAINT "&amp;D$8&amp;"_pkey PRIMARY KEY"</f>
        <v>ADD CONSTRAINT sny_202310_base_text_mml_mmllb_item_memo_pkey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milscm_2023_009.sny_202310_base_text_mml_mmllb_item_memo IS 'ベース_MML_検歴情報モジュール_検査項目コメント';</v>
      </c>
    </row>
    <row r="13" spans="1:45" s="25" customFormat="1">
      <c r="A13" s="4"/>
      <c r="B13" s="21">
        <f>ROW()-12</f>
        <v>1</v>
      </c>
      <c r="C13" s="6" t="s">
        <v>2784</v>
      </c>
      <c r="D13" s="6" t="s">
        <v>2785</v>
      </c>
      <c r="E13" s="8" t="s">
        <v>127</v>
      </c>
      <c r="F13" s="8" t="s">
        <v>3278</v>
      </c>
      <c r="G13" s="7" t="str">
        <f>IF(F13="フラグ","boolean",IF(F13="文字列","text",IF(F13="整数","integer",IF(F13="実数","numeric",""))))</f>
        <v>integer</v>
      </c>
      <c r="H13" s="9"/>
      <c r="I13" s="10" t="s">
        <v>127</v>
      </c>
      <c r="J13" s="11"/>
      <c r="M13" s="4"/>
      <c r="N13" s="76"/>
      <c r="O13" s="76"/>
      <c r="P13" s="76" t="str">
        <f>IF(B13&lt;&gt;1,","&amp;D13,D13)</f>
        <v>zip_no</v>
      </c>
      <c r="Q13" s="76" t="str">
        <f t="shared" ref="Q13:Q24" si="0">UPPER(G13)</f>
        <v>INTEGER</v>
      </c>
      <c r="R13" s="76" t="str">
        <f t="shared" ref="R13:R24"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milscm_2023_009.sny_202310_base_text_mml_mmllb_item_memo.zip_no IS 'ZipファイルNo';</v>
      </c>
    </row>
    <row r="14" spans="1:45" s="25" customFormat="1">
      <c r="A14" s="4"/>
      <c r="B14" s="21">
        <f t="shared" ref="B14:B23" si="2">ROW()-12</f>
        <v>2</v>
      </c>
      <c r="C14" s="6" t="s">
        <v>2787</v>
      </c>
      <c r="D14" s="6" t="s">
        <v>2788</v>
      </c>
      <c r="E14" s="8" t="s">
        <v>127</v>
      </c>
      <c r="F14" s="7" t="s">
        <v>3278</v>
      </c>
      <c r="G14" s="7" t="str">
        <f t="shared" ref="G14:G24" si="3">IF(F14="フラグ","boolean",IF(F14="文字列","text",IF(F14="整数","integer",IF(F14="実数","numeric",""))))</f>
        <v>integer</v>
      </c>
      <c r="H14" s="26"/>
      <c r="I14" s="10" t="s">
        <v>127</v>
      </c>
      <c r="J14" s="11"/>
      <c r="M14" s="4"/>
      <c r="N14" s="76"/>
      <c r="O14" s="76"/>
      <c r="P14" s="76" t="str">
        <f t="shared" ref="P14:P24" si="4">IF(B14&lt;&gt;1,","&amp;D14,D14)</f>
        <v>,file_no</v>
      </c>
      <c r="Q14" s="76" t="str">
        <f t="shared" si="0"/>
        <v>INTEGER</v>
      </c>
      <c r="R14" s="76" t="str">
        <f t="shared" si="1"/>
        <v/>
      </c>
      <c r="S14" s="76" t="str">
        <f t="shared" ref="S14:S24" si="5">IF(I14="○","NOT NULL","")</f>
        <v>NOT NULL</v>
      </c>
      <c r="T14" s="76" t="str">
        <f t="shared" ref="T14:T24"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milscm_2023_009.sny_202310_base_text_mml_mmllb_item_memo.file_no IS 'ファイルNo';</v>
      </c>
    </row>
    <row r="15" spans="1:45" s="25" customFormat="1">
      <c r="A15" s="4"/>
      <c r="B15" s="21">
        <f t="shared" si="2"/>
        <v>3</v>
      </c>
      <c r="C15" s="6" t="s">
        <v>3262</v>
      </c>
      <c r="D15" s="6" t="s">
        <v>2790</v>
      </c>
      <c r="E15" s="8" t="s">
        <v>127</v>
      </c>
      <c r="F15" s="7" t="s">
        <v>3278</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milscm_2023_009.sny_202310_base_text_mml_mmllb_item_memo.body_no IS '本文No';</v>
      </c>
    </row>
    <row r="16" spans="1:45" s="25" customFormat="1">
      <c r="A16" s="4"/>
      <c r="B16" s="21">
        <f t="shared" si="2"/>
        <v>4</v>
      </c>
      <c r="C16" s="6" t="s">
        <v>3279</v>
      </c>
      <c r="D16" s="6" t="s">
        <v>2407</v>
      </c>
      <c r="E16" s="8"/>
      <c r="F16" s="7" t="s">
        <v>3280</v>
      </c>
      <c r="G16" s="7" t="str">
        <f t="shared" si="3"/>
        <v>text</v>
      </c>
      <c r="H16" s="26"/>
      <c r="I16" s="10" t="s">
        <v>127</v>
      </c>
      <c r="J16" s="11" t="s">
        <v>3274</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milscm_2023_009.sny_202310_base_text_mml_mmllb_item_memo.facility_id_mml IS '施設ID（MML）';</v>
      </c>
    </row>
    <row r="17" spans="1:52" s="25" customFormat="1">
      <c r="A17" s="4"/>
      <c r="B17" s="21">
        <f t="shared" si="2"/>
        <v>5</v>
      </c>
      <c r="C17" s="6" t="s">
        <v>2792</v>
      </c>
      <c r="D17" s="6" t="s">
        <v>1250</v>
      </c>
      <c r="E17" s="8"/>
      <c r="F17" s="7" t="s">
        <v>3280</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milscm_2023_009.sny_202310_base_text_mml_mmllb_item_memo.master_id IS '患者ID';</v>
      </c>
    </row>
    <row r="18" spans="1:52" s="25" customFormat="1">
      <c r="A18" s="4"/>
      <c r="B18" s="21">
        <f t="shared" si="2"/>
        <v>6</v>
      </c>
      <c r="C18" s="6" t="s">
        <v>3911</v>
      </c>
      <c r="D18" s="6" t="s">
        <v>3912</v>
      </c>
      <c r="E18" s="8" t="s">
        <v>127</v>
      </c>
      <c r="F18" s="7" t="s">
        <v>3278</v>
      </c>
      <c r="G18" s="7" t="str">
        <f t="shared" si="3"/>
        <v>integer</v>
      </c>
      <c r="H18" s="26"/>
      <c r="I18" s="10" t="s">
        <v>127</v>
      </c>
      <c r="J18" s="11"/>
      <c r="M18" s="4"/>
      <c r="N18" s="76"/>
      <c r="O18" s="76"/>
      <c r="P18" s="76" t="str">
        <f t="shared" si="4"/>
        <v>,labo_test_no</v>
      </c>
      <c r="Q18" s="76" t="str">
        <f t="shared" si="0"/>
        <v>INTEGER</v>
      </c>
      <c r="R18" s="76" t="str">
        <f t="shared" si="1"/>
        <v/>
      </c>
      <c r="S18" s="76" t="str">
        <f t="shared" si="5"/>
        <v>NOT NULL</v>
      </c>
      <c r="T18" s="76" t="str">
        <f t="shared" si="6"/>
        <v>-- 検体検査結果情報No</v>
      </c>
      <c r="U18" s="4"/>
      <c r="AA18" s="4"/>
      <c r="AB18" s="4"/>
      <c r="AC18" s="4"/>
      <c r="AD18" s="4"/>
      <c r="AE18" s="4"/>
      <c r="AF18" s="4"/>
      <c r="AG18" s="4"/>
      <c r="AH18" s="4"/>
      <c r="AI18" s="4"/>
      <c r="AJ18" s="76" t="str">
        <f>IF(E18="○",IF(COUNTA(E$13:E18)=1,"",",")&amp;D18,"")</f>
        <v>,labo_test_no</v>
      </c>
      <c r="AK18" s="4"/>
      <c r="AL18" s="4"/>
      <c r="AM18" s="4"/>
      <c r="AN18" s="4"/>
      <c r="AO18" s="4"/>
      <c r="AP18" s="4"/>
      <c r="AQ18" s="4"/>
      <c r="AR18" s="4"/>
      <c r="AS18" s="76" t="str">
        <f>"COMMENT ON COLUMN "&amp;エンティティ一覧!$O$2&amp;"."&amp;D$8&amp;"."&amp;D18&amp;" IS '"&amp;C18&amp;"';"</f>
        <v>COMMENT ON COLUMN milscm_2023_009.sny_202310_base_text_mml_mmllb_item_memo.labo_test_no IS '検体検査結果情報No';</v>
      </c>
    </row>
    <row r="19" spans="1:52" s="25" customFormat="1">
      <c r="A19" s="4"/>
      <c r="B19" s="21">
        <f t="shared" si="2"/>
        <v>7</v>
      </c>
      <c r="C19" s="6" t="s">
        <v>3927</v>
      </c>
      <c r="D19" s="6" t="s">
        <v>3928</v>
      </c>
      <c r="E19" s="8" t="s">
        <v>127</v>
      </c>
      <c r="F19" s="7" t="s">
        <v>3278</v>
      </c>
      <c r="G19" s="7" t="str">
        <f t="shared" si="3"/>
        <v>integer</v>
      </c>
      <c r="H19" s="26"/>
      <c r="I19" s="10" t="s">
        <v>127</v>
      </c>
      <c r="J19" s="11"/>
      <c r="M19" s="4"/>
      <c r="N19" s="76"/>
      <c r="O19" s="76"/>
      <c r="P19" s="76" t="str">
        <f t="shared" si="4"/>
        <v>,item_no</v>
      </c>
      <c r="Q19" s="76" t="str">
        <f t="shared" si="0"/>
        <v>INTEGER</v>
      </c>
      <c r="R19" s="76" t="str">
        <f t="shared" si="1"/>
        <v/>
      </c>
      <c r="S19" s="76" t="str">
        <f t="shared" si="5"/>
        <v>NOT NULL</v>
      </c>
      <c r="T19" s="76" t="str">
        <f t="shared" si="6"/>
        <v>-- 項目No</v>
      </c>
      <c r="U19" s="4"/>
      <c r="AA19" s="4"/>
      <c r="AB19" s="4"/>
      <c r="AC19" s="4"/>
      <c r="AD19" s="4"/>
      <c r="AE19" s="4"/>
      <c r="AF19" s="4"/>
      <c r="AG19" s="4"/>
      <c r="AH19" s="4"/>
      <c r="AI19" s="4"/>
      <c r="AJ19" s="76" t="str">
        <f>IF(E19="○",IF(COUNTA(E$13:E19)=1,"",",")&amp;D19,"")</f>
        <v>,item_no</v>
      </c>
      <c r="AK19" s="4"/>
      <c r="AL19" s="4"/>
      <c r="AM19" s="4"/>
      <c r="AN19" s="4"/>
      <c r="AO19" s="4"/>
      <c r="AP19" s="4"/>
      <c r="AQ19" s="4"/>
      <c r="AR19" s="4"/>
      <c r="AS19" s="76" t="str">
        <f>"COMMENT ON COLUMN "&amp;エンティティ一覧!$O$2&amp;"."&amp;D$8&amp;"."&amp;D19&amp;" IS '"&amp;C19&amp;"';"</f>
        <v>COMMENT ON COLUMN milscm_2023_009.sny_202310_base_text_mml_mmllb_item_memo.item_no IS '項目No';</v>
      </c>
    </row>
    <row r="20" spans="1:52" s="25" customFormat="1">
      <c r="A20" s="4"/>
      <c r="B20" s="21">
        <f t="shared" si="2"/>
        <v>8</v>
      </c>
      <c r="C20" s="6" t="s">
        <v>3963</v>
      </c>
      <c r="D20" s="6" t="s">
        <v>3964</v>
      </c>
      <c r="E20" s="8" t="s">
        <v>127</v>
      </c>
      <c r="F20" s="7" t="s">
        <v>3278</v>
      </c>
      <c r="G20" s="7" t="str">
        <f t="shared" si="3"/>
        <v>integer</v>
      </c>
      <c r="H20" s="26"/>
      <c r="I20" s="10" t="s">
        <v>127</v>
      </c>
      <c r="J20" s="11"/>
      <c r="M20" s="4"/>
      <c r="N20" s="76"/>
      <c r="O20" s="76"/>
      <c r="P20" s="76" t="str">
        <f t="shared" si="4"/>
        <v>,item_memo_no</v>
      </c>
      <c r="Q20" s="76" t="str">
        <f t="shared" si="0"/>
        <v>INTEGER</v>
      </c>
      <c r="R20" s="76" t="str">
        <f t="shared" si="1"/>
        <v/>
      </c>
      <c r="S20" s="76" t="str">
        <f t="shared" si="5"/>
        <v>NOT NULL</v>
      </c>
      <c r="T20" s="76" t="str">
        <f t="shared" si="6"/>
        <v>-- 項目コメントNo</v>
      </c>
      <c r="U20" s="4"/>
      <c r="AA20" s="4"/>
      <c r="AB20" s="4"/>
      <c r="AC20" s="4"/>
      <c r="AD20" s="4"/>
      <c r="AE20" s="4"/>
      <c r="AF20" s="4"/>
      <c r="AG20" s="4"/>
      <c r="AH20" s="4"/>
      <c r="AI20" s="4"/>
      <c r="AJ20" s="76" t="str">
        <f>IF(E20="○",IF(COUNTA(E$13:E20)=1,"",",")&amp;D20,"")</f>
        <v>,item_memo_no</v>
      </c>
      <c r="AK20" s="4"/>
      <c r="AL20" s="4"/>
      <c r="AM20" s="4"/>
      <c r="AN20" s="4"/>
      <c r="AO20" s="4"/>
      <c r="AP20" s="4"/>
      <c r="AQ20" s="4"/>
      <c r="AR20" s="4"/>
      <c r="AS20" s="76" t="str">
        <f>"COMMENT ON COLUMN "&amp;エンティティ一覧!$O$2&amp;"."&amp;D$8&amp;"."&amp;D20&amp;" IS '"&amp;C20&amp;"';"</f>
        <v>COMMENT ON COLUMN milscm_2023_009.sny_202310_base_text_mml_mmllb_item_memo.item_memo_no IS '項目コメントNo';</v>
      </c>
    </row>
    <row r="21" spans="1:52" s="25" customFormat="1">
      <c r="A21" s="4"/>
      <c r="B21" s="21">
        <f t="shared" si="2"/>
        <v>9</v>
      </c>
      <c r="C21" s="6" t="s">
        <v>3965</v>
      </c>
      <c r="D21" s="6" t="s">
        <v>3966</v>
      </c>
      <c r="E21" s="8"/>
      <c r="F21" s="7" t="s">
        <v>3280</v>
      </c>
      <c r="G21" s="7" t="str">
        <f t="shared" si="3"/>
        <v>text</v>
      </c>
      <c r="H21" s="26"/>
      <c r="I21" s="10"/>
      <c r="J21" s="11"/>
      <c r="M21" s="4"/>
      <c r="N21" s="76"/>
      <c r="O21" s="76"/>
      <c r="P21" s="76" t="str">
        <f t="shared" si="4"/>
        <v>,item_memo</v>
      </c>
      <c r="Q21" s="76" t="str">
        <f t="shared" si="0"/>
        <v>TEXT</v>
      </c>
      <c r="R21" s="76" t="str">
        <f t="shared" si="1"/>
        <v/>
      </c>
      <c r="S21" s="76" t="str">
        <f t="shared" si="5"/>
        <v/>
      </c>
      <c r="T21" s="76" t="str">
        <f t="shared" si="6"/>
        <v>-- 項目コメント</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milscm_2023_009.sny_202310_base_text_mml_mmllb_item_memo.item_memo IS '項目コメント';</v>
      </c>
    </row>
    <row r="22" spans="1:52" s="25" customFormat="1">
      <c r="A22" s="4"/>
      <c r="B22" s="21">
        <f t="shared" si="2"/>
        <v>10</v>
      </c>
      <c r="C22" s="6" t="s">
        <v>3967</v>
      </c>
      <c r="D22" s="6" t="s">
        <v>3968</v>
      </c>
      <c r="E22" s="8"/>
      <c r="F22" s="7" t="s">
        <v>3280</v>
      </c>
      <c r="G22" s="7" t="str">
        <f t="shared" si="3"/>
        <v>text</v>
      </c>
      <c r="H22" s="26"/>
      <c r="I22" s="10"/>
      <c r="J22" s="11"/>
      <c r="M22" s="4"/>
      <c r="N22" s="76"/>
      <c r="O22" s="76"/>
      <c r="P22" s="76" t="str">
        <f t="shared" si="4"/>
        <v>,im_code_name</v>
      </c>
      <c r="Q22" s="76" t="str">
        <f t="shared" si="0"/>
        <v>TEXT</v>
      </c>
      <c r="R22" s="76" t="str">
        <f t="shared" si="1"/>
        <v/>
      </c>
      <c r="S22" s="76" t="str">
        <f t="shared" si="5"/>
        <v/>
      </c>
      <c r="T22" s="76" t="str">
        <f t="shared" si="6"/>
        <v>-- 項目コメントコード名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milscm_2023_009.sny_202310_base_text_mml_mmllb_item_memo.im_code_name IS '項目コメントコード名';</v>
      </c>
    </row>
    <row r="23" spans="1:52" s="25" customFormat="1">
      <c r="A23" s="4"/>
      <c r="B23" s="21">
        <f t="shared" si="2"/>
        <v>11</v>
      </c>
      <c r="C23" s="6" t="s">
        <v>3969</v>
      </c>
      <c r="D23" s="6" t="s">
        <v>3970</v>
      </c>
      <c r="E23" s="8"/>
      <c r="F23" s="7" t="s">
        <v>3280</v>
      </c>
      <c r="G23" s="7" t="str">
        <f t="shared" si="3"/>
        <v>text</v>
      </c>
      <c r="H23" s="26"/>
      <c r="I23" s="10"/>
      <c r="J23" s="11"/>
      <c r="M23" s="4"/>
      <c r="N23" s="76"/>
      <c r="O23" s="76"/>
      <c r="P23" s="76" t="str">
        <f t="shared" si="4"/>
        <v>,im_code</v>
      </c>
      <c r="Q23" s="76" t="str">
        <f t="shared" si="0"/>
        <v>TEXT</v>
      </c>
      <c r="R23" s="76" t="str">
        <f t="shared" si="1"/>
        <v/>
      </c>
      <c r="S23" s="76" t="str">
        <f t="shared" si="5"/>
        <v/>
      </c>
      <c r="T23" s="76" t="str">
        <f t="shared" si="6"/>
        <v>-- 項目コメントコード</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milscm_2023_009.sny_202310_base_text_mml_mmllb_item_memo.im_code IS '項目コメントコード';</v>
      </c>
    </row>
    <row r="24" spans="1:52" s="25" customFormat="1" ht="18" thickBot="1">
      <c r="A24" s="4"/>
      <c r="B24" s="27">
        <f>ROW()-12</f>
        <v>12</v>
      </c>
      <c r="C24" s="57" t="s">
        <v>3971</v>
      </c>
      <c r="D24" s="57" t="s">
        <v>3972</v>
      </c>
      <c r="E24" s="56"/>
      <c r="F24" s="56" t="s">
        <v>3280</v>
      </c>
      <c r="G24" s="56" t="str">
        <f t="shared" si="3"/>
        <v>text</v>
      </c>
      <c r="H24" s="59"/>
      <c r="I24" s="60"/>
      <c r="J24" s="64"/>
      <c r="N24" s="76"/>
      <c r="O24" s="76"/>
      <c r="P24" s="76" t="str">
        <f t="shared" si="4"/>
        <v>,im_code_id</v>
      </c>
      <c r="Q24" s="76" t="str">
        <f t="shared" si="0"/>
        <v>TEXT</v>
      </c>
      <c r="R24" s="76" t="str">
        <f t="shared" si="1"/>
        <v/>
      </c>
      <c r="S24" s="76" t="str">
        <f t="shared" si="5"/>
        <v/>
      </c>
      <c r="T24" s="76" t="str">
        <f t="shared" si="6"/>
        <v>-- 項目コメントコードID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milscm_2023_009.sny_202310_base_text_mml_mmllb_item_memo.im_code_id IS '項目コメントコードID';</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ENT_31_A6-24</v>
      </c>
      <c r="E6" s="234"/>
      <c r="F6" s="234"/>
      <c r="G6" s="234"/>
      <c r="H6" s="234"/>
      <c r="I6" s="234"/>
      <c r="J6" s="235"/>
    </row>
    <row r="7" spans="1:45">
      <c r="B7" s="223" t="s">
        <v>115</v>
      </c>
      <c r="C7" s="224"/>
      <c r="D7" s="225" t="s">
        <v>3702</v>
      </c>
      <c r="E7" s="226"/>
      <c r="F7" s="226"/>
      <c r="G7" s="226"/>
      <c r="H7" s="226"/>
      <c r="I7" s="226"/>
      <c r="J7" s="227"/>
    </row>
    <row r="8" spans="1:45">
      <c r="B8" s="223" t="s">
        <v>116</v>
      </c>
      <c r="C8" s="224"/>
      <c r="D8" s="225" t="str">
        <f>エンティティ一覧!AE2&amp;"_"&amp;D5&amp;"_text_mml_mmlps_body"</f>
        <v>sny_202310_base_text_mml_mmlps_body</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milscm_2023_009.sny_202310_base_text_mml_mmlps_body;</v>
      </c>
      <c r="O10" s="76"/>
      <c r="P10" s="76"/>
      <c r="Q10" s="76"/>
      <c r="R10" s="76"/>
      <c r="S10" s="76"/>
      <c r="T10" s="76"/>
      <c r="AJ10" s="76" t="str">
        <f>"ALTER TABLE ONLY "&amp;エンティティ一覧!$O$2&amp;"."&amp;D$8</f>
        <v>ALTER TABLE ONLY milscm_2023_009.sny_202310_base_text_mml_mmlps_body</v>
      </c>
      <c r="AS10" s="76" t="str">
        <f>"ALTER TABLE "&amp;エンティティ一覧!$O$2&amp;"."&amp;D$8&amp;" OWNER TO pgmisgrp1;"</f>
        <v>ALTER TABLE milscm_2023_009.sny_202310_base_text_mml_mmlps_body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milscm_2023_009.sny_202310_base_text_mml_mmlps_body</v>
      </c>
      <c r="O11" s="76"/>
      <c r="P11" s="76"/>
      <c r="Q11" s="76"/>
      <c r="R11" s="76"/>
      <c r="S11" s="76"/>
      <c r="T11" s="76"/>
      <c r="AJ11" s="76" t="str">
        <f>"ADD CONSTRAINT "&amp;D$8&amp;"_pkey PRIMARY KEY"</f>
        <v>ADD CONSTRAINT sny_202310_base_text_mml_mmlps_body_pkey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0" si="0">UPPER(G13)</f>
        <v>INTEGER</v>
      </c>
      <c r="R13" s="76" t="str">
        <f t="shared" ref="R13:R20"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6"/>
      <c r="O14" s="76"/>
      <c r="P14" s="76" t="str">
        <f t="shared" ref="P14:P20" si="4">IF(B14&lt;&gt;1,","&amp;D14,D14)</f>
        <v>,file_no</v>
      </c>
      <c r="Q14" s="76" t="str">
        <f t="shared" si="0"/>
        <v>INTEGER</v>
      </c>
      <c r="R14" s="76" t="str">
        <f t="shared" si="1"/>
        <v/>
      </c>
      <c r="S14" s="76" t="str">
        <f t="shared" ref="S14:S20" si="5">IF(I14="○","NOT NULL","")</f>
        <v>NOT NULL</v>
      </c>
      <c r="T14" s="76" t="str">
        <f t="shared" ref="T14:T20"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6"/>
      <c r="O18" s="76"/>
      <c r="P18" s="76" t="str">
        <f t="shared" si="4"/>
        <v>,issued_to</v>
      </c>
      <c r="Q18" s="76" t="str">
        <f t="shared" si="0"/>
        <v>TEXT</v>
      </c>
      <c r="R18" s="76" t="str">
        <f t="shared" si="1"/>
        <v/>
      </c>
      <c r="S18" s="76" t="str">
        <f t="shared" si="5"/>
        <v/>
      </c>
      <c r="T18" s="76" t="str">
        <f t="shared" si="6"/>
        <v>-- 院外、院内処方箋の別</v>
      </c>
      <c r="U18" s="4"/>
      <c r="AA18" s="4"/>
      <c r="AB18" s="4"/>
      <c r="AC18" s="4"/>
      <c r="AD18" s="4"/>
      <c r="AE18" s="4"/>
      <c r="AF18" s="4"/>
      <c r="AG18" s="4"/>
      <c r="AH18" s="4"/>
      <c r="AI18" s="4"/>
      <c r="AJ18" s="76" t="str">
        <f>IF(E18="○",IF(COUNTA(E$13:E18)=1,"",",")&amp;D18,"")</f>
        <v/>
      </c>
      <c r="AK18" s="4"/>
      <c r="AL18" s="4"/>
      <c r="AM18" s="4"/>
      <c r="AN18" s="4"/>
      <c r="AO18" s="4"/>
      <c r="AP18" s="4"/>
      <c r="AQ18" s="4"/>
      <c r="AR18" s="4"/>
      <c r="AS18" s="76" t="str">
        <f>"COMMENT ON COLUMN "&amp;エンティティ一覧!$O$2&amp;"."&amp;D$8&amp;"."&amp;D18&amp;" IS '"&amp;C18&amp;"';"</f>
        <v>COMMENT ON COLUMN milscm_2023_009.sny_202310_base_text_mml_mmlps_body.issued_to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6"/>
      <c r="O19" s="76"/>
      <c r="P19" s="76" t="str">
        <f t="shared" si="4"/>
        <v>,narcotic_prescription_license_no</v>
      </c>
      <c r="Q19" s="76" t="str">
        <f t="shared" si="0"/>
        <v>TEXT</v>
      </c>
      <c r="R19" s="76" t="str">
        <f t="shared" si="1"/>
        <v/>
      </c>
      <c r="S19" s="76" t="str">
        <f t="shared" si="5"/>
        <v/>
      </c>
      <c r="T19" s="76" t="str">
        <f t="shared" si="6"/>
        <v>-- 麻薬施用者番号</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4"/>
      <c r="N20" s="76"/>
      <c r="O20" s="76"/>
      <c r="P20" s="76" t="str">
        <f t="shared" si="4"/>
        <v>,comment</v>
      </c>
      <c r="Q20" s="76" t="str">
        <f t="shared" si="0"/>
        <v>TEXT</v>
      </c>
      <c r="R20" s="76" t="str">
        <f t="shared" si="1"/>
        <v/>
      </c>
      <c r="S20" s="76" t="str">
        <f t="shared" si="5"/>
        <v/>
      </c>
      <c r="T20" s="76" t="str">
        <f t="shared" si="6"/>
        <v>-- コメント</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milscm_2023_009.sny_202310_base_text_mml_mmlps_body.comment IS 'コメント';</v>
      </c>
    </row>
    <row r="21" spans="1:52">
      <c r="L21" s="25"/>
      <c r="M21" s="25"/>
      <c r="N21" s="76" t="s">
        <v>142</v>
      </c>
      <c r="O21" s="76"/>
      <c r="P21" s="76"/>
      <c r="Q21" s="76"/>
      <c r="R21" s="76"/>
      <c r="S21" s="76"/>
      <c r="T21" s="76"/>
      <c r="V21" s="25"/>
      <c r="W21" s="25"/>
      <c r="X21" s="25"/>
      <c r="Y21" s="25"/>
      <c r="Z21" s="25"/>
      <c r="AJ21" s="76"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ENT_31_A6-25</v>
      </c>
      <c r="E6" s="234"/>
      <c r="F6" s="234"/>
      <c r="G6" s="234"/>
      <c r="H6" s="234"/>
      <c r="I6" s="234"/>
      <c r="J6" s="235"/>
    </row>
    <row r="7" spans="1:45">
      <c r="B7" s="223" t="s">
        <v>115</v>
      </c>
      <c r="C7" s="224"/>
      <c r="D7" s="225" t="s">
        <v>3703</v>
      </c>
      <c r="E7" s="226"/>
      <c r="F7" s="226"/>
      <c r="G7" s="226"/>
      <c r="H7" s="226"/>
      <c r="I7" s="226"/>
      <c r="J7" s="227"/>
    </row>
    <row r="8" spans="1:45">
      <c r="B8" s="223" t="s">
        <v>116</v>
      </c>
      <c r="C8" s="224"/>
      <c r="D8" s="225" t="str">
        <f>エンティティ一覧!AE2&amp;"_"&amp;D5&amp;"_text_mml_mmlps_medication"</f>
        <v>sny_202310_base_text_mml_mmlps_medication</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milscm_2023_009.sny_202310_base_text_mml_mmlps_medication;</v>
      </c>
      <c r="O10" s="76"/>
      <c r="P10" s="76"/>
      <c r="Q10" s="76"/>
      <c r="R10" s="76"/>
      <c r="S10" s="76"/>
      <c r="T10" s="76"/>
      <c r="AJ10" s="76" t="str">
        <f>"ALTER TABLE ONLY "&amp;エンティティ一覧!$O$2&amp;"."&amp;D$8</f>
        <v>ALTER TABLE ONLY milscm_2023_009.sny_202310_base_text_mml_mmlps_medication</v>
      </c>
      <c r="AS10" s="76" t="str">
        <f>"ALTER TABLE "&amp;エンティティ一覧!$O$2&amp;"."&amp;D$8&amp;" OWNER TO pgmisgrp1;"</f>
        <v>ALTER TABLE milscm_2023_009.sny_202310_base_text_mml_mmlps_medication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milscm_2023_009.sny_202310_base_text_mml_mmlps_medication</v>
      </c>
      <c r="O11" s="76"/>
      <c r="P11" s="76"/>
      <c r="Q11" s="76"/>
      <c r="R11" s="76"/>
      <c r="S11" s="76"/>
      <c r="T11" s="76"/>
      <c r="AJ11" s="76" t="str">
        <f>"ADD CONSTRAINT "&amp;D$8&amp;"_pkey PRIMARY KEY"</f>
        <v>ADD CONSTRAINT sny_202310_base_text_mml_mmlps_medication_pkey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33" si="0">UPPER(G13)</f>
        <v>INTEGER</v>
      </c>
      <c r="R13" s="76" t="str">
        <f t="shared" ref="R13:R33"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6"/>
      <c r="O14" s="76"/>
      <c r="P14" s="76" t="str">
        <f t="shared" ref="P14:P33" si="4">IF(B14&lt;&gt;1,","&amp;D14,D14)</f>
        <v>,file_no</v>
      </c>
      <c r="Q14" s="76" t="str">
        <f t="shared" si="0"/>
        <v>INTEGER</v>
      </c>
      <c r="R14" s="76" t="str">
        <f t="shared" si="1"/>
        <v/>
      </c>
      <c r="S14" s="76" t="str">
        <f t="shared" ref="S14:S33" si="5">IF(I14="○","NOT NULL","")</f>
        <v>NOT NULL</v>
      </c>
      <c r="T14" s="76" t="str">
        <f t="shared" ref="T14:T33"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6"/>
      <c r="O19" s="76"/>
      <c r="P19" s="76" t="str">
        <f t="shared" si="4"/>
        <v>,medicine_name</v>
      </c>
      <c r="Q19" s="76" t="str">
        <f t="shared" si="0"/>
        <v>TEXT</v>
      </c>
      <c r="R19" s="76" t="str">
        <f t="shared" si="1"/>
        <v/>
      </c>
      <c r="S19" s="76" t="str">
        <f t="shared" si="5"/>
        <v/>
      </c>
      <c r="T19" s="76" t="str">
        <f t="shared" si="6"/>
        <v>-- 薬剤名称</v>
      </c>
      <c r="U19" s="4"/>
      <c r="AA19" s="4"/>
      <c r="AB19" s="4"/>
      <c r="AC19" s="4"/>
      <c r="AD19" s="4"/>
      <c r="AE19" s="4"/>
      <c r="AF19" s="4"/>
      <c r="AG19" s="4"/>
      <c r="AH19" s="4"/>
      <c r="AI19" s="4"/>
      <c r="AJ19" s="76" t="str">
        <f>IF(E19="○",IF(COUNTA(E$13:E19)=1,"",",")&amp;D19,"")</f>
        <v/>
      </c>
      <c r="AK19" s="4"/>
      <c r="AL19" s="4"/>
      <c r="AM19" s="4"/>
      <c r="AN19" s="4"/>
      <c r="AO19" s="4"/>
      <c r="AP19" s="4"/>
      <c r="AQ19" s="4"/>
      <c r="AR19" s="4"/>
      <c r="AS19" s="76" t="str">
        <f>"COMMENT ON COLUMN "&amp;エンティティ一覧!$O$2&amp;"."&amp;D$8&amp;"."&amp;D19&amp;" IS '"&amp;C19&amp;"';"</f>
        <v>COMMENT ON COLUMN milscm_2023_009.sny_202310_base_text_mml_mmlps_medication.medicine_name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6"/>
      <c r="O20" s="76"/>
      <c r="P20" s="76" t="str">
        <f t="shared" si="4"/>
        <v>,dose</v>
      </c>
      <c r="Q20" s="76" t="str">
        <f t="shared" si="0"/>
        <v>TEXT</v>
      </c>
      <c r="R20" s="76" t="str">
        <f t="shared" si="1"/>
        <v/>
      </c>
      <c r="S20" s="76" t="str">
        <f t="shared" si="5"/>
        <v/>
      </c>
      <c r="T20" s="76" t="str">
        <f t="shared" si="6"/>
        <v>-- 用量</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6"/>
      <c r="O21" s="76"/>
      <c r="P21" s="76" t="str">
        <f t="shared" si="4"/>
        <v>,dose_unit</v>
      </c>
      <c r="Q21" s="76" t="str">
        <f t="shared" si="0"/>
        <v>TEXT</v>
      </c>
      <c r="R21" s="76" t="str">
        <f t="shared" si="1"/>
        <v/>
      </c>
      <c r="S21" s="76" t="str">
        <f t="shared" si="5"/>
        <v/>
      </c>
      <c r="T21" s="76" t="str">
        <f t="shared" si="6"/>
        <v>-- 用量の単位</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6"/>
      <c r="O22" s="76"/>
      <c r="P22" s="76" t="str">
        <f t="shared" si="4"/>
        <v>,frequency_per_day</v>
      </c>
      <c r="Q22" s="76" t="str">
        <f t="shared" si="0"/>
        <v>TEXT</v>
      </c>
      <c r="R22" s="76" t="str">
        <f t="shared" si="1"/>
        <v/>
      </c>
      <c r="S22" s="76" t="str">
        <f t="shared" si="5"/>
        <v/>
      </c>
      <c r="T22" s="76" t="str">
        <f t="shared" si="6"/>
        <v>-- 一日の内服回数</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6"/>
      <c r="O23" s="76"/>
      <c r="P23" s="76" t="str">
        <f t="shared" si="4"/>
        <v>,start_date</v>
      </c>
      <c r="Q23" s="76" t="str">
        <f t="shared" si="0"/>
        <v>TEXT</v>
      </c>
      <c r="R23" s="76" t="str">
        <f t="shared" si="1"/>
        <v/>
      </c>
      <c r="S23" s="76" t="str">
        <f t="shared" si="5"/>
        <v/>
      </c>
      <c r="T23" s="76" t="str">
        <f t="shared" si="6"/>
        <v>-- 服薬開始日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6"/>
      <c r="O24" s="76"/>
      <c r="P24" s="76" t="str">
        <f t="shared" si="4"/>
        <v>,duration</v>
      </c>
      <c r="Q24" s="76" t="str">
        <f t="shared" si="0"/>
        <v>TEXT</v>
      </c>
      <c r="R24" s="76" t="str">
        <f t="shared" si="1"/>
        <v/>
      </c>
      <c r="S24" s="76" t="str">
        <f t="shared" si="5"/>
        <v/>
      </c>
      <c r="T24" s="76" t="str">
        <f t="shared" si="6"/>
        <v>-- 服薬期間（日数）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6"/>
      <c r="O25" s="76"/>
      <c r="P25" s="76" t="str">
        <f t="shared" si="4"/>
        <v>,instruction</v>
      </c>
      <c r="Q25" s="76" t="str">
        <f t="shared" si="0"/>
        <v>TEXT</v>
      </c>
      <c r="R25" s="76" t="str">
        <f t="shared" si="1"/>
        <v/>
      </c>
      <c r="S25" s="76" t="str">
        <f t="shared" si="5"/>
        <v/>
      </c>
      <c r="T25" s="76" t="str">
        <f t="shared" si="6"/>
        <v>-- 用法指示</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6"/>
      <c r="O26" s="76"/>
      <c r="P26" s="76" t="str">
        <f t="shared" si="4"/>
        <v>,prn</v>
      </c>
      <c r="Q26" s="76" t="str">
        <f t="shared" si="0"/>
        <v>TEXT</v>
      </c>
      <c r="R26" s="76" t="str">
        <f t="shared" si="1"/>
        <v/>
      </c>
      <c r="S26" s="76" t="str">
        <f t="shared" si="5"/>
        <v/>
      </c>
      <c r="T26" s="76" t="str">
        <f t="shared" si="6"/>
        <v>-- 頓用指示</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6"/>
      <c r="O27" s="76"/>
      <c r="P27" s="76" t="str">
        <f t="shared" si="4"/>
        <v>,repetitions</v>
      </c>
      <c r="Q27" s="76" t="str">
        <f t="shared" si="0"/>
        <v>TEXT</v>
      </c>
      <c r="R27" s="76" t="str">
        <f t="shared" si="1"/>
        <v/>
      </c>
      <c r="S27" s="76" t="str">
        <f t="shared" si="5"/>
        <v/>
      </c>
      <c r="T27" s="76" t="str">
        <f t="shared" si="6"/>
        <v>-- 総投与回数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6"/>
      <c r="O28" s="76"/>
      <c r="P28" s="76" t="str">
        <f t="shared" si="4"/>
        <v>,route</v>
      </c>
      <c r="Q28" s="76" t="str">
        <f t="shared" si="0"/>
        <v>TEXT</v>
      </c>
      <c r="R28" s="76" t="str">
        <f t="shared" si="1"/>
        <v/>
      </c>
      <c r="S28" s="76" t="str">
        <f t="shared" si="5"/>
        <v/>
      </c>
      <c r="T28" s="76" t="str">
        <f t="shared" si="6"/>
        <v>-- 投与経路</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6"/>
      <c r="O29" s="76"/>
      <c r="P29" s="76" t="str">
        <f t="shared" si="4"/>
        <v>,form</v>
      </c>
      <c r="Q29" s="76" t="str">
        <f t="shared" si="0"/>
        <v>TEXT</v>
      </c>
      <c r="R29" s="76" t="str">
        <f t="shared" si="1"/>
        <v/>
      </c>
      <c r="S29" s="76" t="str">
        <f t="shared" si="5"/>
        <v/>
      </c>
      <c r="T29" s="76" t="str">
        <f t="shared" si="6"/>
        <v>-- 剤形</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6"/>
      <c r="O30" s="76"/>
      <c r="P30" s="76" t="str">
        <f t="shared" si="4"/>
        <v>,batch_no</v>
      </c>
      <c r="Q30" s="76" t="str">
        <f t="shared" si="0"/>
        <v>TEXT</v>
      </c>
      <c r="R30" s="76" t="str">
        <f t="shared" si="1"/>
        <v/>
      </c>
      <c r="S30" s="76" t="str">
        <f t="shared" si="5"/>
        <v/>
      </c>
      <c r="T30" s="76" t="str">
        <f t="shared" si="6"/>
        <v>-- 処方番号</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6"/>
      <c r="O31" s="76"/>
      <c r="P31" s="76" t="str">
        <f t="shared" si="4"/>
        <v>,brand_substitution_permitted</v>
      </c>
      <c r="Q31" s="76" t="str">
        <f t="shared" si="0"/>
        <v>TEXT</v>
      </c>
      <c r="R31" s="76" t="str">
        <f t="shared" si="1"/>
        <v/>
      </c>
      <c r="S31" s="76" t="str">
        <f t="shared" si="5"/>
        <v/>
      </c>
      <c r="T31" s="76" t="str">
        <f t="shared" si="6"/>
        <v>-- ジェネリック医薬品への代替可</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6"/>
      <c r="O32" s="76"/>
      <c r="P32" s="76" t="str">
        <f t="shared" si="4"/>
        <v>,long_term</v>
      </c>
      <c r="Q32" s="76" t="str">
        <f t="shared" si="0"/>
        <v>TEXT</v>
      </c>
      <c r="R32" s="76" t="str">
        <f t="shared" si="1"/>
        <v/>
      </c>
      <c r="S32" s="76" t="str">
        <f t="shared" si="5"/>
        <v/>
      </c>
      <c r="T32" s="76" t="str">
        <f t="shared" si="6"/>
        <v>-- 長期処方可</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4"/>
      <c r="N33" s="76"/>
      <c r="O33" s="76"/>
      <c r="P33" s="76" t="str">
        <f t="shared" si="4"/>
        <v>,additional_instruction</v>
      </c>
      <c r="Q33" s="76" t="str">
        <f t="shared" si="0"/>
        <v>TEXT</v>
      </c>
      <c r="R33" s="76" t="str">
        <f t="shared" si="1"/>
        <v/>
      </c>
      <c r="S33" s="76" t="str">
        <f t="shared" si="5"/>
        <v/>
      </c>
      <c r="T33" s="76" t="str">
        <f t="shared" si="6"/>
        <v>-- 追加指示，コメント</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milscm_2023_009.sny_202310_base_text_mml_mmlps_medication.additional_instruction IS '追加指示，コメント';</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ENT_31_A6-26</v>
      </c>
      <c r="E6" s="234"/>
      <c r="F6" s="234"/>
      <c r="G6" s="234"/>
      <c r="H6" s="234"/>
      <c r="I6" s="234"/>
      <c r="J6" s="235"/>
    </row>
    <row r="7" spans="1:45">
      <c r="B7" s="223" t="s">
        <v>115</v>
      </c>
      <c r="C7" s="224"/>
      <c r="D7" s="225" t="s">
        <v>3704</v>
      </c>
      <c r="E7" s="226"/>
      <c r="F7" s="226"/>
      <c r="G7" s="226"/>
      <c r="H7" s="226"/>
      <c r="I7" s="226"/>
      <c r="J7" s="227"/>
    </row>
    <row r="8" spans="1:45">
      <c r="B8" s="223" t="s">
        <v>116</v>
      </c>
      <c r="C8" s="224"/>
      <c r="D8" s="225" t="str">
        <f>エンティティ一覧!AE2&amp;"_"&amp;D5&amp;"_text_mml_mmlps_medicine"</f>
        <v>sny_202310_base_text_mml_mmlps_medicine</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milscm_2023_009.sny_202310_base_text_mml_mmlps_medicine;</v>
      </c>
      <c r="O10" s="76"/>
      <c r="P10" s="76"/>
      <c r="Q10" s="76"/>
      <c r="R10" s="76"/>
      <c r="S10" s="76"/>
      <c r="T10" s="76"/>
      <c r="AJ10" s="76" t="str">
        <f>"ALTER TABLE ONLY "&amp;エンティティ一覧!$O$2&amp;"."&amp;D$8</f>
        <v>ALTER TABLE ONLY milscm_2023_009.sny_202310_base_text_mml_mmlps_medicine</v>
      </c>
      <c r="AS10" s="76" t="str">
        <f>"ALTER TABLE "&amp;エンティティ一覧!$O$2&amp;"."&amp;D$8&amp;" OWNER TO pgmisgrp1;"</f>
        <v>ALTER TABLE milscm_2023_009.sny_202310_base_text_mml_mmlps_medicine OWNER TO pgmisgrp1;</v>
      </c>
    </row>
    <row r="11" spans="1:45" ht="18" thickBot="1">
      <c r="B11" s="20" t="s">
        <v>118</v>
      </c>
      <c r="C11" s="19"/>
      <c r="D11" s="5"/>
      <c r="E11" s="5"/>
      <c r="F11" s="5"/>
      <c r="G11" s="5"/>
      <c r="H11" s="5"/>
      <c r="I11" s="5"/>
      <c r="J11" s="18"/>
      <c r="N11" s="76" t="str">
        <f>"CREATE TABLE  "&amp;エンティティ一覧!$O$2&amp;"."&amp;D$8</f>
        <v>CREATE TABLE  milscm_2023_009.sny_202310_base_text_mml_mmlps_medicine</v>
      </c>
      <c r="O11" s="76"/>
      <c r="P11" s="76"/>
      <c r="Q11" s="76"/>
      <c r="R11" s="76"/>
      <c r="S11" s="76"/>
      <c r="T11" s="76"/>
      <c r="AJ11" s="76" t="str">
        <f>"ADD CONSTRAINT "&amp;D$8&amp;"_pkey PRIMARY KEY"</f>
        <v>ADD CONSTRAINT sny_202310_base_text_mml_mmlps_medicine_pkey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6"/>
      <c r="O13" s="76"/>
      <c r="P13" s="76" t="str">
        <f>IF(B13&lt;&gt;1,","&amp;D13,D13)</f>
        <v>zip_no</v>
      </c>
      <c r="Q13" s="76" t="str">
        <f t="shared" ref="Q13:Q21" si="0">UPPER(G13)</f>
        <v>INTEGER</v>
      </c>
      <c r="R13" s="76" t="str">
        <f t="shared" ref="R13:R21" si="1">IF(H13&lt;&gt;"","default "&amp;IF(G13="text","'"&amp;H13&amp;"'",H13),"")</f>
        <v/>
      </c>
      <c r="S13" s="76" t="str">
        <f>IF(I13="○","NOT NULL","")</f>
        <v>NOT NULL</v>
      </c>
      <c r="T13" s="76" t="str">
        <f>"-- "&amp;C13</f>
        <v>-- ZipファイルNo</v>
      </c>
      <c r="U13" s="4"/>
      <c r="AA13" s="4"/>
      <c r="AB13" s="4"/>
      <c r="AC13" s="4"/>
      <c r="AD13" s="4"/>
      <c r="AE13" s="4"/>
      <c r="AF13" s="4"/>
      <c r="AG13" s="4"/>
      <c r="AH13" s="4"/>
      <c r="AI13" s="4"/>
      <c r="AJ13" s="76" t="str">
        <f>IF(E13="○",IF(COUNTA(E$13:E13)=1,"",",")&amp;D13,"")</f>
        <v>zip_no</v>
      </c>
      <c r="AK13" s="4"/>
      <c r="AL13" s="4"/>
      <c r="AM13" s="4"/>
      <c r="AN13" s="4"/>
      <c r="AO13" s="4"/>
      <c r="AP13" s="4"/>
      <c r="AQ13" s="4"/>
      <c r="AR13" s="4"/>
      <c r="AS13" s="76" t="str">
        <f>"COMMENT ON COLUMN "&amp;エンティティ一覧!$O$2&amp;"."&amp;D$8&amp;"."&amp;D13&amp;" IS '"&amp;C13&amp;"';"</f>
        <v>COMMENT ON COLUMN milscm_2023_009.sny_202310_base_text_mml_mmlps_medicine.zip_no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6"/>
      <c r="O14" s="76"/>
      <c r="P14" s="76" t="str">
        <f t="shared" ref="P14:P21" si="4">IF(B14&lt;&gt;1,","&amp;D14,D14)</f>
        <v>,file_no</v>
      </c>
      <c r="Q14" s="76" t="str">
        <f t="shared" si="0"/>
        <v>INTEGER</v>
      </c>
      <c r="R14" s="76" t="str">
        <f t="shared" si="1"/>
        <v/>
      </c>
      <c r="S14" s="76" t="str">
        <f t="shared" ref="S14:S21" si="5">IF(I14="○","NOT NULL","")</f>
        <v>NOT NULL</v>
      </c>
      <c r="T14" s="76" t="str">
        <f t="shared" ref="T14:T21" si="6">"-- "&amp;C14</f>
        <v>-- ファイルNo</v>
      </c>
      <c r="U14" s="4"/>
      <c r="AA14" s="4"/>
      <c r="AB14" s="4"/>
      <c r="AC14" s="4"/>
      <c r="AD14" s="4"/>
      <c r="AE14" s="4"/>
      <c r="AF14" s="4"/>
      <c r="AG14" s="4"/>
      <c r="AH14" s="4"/>
      <c r="AI14" s="4"/>
      <c r="AJ14" s="76" t="str">
        <f>IF(E14="○",IF(COUNTA(E$13:E14)=1,"",",")&amp;D14,"")</f>
        <v>,file_no</v>
      </c>
      <c r="AK14" s="4"/>
      <c r="AL14" s="4"/>
      <c r="AM14" s="4"/>
      <c r="AN14" s="4"/>
      <c r="AO14" s="4"/>
      <c r="AP14" s="4"/>
      <c r="AQ14" s="4"/>
      <c r="AR14" s="4"/>
      <c r="AS14" s="76" t="str">
        <f>"COMMENT ON COLUMN "&amp;エンティティ一覧!$O$2&amp;"."&amp;D$8&amp;"."&amp;D14&amp;" IS '"&amp;C14&amp;"';"</f>
        <v>COMMENT ON COLUMN milscm_2023_009.sny_202310_base_text_mml_mmlps_medicine.file_no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6"/>
      <c r="O15" s="76"/>
      <c r="P15" s="76" t="str">
        <f t="shared" si="4"/>
        <v>,body_no</v>
      </c>
      <c r="Q15" s="76" t="str">
        <f t="shared" si="0"/>
        <v>INTEGER</v>
      </c>
      <c r="R15" s="76" t="str">
        <f t="shared" si="1"/>
        <v/>
      </c>
      <c r="S15" s="76" t="str">
        <f t="shared" si="5"/>
        <v>NOT NULL</v>
      </c>
      <c r="T15" s="76" t="str">
        <f t="shared" si="6"/>
        <v>-- 本文No</v>
      </c>
      <c r="U15" s="4"/>
      <c r="AA15" s="4"/>
      <c r="AB15" s="4"/>
      <c r="AC15" s="4"/>
      <c r="AD15" s="4"/>
      <c r="AE15" s="4"/>
      <c r="AF15" s="4"/>
      <c r="AG15" s="4"/>
      <c r="AH15" s="4"/>
      <c r="AI15" s="4"/>
      <c r="AJ15" s="76" t="str">
        <f>IF(E15="○",IF(COUNTA(E$13:E15)=1,"",",")&amp;D15,"")</f>
        <v>,body_no</v>
      </c>
      <c r="AK15" s="4"/>
      <c r="AL15" s="4"/>
      <c r="AM15" s="4"/>
      <c r="AN15" s="4"/>
      <c r="AO15" s="4"/>
      <c r="AP15" s="4"/>
      <c r="AQ15" s="4"/>
      <c r="AR15" s="4"/>
      <c r="AS15" s="76" t="str">
        <f>"COMMENT ON COLUMN "&amp;エンティティ一覧!$O$2&amp;"."&amp;D$8&amp;"."&amp;D15&amp;" IS '"&amp;C15&amp;"';"</f>
        <v>COMMENT ON COLUMN milscm_2023_009.sny_202310_base_text_mml_mmlps_medicine.body_no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6"/>
      <c r="O16" s="76"/>
      <c r="P16" s="76" t="str">
        <f t="shared" si="4"/>
        <v>,facility_id_mml</v>
      </c>
      <c r="Q16" s="76" t="str">
        <f t="shared" si="0"/>
        <v>TEXT</v>
      </c>
      <c r="R16" s="76" t="str">
        <f t="shared" si="1"/>
        <v/>
      </c>
      <c r="S16" s="76" t="str">
        <f t="shared" si="5"/>
        <v>NOT NULL</v>
      </c>
      <c r="T16" s="76" t="str">
        <f t="shared" si="6"/>
        <v>-- 施設ID（MML）</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6"/>
      <c r="O17" s="76"/>
      <c r="P17" s="76" t="str">
        <f t="shared" si="4"/>
        <v>,master_id</v>
      </c>
      <c r="Q17" s="76" t="str">
        <f t="shared" si="0"/>
        <v>TEXT</v>
      </c>
      <c r="R17" s="76" t="str">
        <f t="shared" si="1"/>
        <v/>
      </c>
      <c r="S17" s="76" t="str">
        <f t="shared" si="5"/>
        <v>NOT NULL</v>
      </c>
      <c r="T17" s="76" t="str">
        <f t="shared" si="6"/>
        <v>-- 患者ID</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6"/>
      <c r="O18" s="76"/>
      <c r="P18" s="76" t="str">
        <f t="shared" si="4"/>
        <v>,medication_no</v>
      </c>
      <c r="Q18" s="76" t="str">
        <f t="shared" si="0"/>
        <v>INTEGER</v>
      </c>
      <c r="R18" s="76" t="str">
        <f t="shared" si="1"/>
        <v/>
      </c>
      <c r="S18" s="76" t="str">
        <f t="shared" si="5"/>
        <v>NOT NULL</v>
      </c>
      <c r="T18" s="76" t="str">
        <f t="shared" si="6"/>
        <v>-- 投薬No</v>
      </c>
      <c r="U18" s="4"/>
      <c r="AA18" s="4"/>
      <c r="AB18" s="4"/>
      <c r="AC18" s="4"/>
      <c r="AD18" s="4"/>
      <c r="AE18" s="4"/>
      <c r="AF18" s="4"/>
      <c r="AG18" s="4"/>
      <c r="AH18" s="4"/>
      <c r="AI18" s="4"/>
      <c r="AJ18" s="76" t="str">
        <f>IF(E18="○",IF(COUNTA(E$13:E18)=1,"",",")&amp;D18,"")</f>
        <v>,medication_no</v>
      </c>
      <c r="AK18" s="4"/>
      <c r="AL18" s="4"/>
      <c r="AM18" s="4"/>
      <c r="AN18" s="4"/>
      <c r="AO18" s="4"/>
      <c r="AP18" s="4"/>
      <c r="AQ18" s="4"/>
      <c r="AR18" s="4"/>
      <c r="AS18" s="76" t="str">
        <f>"COMMENT ON COLUMN "&amp;エンティティ一覧!$O$2&amp;"."&amp;D$8&amp;"."&amp;D18&amp;" IS '"&amp;C18&amp;"';"</f>
        <v>COMMENT ON COLUMN milscm_2023_009.sny_202310_base_text_mml_mmlps_medicine.medication_no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6"/>
      <c r="O19" s="76"/>
      <c r="P19" s="76" t="str">
        <f t="shared" si="4"/>
        <v>,medicine_no</v>
      </c>
      <c r="Q19" s="76" t="str">
        <f t="shared" si="0"/>
        <v>INTEGER</v>
      </c>
      <c r="R19" s="76" t="str">
        <f t="shared" si="1"/>
        <v/>
      </c>
      <c r="S19" s="76" t="str">
        <f t="shared" si="5"/>
        <v>NOT NULL</v>
      </c>
      <c r="T19" s="76" t="str">
        <f t="shared" si="6"/>
        <v>-- 薬剤No</v>
      </c>
      <c r="U19" s="4"/>
      <c r="AA19" s="4"/>
      <c r="AB19" s="4"/>
      <c r="AC19" s="4"/>
      <c r="AD19" s="4"/>
      <c r="AE19" s="4"/>
      <c r="AF19" s="4"/>
      <c r="AG19" s="4"/>
      <c r="AH19" s="4"/>
      <c r="AI19" s="4"/>
      <c r="AJ19" s="76" t="str">
        <f>IF(E19="○",IF(COUNTA(E$13:E19)=1,"",",")&amp;D19,"")</f>
        <v>,medicine_no</v>
      </c>
      <c r="AK19" s="4"/>
      <c r="AL19" s="4"/>
      <c r="AM19" s="4"/>
      <c r="AN19" s="4"/>
      <c r="AO19" s="4"/>
      <c r="AP19" s="4"/>
      <c r="AQ19" s="4"/>
      <c r="AR19" s="4"/>
      <c r="AS19" s="76" t="str">
        <f>"COMMENT ON COLUMN "&amp;エンティティ一覧!$O$2&amp;"."&amp;D$8&amp;"."&amp;D19&amp;" IS '"&amp;C19&amp;"';"</f>
        <v>COMMENT ON COLUMN milscm_2023_009.sny_202310_base_text_mml_mmlps_medicine.medicine_no IS '薬剤No';</v>
      </c>
    </row>
    <row r="20" spans="1:52" s="25" customFormat="1">
      <c r="A20" s="4"/>
      <c r="B20" s="21">
        <f t="shared" si="2"/>
        <v>8</v>
      </c>
      <c r="C20" s="6" t="s">
        <v>2862</v>
      </c>
      <c r="D20" s="6" t="s">
        <v>359</v>
      </c>
      <c r="E20" s="8"/>
      <c r="F20" s="7" t="s">
        <v>1825</v>
      </c>
      <c r="G20" s="7" t="str">
        <f t="shared" si="3"/>
        <v>text</v>
      </c>
      <c r="H20" s="26"/>
      <c r="I20" s="10"/>
      <c r="J20" s="11"/>
      <c r="M20" s="4"/>
      <c r="N20" s="76"/>
      <c r="O20" s="76"/>
      <c r="P20" s="76" t="str">
        <f t="shared" si="4"/>
        <v>,code</v>
      </c>
      <c r="Q20" s="76" t="str">
        <f t="shared" si="0"/>
        <v>TEXT</v>
      </c>
      <c r="R20" s="76" t="str">
        <f t="shared" si="1"/>
        <v/>
      </c>
      <c r="S20" s="76" t="str">
        <f t="shared" si="5"/>
        <v/>
      </c>
      <c r="T20" s="76" t="str">
        <f t="shared" si="6"/>
        <v>-- 薬剤コード</v>
      </c>
      <c r="U20" s="4"/>
      <c r="AA20" s="4"/>
      <c r="AB20" s="4"/>
      <c r="AC20" s="4"/>
      <c r="AD20" s="4"/>
      <c r="AE20" s="4"/>
      <c r="AF20" s="4"/>
      <c r="AG20" s="4"/>
      <c r="AH20" s="4"/>
      <c r="AI20" s="4"/>
      <c r="AJ20" s="76" t="str">
        <f>IF(E20="○",IF(COUNTA(E$13:E20)=1,"",",")&amp;D20,"")</f>
        <v/>
      </c>
      <c r="AK20" s="4"/>
      <c r="AL20" s="4"/>
      <c r="AM20" s="4"/>
      <c r="AN20" s="4"/>
      <c r="AO20" s="4"/>
      <c r="AP20" s="4"/>
      <c r="AQ20" s="4"/>
      <c r="AR20" s="4"/>
      <c r="AS20" s="76" t="str">
        <f>"COMMENT ON COLUMN "&amp;エンティティ一覧!$O$2&amp;"."&amp;D$8&amp;"."&amp;D20&amp;" IS '"&amp;C20&amp;"';"</f>
        <v>COMMENT ON COLUMN milscm_2023_009.sny_202310_base_text_mml_mmlps_medicine.code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4"/>
      <c r="N21" s="76"/>
      <c r="O21" s="76"/>
      <c r="P21" s="76" t="str">
        <f t="shared" si="4"/>
        <v>,system</v>
      </c>
      <c r="Q21" s="76" t="str">
        <f t="shared" si="0"/>
        <v>TEXT</v>
      </c>
      <c r="R21" s="76" t="str">
        <f t="shared" si="1"/>
        <v/>
      </c>
      <c r="S21" s="76" t="str">
        <f t="shared" si="5"/>
        <v/>
      </c>
      <c r="T21" s="76" t="str">
        <f t="shared" si="6"/>
        <v>-- 薬剤コード体系</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milscm_2023_009.sny_202310_base_text_mml_mmlps_medicine.system IS '薬剤コード体系';</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ENT_31_C1-02</v>
      </c>
      <c r="E6" s="234"/>
      <c r="F6" s="234"/>
      <c r="G6" s="234"/>
      <c r="H6" s="234"/>
      <c r="I6" s="234"/>
      <c r="J6" s="235"/>
    </row>
    <row r="7" spans="1:45">
      <c r="B7" s="223" t="s">
        <v>115</v>
      </c>
      <c r="C7" s="224"/>
      <c r="D7" s="225" t="s">
        <v>309</v>
      </c>
      <c r="E7" s="226"/>
      <c r="F7" s="226"/>
      <c r="G7" s="226"/>
      <c r="H7" s="226"/>
      <c r="I7" s="226"/>
      <c r="J7" s="227"/>
    </row>
    <row r="8" spans="1:45">
      <c r="B8" s="223" t="s">
        <v>116</v>
      </c>
      <c r="C8" s="224"/>
      <c r="D8" s="225" t="str">
        <f>エンティティ一覧!AE2&amp;"_"&amp;D5&amp;"_merge_dpc_efn"</f>
        <v>sny_202310_base_merge_dpc_efn</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milscm_2023_009.sny_202310_base_merge_dpc_efn;</v>
      </c>
      <c r="O10" s="76"/>
      <c r="P10" s="76"/>
      <c r="Q10" s="76"/>
      <c r="R10" s="76"/>
      <c r="S10" s="76"/>
      <c r="T10" s="76"/>
      <c r="AJ10" s="76" t="str">
        <f>"ALTER TABLE ONLY "&amp;エンティティ一覧!$O$2&amp;"."&amp;D$8</f>
        <v>ALTER TABLE ONLY milscm_2023_009.sny_202310_base_merge_dpc_efn</v>
      </c>
      <c r="AS10" s="76" t="str">
        <f>"ALTER TABLE "&amp;エンティティ一覧!$O$2&amp;"."&amp;D$8&amp;" OWNER TO pgmisgrp1;"</f>
        <v>ALTER TABLE milscm_2023_009.sny_202310_base_merge_dpc_efn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milscm_2023_009.sny_202310_base_merge_dpc_efn</v>
      </c>
      <c r="O11" s="76"/>
      <c r="P11" s="76"/>
      <c r="Q11" s="76"/>
      <c r="R11" s="76"/>
      <c r="S11" s="76"/>
      <c r="T11" s="76"/>
      <c r="AJ11" s="76" t="str">
        <f>"ADD CONSTRAINT "&amp;D$8&amp;"_pkey PRIMARY KEY"</f>
        <v>ADD CONSTRAINT sny_202310_base_merge_dpc_efn_pkey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milscm_2023_009.sny_202310_base_merge_dpc_efn IS 'ベース_DPC調査データ_入院EF統合ファイル';</v>
      </c>
    </row>
    <row r="13" spans="1:45" s="25" customFormat="1">
      <c r="A13" s="4"/>
      <c r="B13" s="21">
        <f>ROW()-12</f>
        <v>1</v>
      </c>
      <c r="C13" s="13" t="s">
        <v>199</v>
      </c>
      <c r="D13" s="13" t="s">
        <v>200</v>
      </c>
      <c r="E13" s="7"/>
      <c r="F13" s="7" t="s">
        <v>201</v>
      </c>
      <c r="G13" s="7" t="str">
        <f>IF(F13="フラグ","boolean",IF(F13="文字列","text",IF(F13="整数","integer",IF(F13="実数","numeric",""))))</f>
        <v>text</v>
      </c>
      <c r="H13" s="22"/>
      <c r="I13" s="23" t="s">
        <v>127</v>
      </c>
      <c r="J13" s="54" t="s">
        <v>256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milscm_2023_009.sny_202310_base_merge_dpc_efn.torikomi_ym IS '取込年月';</v>
      </c>
    </row>
    <row r="14" spans="1:45" s="25" customFormat="1">
      <c r="A14" s="4"/>
      <c r="B14" s="21">
        <f t="shared" ref="B14:B46" si="2">ROW()-12</f>
        <v>2</v>
      </c>
      <c r="C14" s="6" t="s">
        <v>202</v>
      </c>
      <c r="D14" s="6" t="s">
        <v>203</v>
      </c>
      <c r="E14" s="8"/>
      <c r="F14" s="8" t="s">
        <v>204</v>
      </c>
      <c r="G14" s="7" t="str">
        <f t="shared" ref="G14:G47" si="3">IF(F14="フラグ","boolean",IF(F14="文字列","text",IF(F14="整数","integer",IF(F14="実数","numeric",""))))</f>
        <v>integer</v>
      </c>
      <c r="H14" s="26"/>
      <c r="I14" s="10"/>
      <c r="J14" s="53"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milscm_2023_009.sny_202310_base_merge_dpc_efn.mil_karute_id IS '千年カルテID';</v>
      </c>
    </row>
    <row r="15" spans="1:45" s="25" customFormat="1" ht="34.799999999999997">
      <c r="A15" s="4"/>
      <c r="B15" s="21">
        <f t="shared" si="2"/>
        <v>3</v>
      </c>
      <c r="C15" s="6" t="s">
        <v>137</v>
      </c>
      <c r="D15" s="6" t="s">
        <v>128</v>
      </c>
      <c r="E15" s="8" t="s">
        <v>127</v>
      </c>
      <c r="F15" s="8" t="s">
        <v>201</v>
      </c>
      <c r="G15" s="7" t="str">
        <f t="shared" si="3"/>
        <v>text</v>
      </c>
      <c r="H15" s="26"/>
      <c r="I15" s="10" t="s">
        <v>127</v>
      </c>
      <c r="J15" s="53" t="s">
        <v>258</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milscm_2023_009.sny_202310_base_merge_dpc_efn.facility_id IS '施設ID';</v>
      </c>
    </row>
    <row r="16" spans="1:45" s="25" customFormat="1" ht="87">
      <c r="B16" s="21">
        <f t="shared" si="2"/>
        <v>4</v>
      </c>
      <c r="C16" s="6" t="s">
        <v>205</v>
      </c>
      <c r="D16" s="6" t="s">
        <v>206</v>
      </c>
      <c r="E16" s="7" t="s">
        <v>127</v>
      </c>
      <c r="F16" s="7" t="s">
        <v>201</v>
      </c>
      <c r="G16" s="7" t="str">
        <f t="shared" si="3"/>
        <v>text</v>
      </c>
      <c r="H16" s="9"/>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milscm_2023_009.sny_202310_base_merge_dpc_efn.shinryo_ym IS '診療年月';</v>
      </c>
    </row>
    <row r="17" spans="1:45" s="25" customFormat="1">
      <c r="B17" s="21">
        <f t="shared" si="2"/>
        <v>5</v>
      </c>
      <c r="C17" s="6" t="s">
        <v>265</v>
      </c>
      <c r="D17" s="6" t="s">
        <v>208</v>
      </c>
      <c r="E17" s="7"/>
      <c r="F17" s="8" t="s">
        <v>201</v>
      </c>
      <c r="G17" s="7" t="str">
        <f t="shared" si="3"/>
        <v>text</v>
      </c>
      <c r="H17" s="9" t="s">
        <v>259</v>
      </c>
      <c r="I17" s="10" t="s">
        <v>127</v>
      </c>
      <c r="J17" s="53" t="s">
        <v>260</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milscm_2023_009.sny_202310_base_merge_dpc_efn.data_type IS 'データ種別';</v>
      </c>
    </row>
    <row r="18" spans="1:45" s="25" customFormat="1">
      <c r="B18" s="21">
        <f t="shared" si="2"/>
        <v>6</v>
      </c>
      <c r="C18" s="6" t="s">
        <v>209</v>
      </c>
      <c r="D18" s="6" t="s">
        <v>210</v>
      </c>
      <c r="E18" s="7" t="s">
        <v>127</v>
      </c>
      <c r="F18" s="8" t="s">
        <v>201</v>
      </c>
      <c r="G18" s="7" t="str">
        <f t="shared" si="3"/>
        <v>text</v>
      </c>
      <c r="H18" s="9"/>
      <c r="I18" s="10" t="s">
        <v>127</v>
      </c>
      <c r="J18" s="53"/>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milscm_2023_009.sny_202310_base_merge_dpc_efn.shikibetsu_no IS 'データ識別番号';</v>
      </c>
    </row>
    <row r="19" spans="1:45" s="25" customFormat="1">
      <c r="B19" s="21">
        <f t="shared" si="2"/>
        <v>7</v>
      </c>
      <c r="C19" s="6" t="s">
        <v>266</v>
      </c>
      <c r="D19" s="6" t="s">
        <v>212</v>
      </c>
      <c r="E19" s="7" t="s">
        <v>127</v>
      </c>
      <c r="F19" s="7" t="s">
        <v>201</v>
      </c>
      <c r="G19" s="7" t="str">
        <f t="shared" si="3"/>
        <v>text</v>
      </c>
      <c r="H19" s="9"/>
      <c r="I19" s="10" t="s">
        <v>127</v>
      </c>
      <c r="J19" s="53" t="s">
        <v>144</v>
      </c>
      <c r="N19" s="76"/>
      <c r="O19" s="76"/>
      <c r="P19" s="76" t="str">
        <f t="shared" si="4"/>
        <v>,taiin_ymd</v>
      </c>
      <c r="Q19" s="76" t="str">
        <f t="shared" si="0"/>
        <v>TEXT</v>
      </c>
      <c r="R19" s="76" t="str">
        <f t="shared" si="1"/>
        <v/>
      </c>
      <c r="S19" s="76" t="str">
        <f t="shared" si="5"/>
        <v>NOT NULL</v>
      </c>
      <c r="T19" s="76" t="str">
        <f t="shared" si="6"/>
        <v>-- 退院年月日</v>
      </c>
      <c r="U19" s="4"/>
      <c r="AA19" s="4"/>
      <c r="AB19" s="4"/>
      <c r="AC19" s="4"/>
      <c r="AD19" s="4"/>
      <c r="AE19" s="4"/>
      <c r="AF19" s="4"/>
      <c r="AG19" s="4"/>
      <c r="AH19" s="4"/>
      <c r="AI19" s="4"/>
      <c r="AJ19" s="76" t="str">
        <f>IF(E19="○",IF(COUNTA(E$13:E19)=1,"",",")&amp;D19,"")</f>
        <v>,taiin_ymd</v>
      </c>
      <c r="AK19" s="4"/>
      <c r="AL19" s="4"/>
      <c r="AM19" s="4"/>
      <c r="AN19" s="4"/>
      <c r="AO19" s="4"/>
      <c r="AP19" s="4"/>
      <c r="AQ19" s="4"/>
      <c r="AR19" s="4"/>
      <c r="AS19" s="76" t="str">
        <f>"COMMENT ON COLUMN "&amp;エンティティ一覧!$O$2&amp;"."&amp;D$8&amp;"."&amp;D19&amp;" IS '"&amp;C19&amp;"';"</f>
        <v>COMMENT ON COLUMN milscm_2023_009.sny_202310_base_merge_dpc_efn.taiin_ymd IS '退院年月日';</v>
      </c>
    </row>
    <row r="20" spans="1:45" s="25" customFormat="1" ht="52.2">
      <c r="B20" s="21">
        <f t="shared" si="2"/>
        <v>8</v>
      </c>
      <c r="C20" s="6" t="s">
        <v>267</v>
      </c>
      <c r="D20" s="6" t="s">
        <v>156</v>
      </c>
      <c r="E20" s="7" t="s">
        <v>127</v>
      </c>
      <c r="F20" s="7" t="s">
        <v>201</v>
      </c>
      <c r="G20" s="7" t="str">
        <f t="shared" si="3"/>
        <v>text</v>
      </c>
      <c r="H20" s="9"/>
      <c r="I20" s="10" t="s">
        <v>127</v>
      </c>
      <c r="J20" s="53" t="s">
        <v>295</v>
      </c>
      <c r="N20" s="76"/>
      <c r="O20" s="76"/>
      <c r="P20" s="76" t="str">
        <f t="shared" si="4"/>
        <v>,nyuin_ymd</v>
      </c>
      <c r="Q20" s="76" t="str">
        <f t="shared" si="0"/>
        <v>TEXT</v>
      </c>
      <c r="R20" s="76" t="str">
        <f t="shared" si="1"/>
        <v/>
      </c>
      <c r="S20" s="76" t="str">
        <f t="shared" si="5"/>
        <v>NOT NULL</v>
      </c>
      <c r="T20" s="76" t="str">
        <f t="shared" si="6"/>
        <v>-- 入院年月日</v>
      </c>
      <c r="U20" s="4"/>
      <c r="AA20" s="4"/>
      <c r="AB20" s="4"/>
      <c r="AC20" s="4"/>
      <c r="AD20" s="4"/>
      <c r="AE20" s="4"/>
      <c r="AF20" s="4"/>
      <c r="AG20" s="4"/>
      <c r="AH20" s="4"/>
      <c r="AI20" s="4"/>
      <c r="AJ20" s="76" t="str">
        <f>IF(E20="○",IF(COUNTA(E$13:E20)=1,"",",")&amp;D20,"")</f>
        <v>,nyuin_ymd</v>
      </c>
      <c r="AK20" s="4"/>
      <c r="AL20" s="4"/>
      <c r="AM20" s="4"/>
      <c r="AN20" s="4"/>
      <c r="AO20" s="4"/>
      <c r="AP20" s="4"/>
      <c r="AQ20" s="4"/>
      <c r="AR20" s="4"/>
      <c r="AS20" s="76" t="str">
        <f>"COMMENT ON COLUMN "&amp;エンティティ一覧!$O$2&amp;"."&amp;D$8&amp;"."&amp;D20&amp;" IS '"&amp;C20&amp;"';"</f>
        <v>COMMENT ON COLUMN milscm_2023_009.sny_202310_base_merge_dpc_efn.nyuin_ymd IS '入院年月日';</v>
      </c>
    </row>
    <row r="21" spans="1:45" s="25" customFormat="1">
      <c r="A21" s="4"/>
      <c r="B21" s="21">
        <f t="shared" si="2"/>
        <v>9</v>
      </c>
      <c r="C21" s="6" t="s">
        <v>268</v>
      </c>
      <c r="D21" s="6" t="s">
        <v>214</v>
      </c>
      <c r="E21" s="7" t="s">
        <v>127</v>
      </c>
      <c r="F21" s="7" t="s">
        <v>201</v>
      </c>
      <c r="G21" s="7" t="str">
        <f t="shared" si="3"/>
        <v>text</v>
      </c>
      <c r="H21" s="9"/>
      <c r="I21" s="10" t="s">
        <v>127</v>
      </c>
      <c r="J21" s="53"/>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milscm_2023_009.sny_202310_base_merge_dpc_efn.data_kubun IS 'データ区分';</v>
      </c>
    </row>
    <row r="22" spans="1:45" s="25" customFormat="1">
      <c r="A22" s="4"/>
      <c r="B22" s="21">
        <f t="shared" si="2"/>
        <v>10</v>
      </c>
      <c r="C22" s="14" t="s">
        <v>269</v>
      </c>
      <c r="D22" s="14" t="s">
        <v>216</v>
      </c>
      <c r="E22" s="7" t="s">
        <v>127</v>
      </c>
      <c r="F22" s="7" t="s">
        <v>201</v>
      </c>
      <c r="G22" s="7" t="str">
        <f t="shared" si="3"/>
        <v>text</v>
      </c>
      <c r="H22" s="26"/>
      <c r="I22" s="10" t="s">
        <v>127</v>
      </c>
      <c r="J22" s="53"/>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milscm_2023_009.sny_202310_base_merge_dpc_efn.junjo_no IS '順序番号';</v>
      </c>
    </row>
    <row r="23" spans="1:45" s="25" customFormat="1" ht="34.799999999999997">
      <c r="A23" s="4"/>
      <c r="B23" s="21">
        <f t="shared" si="2"/>
        <v>11</v>
      </c>
      <c r="C23" s="14" t="s">
        <v>270</v>
      </c>
      <c r="D23" s="14" t="s">
        <v>153</v>
      </c>
      <c r="E23" s="7" t="s">
        <v>127</v>
      </c>
      <c r="F23" s="7" t="s">
        <v>201</v>
      </c>
      <c r="G23" s="7" t="str">
        <f t="shared" si="3"/>
        <v>text</v>
      </c>
      <c r="H23" s="26"/>
      <c r="I23" s="10" t="s">
        <v>127</v>
      </c>
      <c r="J23" s="53"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milscm_2023_009.sny_202310_base_merge_dpc_efn.koi_meisai_no IS '行為明細番号';</v>
      </c>
    </row>
    <row r="24" spans="1:45" s="25" customFormat="1">
      <c r="A24" s="4"/>
      <c r="B24" s="21">
        <f t="shared" si="2"/>
        <v>12</v>
      </c>
      <c r="C24" s="6" t="s">
        <v>271</v>
      </c>
      <c r="D24" s="6" t="s">
        <v>218</v>
      </c>
      <c r="E24" s="8"/>
      <c r="F24" s="8" t="s">
        <v>201</v>
      </c>
      <c r="G24" s="7" t="str">
        <f t="shared" si="3"/>
        <v>text</v>
      </c>
      <c r="H24" s="9"/>
      <c r="I24" s="10"/>
      <c r="J24" s="53"/>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milscm_2023_009.sny_202310_base_merge_dpc_efn.tensu_master_code IS '病院点数マスタコード';</v>
      </c>
    </row>
    <row r="25" spans="1:45" s="25" customFormat="1" ht="34.799999999999997">
      <c r="A25" s="4"/>
      <c r="B25" s="21">
        <f t="shared" si="2"/>
        <v>13</v>
      </c>
      <c r="C25" s="6" t="s">
        <v>145</v>
      </c>
      <c r="D25" s="6" t="s">
        <v>154</v>
      </c>
      <c r="E25" s="8"/>
      <c r="F25" s="8" t="s">
        <v>201</v>
      </c>
      <c r="G25" s="7" t="str">
        <f t="shared" si="3"/>
        <v>text</v>
      </c>
      <c r="H25" s="9"/>
      <c r="I25" s="10"/>
      <c r="J25" s="53"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milscm_2023_009.sny_202310_base_merge_dpc_efn.receipt_densan_code IS 'レセプト電算処理システム用コード';</v>
      </c>
    </row>
    <row r="26" spans="1:45" s="25" customFormat="1">
      <c r="A26" s="4"/>
      <c r="B26" s="21">
        <f t="shared" si="2"/>
        <v>14</v>
      </c>
      <c r="C26" s="6" t="s">
        <v>272</v>
      </c>
      <c r="D26" s="6" t="s">
        <v>220</v>
      </c>
      <c r="E26" s="8"/>
      <c r="F26" s="8" t="s">
        <v>201</v>
      </c>
      <c r="G26" s="7" t="str">
        <f t="shared" si="3"/>
        <v>text</v>
      </c>
      <c r="H26" s="9"/>
      <c r="I26" s="10"/>
      <c r="J26" s="53"/>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milscm_2023_009.sny_202310_base_merge_dpc_efn.kaishaku_no IS '解釈番号';</v>
      </c>
    </row>
    <row r="27" spans="1:45" s="25" customFormat="1">
      <c r="A27" s="4"/>
      <c r="B27" s="21">
        <f t="shared" si="2"/>
        <v>15</v>
      </c>
      <c r="C27" s="6" t="s">
        <v>273</v>
      </c>
      <c r="D27" s="6" t="s">
        <v>146</v>
      </c>
      <c r="E27" s="8"/>
      <c r="F27" s="8" t="s">
        <v>201</v>
      </c>
      <c r="G27" s="7" t="str">
        <f t="shared" si="3"/>
        <v>text</v>
      </c>
      <c r="H27" s="9"/>
      <c r="I27" s="10"/>
      <c r="J27" s="53"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milscm_2023_009.sny_202310_base_merge_dpc_efn.sinryo_meisai_name IS '診療明細名称';</v>
      </c>
    </row>
    <row r="28" spans="1:45" s="25" customFormat="1" ht="34.799999999999997">
      <c r="A28" s="4"/>
      <c r="B28" s="21">
        <f t="shared" si="2"/>
        <v>16</v>
      </c>
      <c r="C28" s="6" t="s">
        <v>274</v>
      </c>
      <c r="D28" s="6" t="s">
        <v>129</v>
      </c>
      <c r="E28" s="8"/>
      <c r="F28" s="8" t="s">
        <v>225</v>
      </c>
      <c r="G28" s="7" t="str">
        <f t="shared" si="3"/>
        <v>numeric</v>
      </c>
      <c r="H28" s="9"/>
      <c r="I28" s="10"/>
      <c r="J28" s="53"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milscm_2023_009.sny_202310_base_merge_dpc_efn.shiyoryo IS '使用量';</v>
      </c>
    </row>
    <row r="29" spans="1:45" s="25" customFormat="1">
      <c r="A29" s="4"/>
      <c r="B29" s="21">
        <f t="shared" si="2"/>
        <v>17</v>
      </c>
      <c r="C29" s="6" t="s">
        <v>275</v>
      </c>
      <c r="D29" s="6" t="s">
        <v>276</v>
      </c>
      <c r="E29" s="8"/>
      <c r="F29" s="8" t="s">
        <v>201</v>
      </c>
      <c r="G29" s="7" t="str">
        <f t="shared" si="3"/>
        <v>text</v>
      </c>
      <c r="H29" s="9"/>
      <c r="I29" s="10"/>
      <c r="J29" s="53"/>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milscm_2023_009.sny_202310_base_merge_dpc_efn.unit IS '基準単位';</v>
      </c>
    </row>
    <row r="30" spans="1:45" s="25" customFormat="1">
      <c r="A30" s="4"/>
      <c r="B30" s="21">
        <f t="shared" si="2"/>
        <v>18</v>
      </c>
      <c r="C30" s="6" t="s">
        <v>277</v>
      </c>
      <c r="D30" s="6" t="s">
        <v>130</v>
      </c>
      <c r="E30" s="8"/>
      <c r="F30" s="8" t="s">
        <v>225</v>
      </c>
      <c r="G30" s="7" t="str">
        <f t="shared" si="3"/>
        <v>numeric</v>
      </c>
      <c r="H30" s="9"/>
      <c r="I30" s="10"/>
      <c r="J30" s="53"/>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milscm_2023_009.sny_202310_base_merge_dpc_efn.meisai_tensu IS '明細点数・金額';</v>
      </c>
    </row>
    <row r="31" spans="1:45" s="25" customFormat="1">
      <c r="A31" s="4"/>
      <c r="B31" s="21">
        <f t="shared" si="2"/>
        <v>19</v>
      </c>
      <c r="C31" s="6" t="s">
        <v>278</v>
      </c>
      <c r="D31" s="6" t="s">
        <v>131</v>
      </c>
      <c r="E31" s="8"/>
      <c r="F31" s="8" t="s">
        <v>201</v>
      </c>
      <c r="G31" s="7" t="str">
        <f t="shared" si="3"/>
        <v>text</v>
      </c>
      <c r="H31" s="9"/>
      <c r="I31" s="10"/>
      <c r="J31" s="53"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milscm_2023_009.sny_202310_base_merge_dpc_efn.ten_kubun IS '円・点区分';</v>
      </c>
    </row>
    <row r="32" spans="1:45" s="25" customFormat="1">
      <c r="A32" s="4"/>
      <c r="B32" s="21">
        <f t="shared" si="2"/>
        <v>20</v>
      </c>
      <c r="C32" s="6" t="s">
        <v>279</v>
      </c>
      <c r="D32" s="6" t="s">
        <v>280</v>
      </c>
      <c r="E32" s="8"/>
      <c r="F32" s="8" t="s">
        <v>225</v>
      </c>
      <c r="G32" s="7" t="str">
        <f t="shared" si="3"/>
        <v>numeric</v>
      </c>
      <c r="H32" s="9"/>
      <c r="I32" s="10"/>
      <c r="J32" s="53"/>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milscm_2023_009.sny_202310_base_merge_dpc_efn.dekidaka_tensu IS '出来高実績点数';</v>
      </c>
    </row>
    <row r="33" spans="1:52" s="25" customFormat="1" ht="52.2">
      <c r="A33" s="4"/>
      <c r="B33" s="21">
        <f t="shared" si="2"/>
        <v>21</v>
      </c>
      <c r="C33" s="6" t="s">
        <v>281</v>
      </c>
      <c r="D33" s="6" t="s">
        <v>132</v>
      </c>
      <c r="E33" s="8"/>
      <c r="F33" s="8" t="s">
        <v>201</v>
      </c>
      <c r="G33" s="7" t="str">
        <f t="shared" si="3"/>
        <v>text</v>
      </c>
      <c r="H33" s="9"/>
      <c r="I33" s="10"/>
      <c r="J33" s="53"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milscm_2023_009.sny_202310_base_merge_dpc_efn.koi_meisai_kubun IS '行為明細区分情報';</v>
      </c>
    </row>
    <row r="34" spans="1:52" s="25" customFormat="1" ht="52.2">
      <c r="A34" s="4"/>
      <c r="B34" s="21">
        <f t="shared" si="2"/>
        <v>22</v>
      </c>
      <c r="C34" s="6" t="s">
        <v>282</v>
      </c>
      <c r="D34" s="6" t="s">
        <v>224</v>
      </c>
      <c r="E34" s="8"/>
      <c r="F34" s="8" t="s">
        <v>225</v>
      </c>
      <c r="G34" s="7" t="str">
        <f t="shared" si="3"/>
        <v>numeric</v>
      </c>
      <c r="H34" s="9"/>
      <c r="I34" s="10"/>
      <c r="J34" s="53"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milscm_2023_009.sny_202310_base_merge_dpc_efn.koi_tensu IS '行為点数';</v>
      </c>
    </row>
    <row r="35" spans="1:52" s="25" customFormat="1">
      <c r="A35" s="4"/>
      <c r="B35" s="21">
        <f t="shared" si="2"/>
        <v>23</v>
      </c>
      <c r="C35" s="6" t="s">
        <v>283</v>
      </c>
      <c r="D35" s="6" t="s">
        <v>227</v>
      </c>
      <c r="E35" s="8"/>
      <c r="F35" s="8" t="s">
        <v>225</v>
      </c>
      <c r="G35" s="7" t="str">
        <f t="shared" si="3"/>
        <v>numeric</v>
      </c>
      <c r="H35" s="9"/>
      <c r="I35" s="10"/>
      <c r="J35" s="53"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milscm_2023_009.sny_202310_base_merge_dpc_efn.koi_yakuzai IS '行為薬剤料';</v>
      </c>
    </row>
    <row r="36" spans="1:52" s="25" customFormat="1">
      <c r="A36" s="4"/>
      <c r="B36" s="21">
        <f t="shared" si="2"/>
        <v>24</v>
      </c>
      <c r="C36" s="6" t="s">
        <v>284</v>
      </c>
      <c r="D36" s="6" t="s">
        <v>229</v>
      </c>
      <c r="E36" s="8"/>
      <c r="F36" s="8" t="s">
        <v>225</v>
      </c>
      <c r="G36" s="7" t="str">
        <f t="shared" si="3"/>
        <v>numeric</v>
      </c>
      <c r="H36" s="9"/>
      <c r="I36" s="10"/>
      <c r="J36" s="53"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milscm_2023_009.sny_202310_base_merge_dpc_efn.koi_zairyo IS '行為材料料';</v>
      </c>
    </row>
    <row r="37" spans="1:52" s="25" customFormat="1">
      <c r="A37" s="4"/>
      <c r="B37" s="21">
        <f t="shared" si="2"/>
        <v>25</v>
      </c>
      <c r="C37" s="6" t="s">
        <v>285</v>
      </c>
      <c r="D37" s="6" t="s">
        <v>133</v>
      </c>
      <c r="E37" s="8"/>
      <c r="F37" s="8" t="s">
        <v>225</v>
      </c>
      <c r="G37" s="7" t="str">
        <f t="shared" si="3"/>
        <v>numeric</v>
      </c>
      <c r="H37" s="9"/>
      <c r="I37" s="10"/>
      <c r="J37" s="53"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milscm_2023_009.sny_202310_base_merge_dpc_efn.koi_times IS '行為回数';</v>
      </c>
    </row>
    <row r="38" spans="1:52" s="25" customFormat="1">
      <c r="A38" s="4"/>
      <c r="B38" s="21">
        <f t="shared" si="2"/>
        <v>26</v>
      </c>
      <c r="C38" s="6" t="s">
        <v>286</v>
      </c>
      <c r="D38" s="6" t="s">
        <v>231</v>
      </c>
      <c r="E38" s="8"/>
      <c r="F38" s="8" t="s">
        <v>201</v>
      </c>
      <c r="G38" s="7" t="str">
        <f t="shared" si="3"/>
        <v>text</v>
      </c>
      <c r="H38" s="9"/>
      <c r="I38" s="10"/>
      <c r="J38" s="53"/>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milscm_2023_009.sny_202310_base_merge_dpc_efn.hoken_no IS '保険者番号';</v>
      </c>
    </row>
    <row r="39" spans="1:52" s="25" customFormat="1">
      <c r="A39" s="4"/>
      <c r="B39" s="21">
        <f t="shared" si="2"/>
        <v>27</v>
      </c>
      <c r="C39" s="6" t="s">
        <v>287</v>
      </c>
      <c r="D39" s="6" t="s">
        <v>233</v>
      </c>
      <c r="E39" s="8"/>
      <c r="F39" s="8" t="s">
        <v>201</v>
      </c>
      <c r="G39" s="7" t="str">
        <f t="shared" si="3"/>
        <v>text</v>
      </c>
      <c r="H39" s="9"/>
      <c r="I39" s="10"/>
      <c r="J39" s="53"/>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milscm_2023_009.sny_202310_base_merge_dpc_efn.receipt_type_code IS 'レセプト種別コード';</v>
      </c>
    </row>
    <row r="40" spans="1:52" s="25" customFormat="1">
      <c r="A40" s="4"/>
      <c r="B40" s="21">
        <f t="shared" si="2"/>
        <v>28</v>
      </c>
      <c r="C40" s="6" t="s">
        <v>288</v>
      </c>
      <c r="D40" s="6" t="s">
        <v>155</v>
      </c>
      <c r="E40" s="8"/>
      <c r="F40" s="8" t="s">
        <v>201</v>
      </c>
      <c r="G40" s="7" t="str">
        <f t="shared" si="3"/>
        <v>text</v>
      </c>
      <c r="H40" s="9"/>
      <c r="I40" s="10" t="s">
        <v>127</v>
      </c>
      <c r="J40" s="53" t="s">
        <v>144</v>
      </c>
      <c r="N40" s="76"/>
      <c r="O40" s="76"/>
      <c r="P40" s="76" t="str">
        <f t="shared" si="7"/>
        <v>,jisshi_ymd</v>
      </c>
      <c r="Q40" s="76" t="str">
        <f t="shared" si="8"/>
        <v>TEXT</v>
      </c>
      <c r="R40" s="76" t="str">
        <f t="shared" si="9"/>
        <v/>
      </c>
      <c r="S40" s="76" t="str">
        <f t="shared" si="10"/>
        <v>NOT NULL</v>
      </c>
      <c r="T40" s="76" t="str">
        <f t="shared" si="11"/>
        <v>-- 実施年月日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milscm_2023_009.sny_202310_base_merge_dpc_efn.jisshi_ymd IS '実施年月日';</v>
      </c>
    </row>
    <row r="41" spans="1:52" s="25" customFormat="1">
      <c r="A41" s="4"/>
      <c r="B41" s="21">
        <f t="shared" si="2"/>
        <v>29</v>
      </c>
      <c r="C41" s="6" t="s">
        <v>289</v>
      </c>
      <c r="D41" s="6" t="s">
        <v>235</v>
      </c>
      <c r="E41" s="8"/>
      <c r="F41" s="8" t="s">
        <v>201</v>
      </c>
      <c r="G41" s="7" t="str">
        <f t="shared" si="3"/>
        <v>text</v>
      </c>
      <c r="H41" s="9"/>
      <c r="I41" s="10"/>
      <c r="J41" s="53"/>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milscm_2023_009.sny_202310_base_merge_dpc_efn.receipt_ka_kubun IS 'レセプト科区分';</v>
      </c>
    </row>
    <row r="42" spans="1:52" s="25" customFormat="1">
      <c r="A42" s="4"/>
      <c r="B42" s="21">
        <f t="shared" si="2"/>
        <v>30</v>
      </c>
      <c r="C42" s="6" t="s">
        <v>134</v>
      </c>
      <c r="D42" s="6" t="s">
        <v>135</v>
      </c>
      <c r="E42" s="8"/>
      <c r="F42" s="8" t="s">
        <v>201</v>
      </c>
      <c r="G42" s="7" t="str">
        <f t="shared" si="3"/>
        <v>text</v>
      </c>
      <c r="H42" s="9"/>
      <c r="I42" s="10"/>
      <c r="J42" s="53"/>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milscm_2023_009.sny_202310_base_merge_dpc_efn.department_kubun IS '診療科区分';</v>
      </c>
    </row>
    <row r="43" spans="1:52" s="25" customFormat="1">
      <c r="A43" s="4"/>
      <c r="B43" s="21">
        <f t="shared" si="2"/>
        <v>31</v>
      </c>
      <c r="C43" s="6" t="s">
        <v>290</v>
      </c>
      <c r="D43" s="6" t="s">
        <v>237</v>
      </c>
      <c r="E43" s="8"/>
      <c r="F43" s="8" t="s">
        <v>201</v>
      </c>
      <c r="G43" s="7" t="str">
        <f t="shared" si="3"/>
        <v>text</v>
      </c>
      <c r="H43" s="9"/>
      <c r="I43" s="10"/>
      <c r="J43" s="53"/>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milscm_2023_009.sny_202310_base_merge_dpc_efn.doctor_code IS '医師コード';</v>
      </c>
    </row>
    <row r="44" spans="1:52" s="25" customFormat="1">
      <c r="A44" s="4"/>
      <c r="B44" s="21">
        <f t="shared" si="2"/>
        <v>32</v>
      </c>
      <c r="C44" s="6" t="s">
        <v>291</v>
      </c>
      <c r="D44" s="6" t="s">
        <v>239</v>
      </c>
      <c r="E44" s="8"/>
      <c r="F44" s="8" t="s">
        <v>201</v>
      </c>
      <c r="G44" s="7" t="str">
        <f t="shared" si="3"/>
        <v>text</v>
      </c>
      <c r="H44" s="9"/>
      <c r="I44" s="10"/>
      <c r="J44" s="53"/>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milscm_2023_009.sny_202310_base_merge_dpc_efn.ward_code IS '病棟コード';</v>
      </c>
    </row>
    <row r="45" spans="1:52" s="25" customFormat="1">
      <c r="A45" s="4"/>
      <c r="B45" s="21">
        <f t="shared" si="2"/>
        <v>33</v>
      </c>
      <c r="C45" s="6" t="s">
        <v>292</v>
      </c>
      <c r="D45" s="6" t="s">
        <v>241</v>
      </c>
      <c r="E45" s="8"/>
      <c r="F45" s="8" t="s">
        <v>201</v>
      </c>
      <c r="G45" s="7" t="str">
        <f t="shared" si="3"/>
        <v>text</v>
      </c>
      <c r="H45" s="9"/>
      <c r="I45" s="10"/>
      <c r="J45" s="53" t="s">
        <v>302</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milscm_2023_009.sny_202310_base_merge_dpc_efn.ward_kubun IS '病棟区分';</v>
      </c>
    </row>
    <row r="46" spans="1:52" s="25" customFormat="1">
      <c r="A46" s="4"/>
      <c r="B46" s="21">
        <f t="shared" si="2"/>
        <v>34</v>
      </c>
      <c r="C46" s="6" t="s">
        <v>293</v>
      </c>
      <c r="D46" s="6" t="s">
        <v>243</v>
      </c>
      <c r="E46" s="8"/>
      <c r="F46" s="8" t="s">
        <v>201</v>
      </c>
      <c r="G46" s="7" t="str">
        <f t="shared" si="3"/>
        <v>text</v>
      </c>
      <c r="H46" s="9"/>
      <c r="I46" s="10"/>
      <c r="J46" s="53"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milscm_2023_009.sny_202310_base_merge_dpc_efn.nyugai_kubun IS '入外区分';</v>
      </c>
      <c r="AT46" s="4"/>
      <c r="AU46" s="4"/>
    </row>
    <row r="47" spans="1:52" s="25" customFormat="1" ht="18" thickBot="1">
      <c r="A47" s="4"/>
      <c r="B47" s="27">
        <f>ROW()-12</f>
        <v>35</v>
      </c>
      <c r="C47" s="28" t="s">
        <v>294</v>
      </c>
      <c r="D47" s="28" t="s">
        <v>245</v>
      </c>
      <c r="E47" s="29"/>
      <c r="F47" s="29" t="s">
        <v>201</v>
      </c>
      <c r="G47" s="56" t="str">
        <f t="shared" si="3"/>
        <v>text</v>
      </c>
      <c r="H47" s="30"/>
      <c r="I47" s="31"/>
      <c r="J47" s="55"/>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milscm_2023_009.sny_202310_base_merge_dpc_efn.facility_type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election activeCell="D9" sqref="D9:J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ENT_31_C1-03</v>
      </c>
      <c r="E6" s="234"/>
      <c r="F6" s="234"/>
      <c r="G6" s="234"/>
      <c r="H6" s="234"/>
      <c r="I6" s="234"/>
      <c r="J6" s="235"/>
    </row>
    <row r="7" spans="1:45">
      <c r="B7" s="223" t="s">
        <v>115</v>
      </c>
      <c r="C7" s="224"/>
      <c r="D7" s="225" t="s">
        <v>310</v>
      </c>
      <c r="E7" s="226"/>
      <c r="F7" s="226"/>
      <c r="G7" s="226"/>
      <c r="H7" s="226"/>
      <c r="I7" s="226"/>
      <c r="J7" s="227"/>
    </row>
    <row r="8" spans="1:45">
      <c r="B8" s="223" t="s">
        <v>116</v>
      </c>
      <c r="C8" s="224"/>
      <c r="D8" s="225" t="str">
        <f>エンティティ一覧!AE2&amp;"_"&amp;D5&amp;"_merge_dpc_efg"</f>
        <v>sny_202310_base_merge_dpc_efg</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milscm_2023_009.sny_202310_base_merge_dpc_efg;</v>
      </c>
      <c r="O10" s="76"/>
      <c r="P10" s="76"/>
      <c r="Q10" s="76"/>
      <c r="R10" s="76"/>
      <c r="S10" s="76"/>
      <c r="T10" s="76"/>
      <c r="AJ10" s="76" t="str">
        <f>"ALTER TABLE ONLY "&amp;エンティティ一覧!$O$2&amp;"."&amp;D$8</f>
        <v>ALTER TABLE ONLY milscm_2023_009.sny_202310_base_merge_dpc_efg</v>
      </c>
      <c r="AS10" s="76" t="str">
        <f>"ALTER TABLE "&amp;エンティティ一覧!$O$2&amp;"."&amp;D$8&amp;" OWNER TO pgmisgrp1;"</f>
        <v>ALTER TABLE milscm_2023_009.sny_202310_base_merge_dpc_efg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milscm_2023_009.sny_202310_base_merge_dpc_efg</v>
      </c>
      <c r="O11" s="76"/>
      <c r="P11" s="76"/>
      <c r="Q11" s="76"/>
      <c r="R11" s="76"/>
      <c r="S11" s="76"/>
      <c r="T11" s="76"/>
      <c r="AJ11" s="76" t="str">
        <f>"ADD CONSTRAINT "&amp;D$8&amp;"_pkey PRIMARY KEY"</f>
        <v>ADD CONSTRAINT sny_202310_base_merge_dpc_efg_pkey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milscm_2023_009.sny_202310_base_merge_dpc_efg IS 'ベース_DPC調査データ_外来EF統合ファイル';</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353</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milscm_2023_009.sny_202310_base_merge_dpc_efg.torikomi_ym IS '取込年月';</v>
      </c>
    </row>
    <row r="14" spans="1:45" s="25" customFormat="1">
      <c r="A14" s="4"/>
      <c r="B14" s="21">
        <f t="shared" ref="B14:B46" si="2">ROW()-12</f>
        <v>2</v>
      </c>
      <c r="C14" s="6" t="s">
        <v>202</v>
      </c>
      <c r="D14" s="6" t="s">
        <v>203</v>
      </c>
      <c r="E14" s="8"/>
      <c r="F14" s="7" t="s">
        <v>204</v>
      </c>
      <c r="G14" s="7" t="str">
        <f t="shared" ref="G14:G47"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milscm_2023_009.sny_202310_base_merge_dpc_efg.mil_karute_id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354</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milscm_2023_009.sny_202310_base_merge_dpc_efg.facility_id IS '施設ID';</v>
      </c>
    </row>
    <row r="16" spans="1:45" s="25" customFormat="1" ht="87">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milscm_2023_009.sny_202310_base_merge_dpc_efg.shinryo_ym IS '診療年月';</v>
      </c>
    </row>
    <row r="17" spans="1:45" s="25" customFormat="1">
      <c r="B17" s="21">
        <f t="shared" si="2"/>
        <v>5</v>
      </c>
      <c r="C17" s="13" t="s">
        <v>319</v>
      </c>
      <c r="D17" s="13" t="s">
        <v>208</v>
      </c>
      <c r="E17" s="7"/>
      <c r="F17" s="7" t="s">
        <v>317</v>
      </c>
      <c r="G17" s="7" t="str">
        <f t="shared" si="3"/>
        <v>text</v>
      </c>
      <c r="H17" s="58" t="s">
        <v>259</v>
      </c>
      <c r="I17" s="23" t="s">
        <v>127</v>
      </c>
      <c r="J17" s="24" t="s">
        <v>355</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milscm_2023_009.sny_202310_base_merge_dpc_efg.data_type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milscm_2023_009.sny_202310_base_merge_dpc_efg.shikibetsu_no IS 'データ識別番号';</v>
      </c>
    </row>
    <row r="19" spans="1:45" s="25" customFormat="1">
      <c r="B19" s="21">
        <f t="shared" si="2"/>
        <v>7</v>
      </c>
      <c r="C19" s="13" t="s">
        <v>321</v>
      </c>
      <c r="D19" s="13" t="s">
        <v>322</v>
      </c>
      <c r="E19" s="7" t="s">
        <v>127</v>
      </c>
      <c r="F19" s="7" t="s">
        <v>317</v>
      </c>
      <c r="G19" s="7" t="str">
        <f t="shared" si="3"/>
        <v>text</v>
      </c>
      <c r="H19" s="58"/>
      <c r="I19" s="23" t="s">
        <v>127</v>
      </c>
      <c r="J19" s="24" t="s">
        <v>144</v>
      </c>
      <c r="N19" s="76"/>
      <c r="O19" s="76"/>
      <c r="P19" s="76" t="str">
        <f t="shared" si="4"/>
        <v>,birthday</v>
      </c>
      <c r="Q19" s="76" t="str">
        <f t="shared" si="0"/>
        <v>TEXT</v>
      </c>
      <c r="R19" s="76" t="str">
        <f t="shared" si="1"/>
        <v/>
      </c>
      <c r="S19" s="76" t="str">
        <f t="shared" si="5"/>
        <v>NOT NULL</v>
      </c>
      <c r="T19" s="76" t="str">
        <f t="shared" si="6"/>
        <v>-- 生年月日</v>
      </c>
      <c r="U19" s="4"/>
      <c r="AA19" s="4"/>
      <c r="AB19" s="4"/>
      <c r="AC19" s="4"/>
      <c r="AD19" s="4"/>
      <c r="AE19" s="4"/>
      <c r="AF19" s="4"/>
      <c r="AG19" s="4"/>
      <c r="AH19" s="4"/>
      <c r="AI19" s="4"/>
      <c r="AJ19" s="76" t="str">
        <f>IF(E19="○",IF(COUNTA(E$13:E19)=1,"",",")&amp;D19,"")</f>
        <v>,birthday</v>
      </c>
      <c r="AK19" s="4"/>
      <c r="AL19" s="4"/>
      <c r="AM19" s="4"/>
      <c r="AN19" s="4"/>
      <c r="AO19" s="4"/>
      <c r="AP19" s="4"/>
      <c r="AQ19" s="4"/>
      <c r="AR19" s="4"/>
      <c r="AS19" s="76" t="str">
        <f>"COMMENT ON COLUMN "&amp;エンティティ一覧!$O$2&amp;"."&amp;D$8&amp;"."&amp;D19&amp;" IS '"&amp;C19&amp;"';"</f>
        <v>COMMENT ON COLUMN milscm_2023_009.sny_202310_base_merge_dpc_efg.birthday IS '生年月日';</v>
      </c>
    </row>
    <row r="20" spans="1:45" s="25" customFormat="1" ht="52.2">
      <c r="B20" s="21">
        <f t="shared" si="2"/>
        <v>8</v>
      </c>
      <c r="C20" s="6" t="s">
        <v>323</v>
      </c>
      <c r="D20" s="6" t="s">
        <v>324</v>
      </c>
      <c r="E20" s="8" t="s">
        <v>127</v>
      </c>
      <c r="F20" s="7" t="s">
        <v>317</v>
      </c>
      <c r="G20" s="7" t="str">
        <f t="shared" si="3"/>
        <v>text</v>
      </c>
      <c r="H20" s="26"/>
      <c r="I20" s="10" t="s">
        <v>127</v>
      </c>
      <c r="J20" s="11" t="s">
        <v>295</v>
      </c>
      <c r="N20" s="76"/>
      <c r="O20" s="76"/>
      <c r="P20" s="76" t="str">
        <f t="shared" si="4"/>
        <v>,gairai_ymd</v>
      </c>
      <c r="Q20" s="76" t="str">
        <f t="shared" si="0"/>
        <v>TEXT</v>
      </c>
      <c r="R20" s="76" t="str">
        <f t="shared" si="1"/>
        <v/>
      </c>
      <c r="S20" s="76" t="str">
        <f t="shared" si="5"/>
        <v>NOT NULL</v>
      </c>
      <c r="T20" s="76" t="str">
        <f t="shared" si="6"/>
        <v>-- 外来受診年月日</v>
      </c>
      <c r="U20" s="4"/>
      <c r="AA20" s="4"/>
      <c r="AB20" s="4"/>
      <c r="AC20" s="4"/>
      <c r="AD20" s="4"/>
      <c r="AE20" s="4"/>
      <c r="AF20" s="4"/>
      <c r="AG20" s="4"/>
      <c r="AH20" s="4"/>
      <c r="AI20" s="4"/>
      <c r="AJ20" s="76" t="str">
        <f>IF(E20="○",IF(COUNTA(E$13:E20)=1,"",",")&amp;D20,"")</f>
        <v>,gairai_ymd</v>
      </c>
      <c r="AK20" s="4"/>
      <c r="AL20" s="4"/>
      <c r="AM20" s="4"/>
      <c r="AN20" s="4"/>
      <c r="AO20" s="4"/>
      <c r="AP20" s="4"/>
      <c r="AQ20" s="4"/>
      <c r="AR20" s="4"/>
      <c r="AS20" s="76" t="str">
        <f>"COMMENT ON COLUMN "&amp;エンティティ一覧!$O$2&amp;"."&amp;D$8&amp;"."&amp;D20&amp;" IS '"&amp;C20&amp;"';"</f>
        <v>COMMENT ON COLUMN milscm_2023_009.sny_202310_base_merge_dpc_efg.gairai_ymd IS '外来受診年月日';</v>
      </c>
    </row>
    <row r="21" spans="1:45" s="25" customFormat="1">
      <c r="A21" s="4"/>
      <c r="B21" s="21">
        <f t="shared" si="2"/>
        <v>9</v>
      </c>
      <c r="C21" s="13" t="s">
        <v>325</v>
      </c>
      <c r="D21" s="13" t="s">
        <v>214</v>
      </c>
      <c r="E21" s="7" t="s">
        <v>127</v>
      </c>
      <c r="F21" s="7" t="s">
        <v>317</v>
      </c>
      <c r="G21" s="7" t="str">
        <f t="shared" si="3"/>
        <v>text</v>
      </c>
      <c r="H21" s="58"/>
      <c r="I21" s="23" t="s">
        <v>127</v>
      </c>
      <c r="J21" s="24"/>
      <c r="N21" s="76"/>
      <c r="O21" s="76"/>
      <c r="P21" s="76" t="str">
        <f t="shared" si="4"/>
        <v>,data_kubun</v>
      </c>
      <c r="Q21" s="76" t="str">
        <f t="shared" si="0"/>
        <v>TEXT</v>
      </c>
      <c r="R21" s="76" t="str">
        <f t="shared" si="1"/>
        <v/>
      </c>
      <c r="S21" s="76" t="str">
        <f t="shared" si="5"/>
        <v>NOT NULL</v>
      </c>
      <c r="T21" s="76" t="str">
        <f t="shared" si="6"/>
        <v>-- データ区分</v>
      </c>
      <c r="U21" s="4"/>
      <c r="AA21" s="4"/>
      <c r="AB21" s="4"/>
      <c r="AC21" s="4"/>
      <c r="AD21" s="4"/>
      <c r="AE21" s="4"/>
      <c r="AF21" s="4"/>
      <c r="AG21" s="4"/>
      <c r="AH21" s="4"/>
      <c r="AI21" s="4"/>
      <c r="AJ21" s="76" t="str">
        <f>IF(E21="○",IF(COUNTA(E$13:E21)=1,"",",")&amp;D21,"")</f>
        <v>,data_kubun</v>
      </c>
      <c r="AK21" s="4"/>
      <c r="AL21" s="4"/>
      <c r="AM21" s="4"/>
      <c r="AN21" s="4"/>
      <c r="AO21" s="4"/>
      <c r="AP21" s="4"/>
      <c r="AQ21" s="4"/>
      <c r="AR21" s="4"/>
      <c r="AS21" s="76" t="str">
        <f>"COMMENT ON COLUMN "&amp;エンティティ一覧!$O$2&amp;"."&amp;D$8&amp;"."&amp;D21&amp;" IS '"&amp;C21&amp;"';"</f>
        <v>COMMENT ON COLUMN milscm_2023_009.sny_202310_base_merge_dpc_efg.data_kubun IS 'データ区分';</v>
      </c>
    </row>
    <row r="22" spans="1:45" s="25" customFormat="1">
      <c r="A22" s="4"/>
      <c r="B22" s="21">
        <f t="shared" si="2"/>
        <v>10</v>
      </c>
      <c r="C22" s="6" t="s">
        <v>326</v>
      </c>
      <c r="D22" s="6" t="s">
        <v>216</v>
      </c>
      <c r="E22" s="8" t="s">
        <v>127</v>
      </c>
      <c r="F22" s="7" t="s">
        <v>317</v>
      </c>
      <c r="G22" s="7" t="str">
        <f t="shared" si="3"/>
        <v>text</v>
      </c>
      <c r="H22" s="26"/>
      <c r="I22" s="10" t="s">
        <v>127</v>
      </c>
      <c r="J22" s="11"/>
      <c r="N22" s="76"/>
      <c r="O22" s="76"/>
      <c r="P22" s="76" t="str">
        <f t="shared" si="4"/>
        <v>,junjo_no</v>
      </c>
      <c r="Q22" s="76" t="str">
        <f t="shared" si="0"/>
        <v>TEXT</v>
      </c>
      <c r="R22" s="76" t="str">
        <f t="shared" si="1"/>
        <v/>
      </c>
      <c r="S22" s="76" t="str">
        <f t="shared" si="5"/>
        <v>NOT NULL</v>
      </c>
      <c r="T22" s="76" t="str">
        <f t="shared" si="6"/>
        <v>-- 順序番号</v>
      </c>
      <c r="U22" s="4"/>
      <c r="AA22" s="4"/>
      <c r="AB22" s="4"/>
      <c r="AC22" s="4"/>
      <c r="AD22" s="4"/>
      <c r="AE22" s="4"/>
      <c r="AF22" s="4"/>
      <c r="AG22" s="4"/>
      <c r="AH22" s="4"/>
      <c r="AI22" s="4"/>
      <c r="AJ22" s="76" t="str">
        <f>IF(E22="○",IF(COUNTA(E$13:E22)=1,"",",")&amp;D22,"")</f>
        <v>,junjo_no</v>
      </c>
      <c r="AK22" s="4"/>
      <c r="AL22" s="4"/>
      <c r="AM22" s="4"/>
      <c r="AN22" s="4"/>
      <c r="AO22" s="4"/>
      <c r="AP22" s="4"/>
      <c r="AQ22" s="4"/>
      <c r="AR22" s="4"/>
      <c r="AS22" s="76" t="str">
        <f>"COMMENT ON COLUMN "&amp;エンティティ一覧!$O$2&amp;"."&amp;D$8&amp;"."&amp;D22&amp;" IS '"&amp;C22&amp;"';"</f>
        <v>COMMENT ON COLUMN milscm_2023_009.sny_202310_base_merge_dpc_efg.junjo_no IS '順序番号';</v>
      </c>
    </row>
    <row r="23" spans="1:45" s="25" customFormat="1" ht="34.799999999999997">
      <c r="A23" s="4"/>
      <c r="B23" s="21">
        <f t="shared" si="2"/>
        <v>11</v>
      </c>
      <c r="C23" s="13" t="s">
        <v>327</v>
      </c>
      <c r="D23" s="13" t="s">
        <v>153</v>
      </c>
      <c r="E23" s="7" t="s">
        <v>127</v>
      </c>
      <c r="F23" s="7" t="s">
        <v>317</v>
      </c>
      <c r="G23" s="7" t="str">
        <f t="shared" si="3"/>
        <v>text</v>
      </c>
      <c r="H23" s="58"/>
      <c r="I23" s="23" t="s">
        <v>127</v>
      </c>
      <c r="J23" s="24" t="s">
        <v>296</v>
      </c>
      <c r="N23" s="76"/>
      <c r="O23" s="76"/>
      <c r="P23" s="76" t="str">
        <f t="shared" si="4"/>
        <v>,koi_meisai_no</v>
      </c>
      <c r="Q23" s="76" t="str">
        <f t="shared" si="0"/>
        <v>TEXT</v>
      </c>
      <c r="R23" s="76" t="str">
        <f t="shared" si="1"/>
        <v/>
      </c>
      <c r="S23" s="76" t="str">
        <f t="shared" si="5"/>
        <v>NOT NULL</v>
      </c>
      <c r="T23" s="76" t="str">
        <f t="shared" si="6"/>
        <v>-- 行為明細番号</v>
      </c>
      <c r="U23" s="4"/>
      <c r="AA23" s="4"/>
      <c r="AB23" s="4"/>
      <c r="AC23" s="4"/>
      <c r="AD23" s="4"/>
      <c r="AE23" s="4"/>
      <c r="AF23" s="4"/>
      <c r="AG23" s="4"/>
      <c r="AH23" s="4"/>
      <c r="AI23" s="4"/>
      <c r="AJ23" s="76" t="str">
        <f>IF(E23="○",IF(COUNTA(E$13:E23)=1,"",",")&amp;D23,"")</f>
        <v>,koi_meisai_no</v>
      </c>
      <c r="AK23" s="4"/>
      <c r="AL23" s="4"/>
      <c r="AM23" s="4"/>
      <c r="AN23" s="4"/>
      <c r="AO23" s="4"/>
      <c r="AP23" s="4"/>
      <c r="AQ23" s="4"/>
      <c r="AR23" s="4"/>
      <c r="AS23" s="76" t="str">
        <f>"COMMENT ON COLUMN "&amp;エンティティ一覧!$O$2&amp;"."&amp;D$8&amp;"."&amp;D23&amp;" IS '"&amp;C23&amp;"';"</f>
        <v>COMMENT ON COLUMN milscm_2023_009.sny_202310_base_merge_dpc_efg.koi_meisai_no IS '行為明細番号';</v>
      </c>
    </row>
    <row r="24" spans="1:45" s="25" customFormat="1">
      <c r="A24" s="4"/>
      <c r="B24" s="21">
        <f t="shared" si="2"/>
        <v>12</v>
      </c>
      <c r="C24" s="6" t="s">
        <v>328</v>
      </c>
      <c r="D24" s="6" t="s">
        <v>218</v>
      </c>
      <c r="E24" s="8"/>
      <c r="F24" s="7" t="s">
        <v>317</v>
      </c>
      <c r="G24" s="7" t="str">
        <f t="shared" si="3"/>
        <v>text</v>
      </c>
      <c r="H24" s="26"/>
      <c r="I24" s="10"/>
      <c r="J24" s="11"/>
      <c r="N24" s="76"/>
      <c r="O24" s="76"/>
      <c r="P24" s="76" t="str">
        <f t="shared" si="4"/>
        <v>,tensu_master_code</v>
      </c>
      <c r="Q24" s="76" t="str">
        <f t="shared" si="0"/>
        <v>TEXT</v>
      </c>
      <c r="R24" s="76" t="str">
        <f t="shared" si="1"/>
        <v/>
      </c>
      <c r="S24" s="76" t="str">
        <f t="shared" si="5"/>
        <v/>
      </c>
      <c r="T24" s="76" t="str">
        <f t="shared" si="6"/>
        <v>-- 病院点数マスタコード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milscm_2023_009.sny_202310_base_merge_dpc_efg.tensu_master_code IS '病院点数マスタコード';</v>
      </c>
    </row>
    <row r="25" spans="1:45" s="25" customFormat="1" ht="34.799999999999997">
      <c r="A25" s="4"/>
      <c r="B25" s="21">
        <f t="shared" si="2"/>
        <v>13</v>
      </c>
      <c r="C25" s="13" t="s">
        <v>145</v>
      </c>
      <c r="D25" s="13" t="s">
        <v>154</v>
      </c>
      <c r="E25" s="7"/>
      <c r="F25" s="7" t="s">
        <v>317</v>
      </c>
      <c r="G25" s="7" t="str">
        <f t="shared" si="3"/>
        <v>text</v>
      </c>
      <c r="H25" s="58"/>
      <c r="I25" s="23"/>
      <c r="J25" s="24" t="s">
        <v>297</v>
      </c>
      <c r="N25" s="76"/>
      <c r="O25" s="76"/>
      <c r="P25" s="76" t="str">
        <f t="shared" si="4"/>
        <v>,receipt_densan_code</v>
      </c>
      <c r="Q25" s="76" t="str">
        <f t="shared" si="0"/>
        <v>TEXT</v>
      </c>
      <c r="R25" s="76" t="str">
        <f t="shared" si="1"/>
        <v/>
      </c>
      <c r="S25" s="76" t="str">
        <f t="shared" si="5"/>
        <v/>
      </c>
      <c r="T25" s="76" t="str">
        <f t="shared" si="6"/>
        <v>-- レセプト電算処理システム用コード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milscm_2023_009.sny_202310_base_merge_dpc_efg.receipt_densan_code IS 'レセプト電算処理システム用コード';</v>
      </c>
    </row>
    <row r="26" spans="1:45" s="25" customFormat="1">
      <c r="A26" s="4"/>
      <c r="B26" s="21">
        <f t="shared" si="2"/>
        <v>14</v>
      </c>
      <c r="C26" s="6" t="s">
        <v>329</v>
      </c>
      <c r="D26" s="6" t="s">
        <v>220</v>
      </c>
      <c r="E26" s="8"/>
      <c r="F26" s="7" t="s">
        <v>317</v>
      </c>
      <c r="G26" s="7" t="str">
        <f t="shared" si="3"/>
        <v>text</v>
      </c>
      <c r="H26" s="26"/>
      <c r="I26" s="10"/>
      <c r="J26" s="11"/>
      <c r="N26" s="76"/>
      <c r="O26" s="76"/>
      <c r="P26" s="76" t="str">
        <f t="shared" si="4"/>
        <v>,kaishaku_no</v>
      </c>
      <c r="Q26" s="76" t="str">
        <f t="shared" si="0"/>
        <v>TEXT</v>
      </c>
      <c r="R26" s="76" t="str">
        <f t="shared" si="1"/>
        <v/>
      </c>
      <c r="S26" s="76" t="str">
        <f t="shared" si="5"/>
        <v/>
      </c>
      <c r="T26" s="76" t="str">
        <f t="shared" si="6"/>
        <v>-- 解釈番号</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milscm_2023_009.sny_202310_base_merge_dpc_efg.kaishaku_no IS '解釈番号';</v>
      </c>
    </row>
    <row r="27" spans="1:45" s="25" customFormat="1">
      <c r="A27" s="4"/>
      <c r="B27" s="21">
        <f t="shared" si="2"/>
        <v>15</v>
      </c>
      <c r="C27" s="6" t="s">
        <v>330</v>
      </c>
      <c r="D27" s="6" t="s">
        <v>146</v>
      </c>
      <c r="E27" s="8"/>
      <c r="F27" s="7" t="s">
        <v>317</v>
      </c>
      <c r="G27" s="7" t="str">
        <f t="shared" si="3"/>
        <v>text</v>
      </c>
      <c r="H27" s="26"/>
      <c r="I27" s="10"/>
      <c r="J27" s="11" t="s">
        <v>147</v>
      </c>
      <c r="N27" s="76"/>
      <c r="O27" s="76"/>
      <c r="P27" s="76" t="str">
        <f t="shared" si="4"/>
        <v>,sinryo_meisai_name</v>
      </c>
      <c r="Q27" s="76" t="str">
        <f t="shared" si="0"/>
        <v>TEXT</v>
      </c>
      <c r="R27" s="76" t="str">
        <f t="shared" si="1"/>
        <v/>
      </c>
      <c r="S27" s="76" t="str">
        <f t="shared" si="5"/>
        <v/>
      </c>
      <c r="T27" s="76" t="str">
        <f t="shared" si="6"/>
        <v>-- 診療明細名称</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milscm_2023_009.sny_202310_base_merge_dpc_efg.sinryo_meisai_name IS '診療明細名称';</v>
      </c>
    </row>
    <row r="28" spans="1:45" s="25" customFormat="1" ht="34.799999999999997">
      <c r="A28" s="4"/>
      <c r="B28" s="21">
        <f t="shared" si="2"/>
        <v>16</v>
      </c>
      <c r="C28" s="13" t="s">
        <v>331</v>
      </c>
      <c r="D28" s="13" t="s">
        <v>129</v>
      </c>
      <c r="E28" s="7"/>
      <c r="F28" s="7" t="s">
        <v>332</v>
      </c>
      <c r="G28" s="7" t="str">
        <f t="shared" si="3"/>
        <v>numeric</v>
      </c>
      <c r="H28" s="58"/>
      <c r="I28" s="23"/>
      <c r="J28" s="24" t="s">
        <v>150</v>
      </c>
      <c r="N28" s="76"/>
      <c r="O28" s="76"/>
      <c r="P28" s="76" t="str">
        <f t="shared" si="4"/>
        <v>,shiyoryo</v>
      </c>
      <c r="Q28" s="76" t="str">
        <f t="shared" si="0"/>
        <v>NUMERIC</v>
      </c>
      <c r="R28" s="76" t="str">
        <f t="shared" si="1"/>
        <v/>
      </c>
      <c r="S28" s="76" t="str">
        <f t="shared" si="5"/>
        <v/>
      </c>
      <c r="T28" s="76" t="str">
        <f t="shared" si="6"/>
        <v>-- 使用量</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milscm_2023_009.sny_202310_base_merge_dpc_efg.shiyoryo IS '使用量';</v>
      </c>
    </row>
    <row r="29" spans="1:45" s="25" customFormat="1">
      <c r="A29" s="4"/>
      <c r="B29" s="21">
        <f t="shared" si="2"/>
        <v>17</v>
      </c>
      <c r="C29" s="6" t="s">
        <v>333</v>
      </c>
      <c r="D29" s="6" t="s">
        <v>276</v>
      </c>
      <c r="E29" s="8"/>
      <c r="F29" s="7" t="s">
        <v>317</v>
      </c>
      <c r="G29" s="7" t="str">
        <f t="shared" si="3"/>
        <v>text</v>
      </c>
      <c r="H29" s="26"/>
      <c r="I29" s="10"/>
      <c r="J29" s="11"/>
      <c r="N29" s="76"/>
      <c r="O29" s="76"/>
      <c r="P29" s="76" t="str">
        <f t="shared" si="4"/>
        <v>,unit</v>
      </c>
      <c r="Q29" s="76" t="str">
        <f t="shared" si="0"/>
        <v>TEXT</v>
      </c>
      <c r="R29" s="76" t="str">
        <f t="shared" si="1"/>
        <v/>
      </c>
      <c r="S29" s="76" t="str">
        <f t="shared" si="5"/>
        <v/>
      </c>
      <c r="T29" s="76" t="str">
        <f t="shared" si="6"/>
        <v>-- 基準単位</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milscm_2023_009.sny_202310_base_merge_dpc_efg.unit IS '基準単位';</v>
      </c>
    </row>
    <row r="30" spans="1:45" s="25" customFormat="1">
      <c r="A30" s="4"/>
      <c r="B30" s="21">
        <f t="shared" si="2"/>
        <v>18</v>
      </c>
      <c r="C30" s="13" t="s">
        <v>334</v>
      </c>
      <c r="D30" s="13" t="s">
        <v>130</v>
      </c>
      <c r="E30" s="7"/>
      <c r="F30" s="7" t="s">
        <v>332</v>
      </c>
      <c r="G30" s="7" t="str">
        <f t="shared" si="3"/>
        <v>numeric</v>
      </c>
      <c r="H30" s="58"/>
      <c r="I30" s="23"/>
      <c r="J30" s="24"/>
      <c r="N30" s="76"/>
      <c r="O30" s="76"/>
      <c r="P30" s="76" t="str">
        <f t="shared" si="4"/>
        <v>,meisai_tensu</v>
      </c>
      <c r="Q30" s="76" t="str">
        <f t="shared" si="0"/>
        <v>NUMERIC</v>
      </c>
      <c r="R30" s="76" t="str">
        <f t="shared" si="1"/>
        <v/>
      </c>
      <c r="S30" s="76" t="str">
        <f t="shared" si="5"/>
        <v/>
      </c>
      <c r="T30" s="76" t="str">
        <f t="shared" si="6"/>
        <v>-- 明細点数・金額</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milscm_2023_009.sny_202310_base_merge_dpc_efg.meisai_tensu IS '明細点数・金額';</v>
      </c>
    </row>
    <row r="31" spans="1:45" s="25" customFormat="1">
      <c r="A31" s="4"/>
      <c r="B31" s="21">
        <f t="shared" si="2"/>
        <v>19</v>
      </c>
      <c r="C31" s="6" t="s">
        <v>335</v>
      </c>
      <c r="D31" s="6" t="s">
        <v>131</v>
      </c>
      <c r="E31" s="8"/>
      <c r="F31" s="7" t="s">
        <v>317</v>
      </c>
      <c r="G31" s="7" t="str">
        <f t="shared" si="3"/>
        <v>text</v>
      </c>
      <c r="H31" s="26"/>
      <c r="I31" s="10"/>
      <c r="J31" s="11" t="s">
        <v>152</v>
      </c>
      <c r="N31" s="76"/>
      <c r="O31" s="76"/>
      <c r="P31" s="76" t="str">
        <f t="shared" ref="P31:P47" si="7">IF(B31&lt;&gt;1,","&amp;D31,D31)</f>
        <v>,ten_kubun</v>
      </c>
      <c r="Q31" s="76" t="str">
        <f t="shared" ref="Q31:Q47" si="8">UPPER(G31)</f>
        <v>TEXT</v>
      </c>
      <c r="R31" s="76" t="str">
        <f t="shared" ref="R31:R47" si="9">IF(H31&lt;&gt;"","default "&amp;IF(G31="text","'"&amp;H31&amp;"'",H31),"")</f>
        <v/>
      </c>
      <c r="S31" s="76" t="str">
        <f t="shared" ref="S31:S47" si="10">IF(I31="○","NOT NULL","")</f>
        <v/>
      </c>
      <c r="T31" s="76" t="str">
        <f t="shared" ref="T31:T47" si="11">"-- "&amp;C31</f>
        <v>-- 円・点区分</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milscm_2023_009.sny_202310_base_merge_dpc_efg.ten_kubun IS '円・点区分';</v>
      </c>
    </row>
    <row r="32" spans="1:45" s="25" customFormat="1">
      <c r="A32" s="4"/>
      <c r="B32" s="21">
        <f t="shared" si="2"/>
        <v>20</v>
      </c>
      <c r="C32" s="13" t="s">
        <v>336</v>
      </c>
      <c r="D32" s="13" t="s">
        <v>337</v>
      </c>
      <c r="E32" s="7"/>
      <c r="F32" s="7" t="s">
        <v>332</v>
      </c>
      <c r="G32" s="7" t="str">
        <f t="shared" si="3"/>
        <v>numeric</v>
      </c>
      <c r="H32" s="58"/>
      <c r="I32" s="23"/>
      <c r="J32" s="24"/>
      <c r="N32" s="76"/>
      <c r="O32" s="76"/>
      <c r="P32" s="76" t="str">
        <f t="shared" si="7"/>
        <v>,dekidaka_tensu</v>
      </c>
      <c r="Q32" s="76" t="str">
        <f t="shared" si="8"/>
        <v>NUMERIC</v>
      </c>
      <c r="R32" s="76" t="str">
        <f t="shared" si="9"/>
        <v/>
      </c>
      <c r="S32" s="76" t="str">
        <f t="shared" si="10"/>
        <v/>
      </c>
      <c r="T32" s="76" t="str">
        <f t="shared" si="11"/>
        <v>-- 出来高実績点数</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milscm_2023_009.sny_202310_base_merge_dpc_efg.dekidaka_tensu IS '出来高実績点数';</v>
      </c>
    </row>
    <row r="33" spans="1:52" s="25" customFormat="1" ht="52.2">
      <c r="A33" s="4"/>
      <c r="B33" s="21">
        <f t="shared" si="2"/>
        <v>21</v>
      </c>
      <c r="C33" s="6" t="s">
        <v>338</v>
      </c>
      <c r="D33" s="6" t="s">
        <v>132</v>
      </c>
      <c r="E33" s="8"/>
      <c r="F33" s="7" t="s">
        <v>317</v>
      </c>
      <c r="G33" s="7" t="str">
        <f t="shared" si="3"/>
        <v>text</v>
      </c>
      <c r="H33" s="26"/>
      <c r="I33" s="10"/>
      <c r="J33" s="11" t="s">
        <v>298</v>
      </c>
      <c r="N33" s="76"/>
      <c r="O33" s="76"/>
      <c r="P33" s="76" t="str">
        <f t="shared" si="7"/>
        <v>,koi_meisai_kubun</v>
      </c>
      <c r="Q33" s="76" t="str">
        <f t="shared" si="8"/>
        <v>TEXT</v>
      </c>
      <c r="R33" s="76" t="str">
        <f t="shared" si="9"/>
        <v/>
      </c>
      <c r="S33" s="76" t="str">
        <f t="shared" si="10"/>
        <v/>
      </c>
      <c r="T33" s="76" t="str">
        <f t="shared" si="11"/>
        <v>-- 行為明細区分情報</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milscm_2023_009.sny_202310_base_merge_dpc_efg.koi_meisai_kubun IS '行為明細区分情報';</v>
      </c>
    </row>
    <row r="34" spans="1:52" s="25" customFormat="1" ht="52.2">
      <c r="A34" s="4"/>
      <c r="B34" s="21">
        <f t="shared" si="2"/>
        <v>22</v>
      </c>
      <c r="C34" s="13" t="s">
        <v>339</v>
      </c>
      <c r="D34" s="13" t="s">
        <v>340</v>
      </c>
      <c r="E34" s="7"/>
      <c r="F34" s="7" t="s">
        <v>332</v>
      </c>
      <c r="G34" s="7" t="str">
        <f t="shared" si="3"/>
        <v>numeric</v>
      </c>
      <c r="H34" s="58"/>
      <c r="I34" s="23"/>
      <c r="J34" s="24" t="s">
        <v>299</v>
      </c>
      <c r="N34" s="76"/>
      <c r="O34" s="76"/>
      <c r="P34" s="76" t="str">
        <f t="shared" si="7"/>
        <v>,koi_tensu</v>
      </c>
      <c r="Q34" s="76" t="str">
        <f t="shared" si="8"/>
        <v>NUMERIC</v>
      </c>
      <c r="R34" s="76" t="str">
        <f t="shared" si="9"/>
        <v/>
      </c>
      <c r="S34" s="76" t="str">
        <f t="shared" si="10"/>
        <v/>
      </c>
      <c r="T34" s="76" t="str">
        <f t="shared" si="11"/>
        <v>-- 行為点数</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milscm_2023_009.sny_202310_base_merge_dpc_efg.koi_tensu IS '行為点数';</v>
      </c>
    </row>
    <row r="35" spans="1:52" s="25" customFormat="1">
      <c r="A35" s="4"/>
      <c r="B35" s="21">
        <f t="shared" si="2"/>
        <v>23</v>
      </c>
      <c r="C35" s="6" t="s">
        <v>341</v>
      </c>
      <c r="D35" s="6" t="s">
        <v>227</v>
      </c>
      <c r="E35" s="8"/>
      <c r="F35" s="7" t="s">
        <v>332</v>
      </c>
      <c r="G35" s="7" t="str">
        <f t="shared" si="3"/>
        <v>numeric</v>
      </c>
      <c r="H35" s="26"/>
      <c r="I35" s="10"/>
      <c r="J35" s="11" t="s">
        <v>300</v>
      </c>
      <c r="N35" s="76"/>
      <c r="O35" s="76"/>
      <c r="P35" s="76" t="str">
        <f t="shared" si="7"/>
        <v>,koi_yakuzai</v>
      </c>
      <c r="Q35" s="76" t="str">
        <f t="shared" si="8"/>
        <v>NUMERIC</v>
      </c>
      <c r="R35" s="76" t="str">
        <f t="shared" si="9"/>
        <v/>
      </c>
      <c r="S35" s="76" t="str">
        <f t="shared" si="10"/>
        <v/>
      </c>
      <c r="T35" s="76" t="str">
        <f t="shared" si="11"/>
        <v>-- 行為薬剤料</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milscm_2023_009.sny_202310_base_merge_dpc_efg.koi_yakuzai IS '行為薬剤料';</v>
      </c>
    </row>
    <row r="36" spans="1:52" s="25" customFormat="1">
      <c r="A36" s="4"/>
      <c r="B36" s="21">
        <f t="shared" si="2"/>
        <v>24</v>
      </c>
      <c r="C36" s="6" t="s">
        <v>342</v>
      </c>
      <c r="D36" s="6" t="s">
        <v>229</v>
      </c>
      <c r="E36" s="8"/>
      <c r="F36" s="7" t="s">
        <v>332</v>
      </c>
      <c r="G36" s="7" t="str">
        <f t="shared" si="3"/>
        <v>numeric</v>
      </c>
      <c r="H36" s="26"/>
      <c r="I36" s="10"/>
      <c r="J36" s="11" t="s">
        <v>300</v>
      </c>
      <c r="N36" s="76"/>
      <c r="O36" s="76"/>
      <c r="P36" s="76" t="str">
        <f t="shared" si="7"/>
        <v>,koi_zairyo</v>
      </c>
      <c r="Q36" s="76" t="str">
        <f t="shared" si="8"/>
        <v>NUMERIC</v>
      </c>
      <c r="R36" s="76" t="str">
        <f t="shared" si="9"/>
        <v/>
      </c>
      <c r="S36" s="76" t="str">
        <f t="shared" si="10"/>
        <v/>
      </c>
      <c r="T36" s="76" t="str">
        <f t="shared" si="11"/>
        <v>-- 行為材料料</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milscm_2023_009.sny_202310_base_merge_dpc_efg.koi_zairyo IS '行為材料料';</v>
      </c>
    </row>
    <row r="37" spans="1:52" s="25" customFormat="1">
      <c r="A37" s="4"/>
      <c r="B37" s="21">
        <f t="shared" si="2"/>
        <v>25</v>
      </c>
      <c r="C37" s="13" t="s">
        <v>343</v>
      </c>
      <c r="D37" s="13" t="s">
        <v>133</v>
      </c>
      <c r="E37" s="7"/>
      <c r="F37" s="7" t="s">
        <v>332</v>
      </c>
      <c r="G37" s="7" t="str">
        <f t="shared" si="3"/>
        <v>numeric</v>
      </c>
      <c r="H37" s="58"/>
      <c r="I37" s="23"/>
      <c r="J37" s="24" t="s">
        <v>301</v>
      </c>
      <c r="N37" s="76"/>
      <c r="O37" s="76"/>
      <c r="P37" s="76" t="str">
        <f t="shared" si="7"/>
        <v>,koi_times</v>
      </c>
      <c r="Q37" s="76" t="str">
        <f t="shared" si="8"/>
        <v>NUMERIC</v>
      </c>
      <c r="R37" s="76" t="str">
        <f t="shared" si="9"/>
        <v/>
      </c>
      <c r="S37" s="76" t="str">
        <f t="shared" si="10"/>
        <v/>
      </c>
      <c r="T37" s="76" t="str">
        <f t="shared" si="11"/>
        <v>-- 行為回数</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milscm_2023_009.sny_202310_base_merge_dpc_efg.koi_times IS '行為回数';</v>
      </c>
    </row>
    <row r="38" spans="1:52" s="25" customFormat="1">
      <c r="A38" s="4"/>
      <c r="B38" s="21">
        <f t="shared" si="2"/>
        <v>26</v>
      </c>
      <c r="C38" s="6" t="s">
        <v>344</v>
      </c>
      <c r="D38" s="6" t="s">
        <v>231</v>
      </c>
      <c r="E38" s="8"/>
      <c r="F38" s="7" t="s">
        <v>317</v>
      </c>
      <c r="G38" s="7" t="str">
        <f t="shared" si="3"/>
        <v>text</v>
      </c>
      <c r="H38" s="26"/>
      <c r="I38" s="10"/>
      <c r="J38" s="11"/>
      <c r="N38" s="76"/>
      <c r="O38" s="76"/>
      <c r="P38" s="76" t="str">
        <f t="shared" si="7"/>
        <v>,hoken_no</v>
      </c>
      <c r="Q38" s="76" t="str">
        <f t="shared" si="8"/>
        <v>TEXT</v>
      </c>
      <c r="R38" s="76" t="str">
        <f t="shared" si="9"/>
        <v/>
      </c>
      <c r="S38" s="76" t="str">
        <f t="shared" si="10"/>
        <v/>
      </c>
      <c r="T38" s="76" t="str">
        <f t="shared" si="11"/>
        <v>-- 保険者番号</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milscm_2023_009.sny_202310_base_merge_dpc_efg.hoken_no IS '保険者番号';</v>
      </c>
    </row>
    <row r="39" spans="1:52" s="25" customFormat="1">
      <c r="A39" s="4"/>
      <c r="B39" s="21">
        <f t="shared" si="2"/>
        <v>27</v>
      </c>
      <c r="C39" s="13" t="s">
        <v>345</v>
      </c>
      <c r="D39" s="13" t="s">
        <v>233</v>
      </c>
      <c r="E39" s="7"/>
      <c r="F39" s="7" t="s">
        <v>317</v>
      </c>
      <c r="G39" s="7" t="str">
        <f t="shared" si="3"/>
        <v>text</v>
      </c>
      <c r="H39" s="58"/>
      <c r="I39" s="23"/>
      <c r="J39" s="24"/>
      <c r="N39" s="76"/>
      <c r="O39" s="76"/>
      <c r="P39" s="76" t="str">
        <f t="shared" si="7"/>
        <v>,receipt_type_code</v>
      </c>
      <c r="Q39" s="76" t="str">
        <f t="shared" si="8"/>
        <v>TEXT</v>
      </c>
      <c r="R39" s="76" t="str">
        <f t="shared" si="9"/>
        <v/>
      </c>
      <c r="S39" s="76" t="str">
        <f t="shared" si="10"/>
        <v/>
      </c>
      <c r="T39" s="76" t="str">
        <f t="shared" si="11"/>
        <v>-- レセプト種別コード</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milscm_2023_009.sny_202310_base_merge_dpc_efg.receipt_type_code IS 'レセプト種別コード';</v>
      </c>
    </row>
    <row r="40" spans="1:52" s="25" customFormat="1">
      <c r="A40" s="4"/>
      <c r="B40" s="21">
        <f t="shared" si="2"/>
        <v>28</v>
      </c>
      <c r="C40" s="6" t="s">
        <v>346</v>
      </c>
      <c r="D40" s="6" t="s">
        <v>155</v>
      </c>
      <c r="E40" s="8"/>
      <c r="F40" s="7" t="s">
        <v>317</v>
      </c>
      <c r="G40" s="7" t="str">
        <f t="shared" si="3"/>
        <v>text</v>
      </c>
      <c r="H40" s="26"/>
      <c r="I40" s="10" t="s">
        <v>127</v>
      </c>
      <c r="J40" s="11" t="s">
        <v>144</v>
      </c>
      <c r="N40" s="76"/>
      <c r="O40" s="76"/>
      <c r="P40" s="76" t="str">
        <f t="shared" si="7"/>
        <v>,jisshi_ymd</v>
      </c>
      <c r="Q40" s="76" t="str">
        <f t="shared" si="8"/>
        <v>TEXT</v>
      </c>
      <c r="R40" s="76" t="str">
        <f t="shared" si="9"/>
        <v/>
      </c>
      <c r="S40" s="76" t="str">
        <f t="shared" si="10"/>
        <v>NOT NULL</v>
      </c>
      <c r="T40" s="76" t="str">
        <f t="shared" si="11"/>
        <v>-- 実施年月日・診療開始日</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milscm_2023_009.sny_202310_base_merge_dpc_efg.jisshi_ymd IS '実施年月日・診療開始日';</v>
      </c>
    </row>
    <row r="41" spans="1:52" s="25" customFormat="1">
      <c r="A41" s="4"/>
      <c r="B41" s="21">
        <f t="shared" si="2"/>
        <v>29</v>
      </c>
      <c r="C41" s="13" t="s">
        <v>347</v>
      </c>
      <c r="D41" s="13" t="s">
        <v>235</v>
      </c>
      <c r="E41" s="7"/>
      <c r="F41" s="7" t="s">
        <v>317</v>
      </c>
      <c r="G41" s="7" t="str">
        <f t="shared" si="3"/>
        <v>text</v>
      </c>
      <c r="H41" s="58"/>
      <c r="I41" s="23"/>
      <c r="J41" s="24"/>
      <c r="N41" s="76"/>
      <c r="O41" s="76"/>
      <c r="P41" s="76" t="str">
        <f t="shared" si="7"/>
        <v>,receipt_ka_kubun</v>
      </c>
      <c r="Q41" s="76" t="str">
        <f t="shared" si="8"/>
        <v>TEXT</v>
      </c>
      <c r="R41" s="76" t="str">
        <f t="shared" si="9"/>
        <v/>
      </c>
      <c r="S41" s="76" t="str">
        <f t="shared" si="10"/>
        <v/>
      </c>
      <c r="T41" s="76" t="str">
        <f t="shared" si="11"/>
        <v>-- レセプト科区分</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milscm_2023_009.sny_202310_base_merge_dpc_efg.receipt_ka_kubun IS 'レセプト科区分';</v>
      </c>
    </row>
    <row r="42" spans="1:52" s="25" customFormat="1">
      <c r="A42" s="4"/>
      <c r="B42" s="21">
        <f t="shared" si="2"/>
        <v>30</v>
      </c>
      <c r="C42" s="6" t="s">
        <v>134</v>
      </c>
      <c r="D42" s="6" t="s">
        <v>135</v>
      </c>
      <c r="E42" s="8"/>
      <c r="F42" s="7" t="s">
        <v>317</v>
      </c>
      <c r="G42" s="7" t="str">
        <f t="shared" si="3"/>
        <v>text</v>
      </c>
      <c r="H42" s="26"/>
      <c r="I42" s="10"/>
      <c r="J42" s="11"/>
      <c r="N42" s="76"/>
      <c r="O42" s="76"/>
      <c r="P42" s="76" t="str">
        <f t="shared" si="7"/>
        <v>,department_kubun</v>
      </c>
      <c r="Q42" s="76" t="str">
        <f t="shared" si="8"/>
        <v>TEXT</v>
      </c>
      <c r="R42" s="76" t="str">
        <f t="shared" si="9"/>
        <v/>
      </c>
      <c r="S42" s="76" t="str">
        <f t="shared" si="10"/>
        <v/>
      </c>
      <c r="T42" s="76" t="str">
        <f t="shared" si="11"/>
        <v>-- 診療科区分</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milscm_2023_009.sny_202310_base_merge_dpc_efg.department_kubun IS '診療科区分';</v>
      </c>
    </row>
    <row r="43" spans="1:52" s="25" customFormat="1">
      <c r="A43" s="4"/>
      <c r="B43" s="21">
        <f t="shared" si="2"/>
        <v>31</v>
      </c>
      <c r="C43" s="13" t="s">
        <v>348</v>
      </c>
      <c r="D43" s="13" t="s">
        <v>237</v>
      </c>
      <c r="E43" s="7"/>
      <c r="F43" s="7" t="s">
        <v>317</v>
      </c>
      <c r="G43" s="7" t="str">
        <f t="shared" si="3"/>
        <v>text</v>
      </c>
      <c r="H43" s="58"/>
      <c r="I43" s="23"/>
      <c r="J43" s="24"/>
      <c r="N43" s="76"/>
      <c r="O43" s="76"/>
      <c r="P43" s="76" t="str">
        <f t="shared" si="7"/>
        <v>,doctor_code</v>
      </c>
      <c r="Q43" s="76" t="str">
        <f t="shared" si="8"/>
        <v>TEXT</v>
      </c>
      <c r="R43" s="76" t="str">
        <f t="shared" si="9"/>
        <v/>
      </c>
      <c r="S43" s="76" t="str">
        <f t="shared" si="10"/>
        <v/>
      </c>
      <c r="T43" s="76" t="str">
        <f t="shared" si="11"/>
        <v>-- 医師コード</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milscm_2023_009.sny_202310_base_merge_dpc_efg.doctor_code IS '医師コード';</v>
      </c>
    </row>
    <row r="44" spans="1:52" s="25" customFormat="1">
      <c r="A44" s="4"/>
      <c r="B44" s="21">
        <f t="shared" si="2"/>
        <v>32</v>
      </c>
      <c r="C44" s="6" t="s">
        <v>349</v>
      </c>
      <c r="D44" s="6" t="s">
        <v>239</v>
      </c>
      <c r="E44" s="8"/>
      <c r="F44" s="7" t="s">
        <v>317</v>
      </c>
      <c r="G44" s="7" t="str">
        <f t="shared" si="3"/>
        <v>text</v>
      </c>
      <c r="H44" s="26"/>
      <c r="I44" s="10"/>
      <c r="J44" s="11"/>
      <c r="N44" s="76"/>
      <c r="O44" s="76"/>
      <c r="P44" s="76" t="str">
        <f t="shared" si="7"/>
        <v>,ward_code</v>
      </c>
      <c r="Q44" s="76" t="str">
        <f t="shared" si="8"/>
        <v>TEXT</v>
      </c>
      <c r="R44" s="76" t="str">
        <f t="shared" si="9"/>
        <v/>
      </c>
      <c r="S44" s="76" t="str">
        <f t="shared" si="10"/>
        <v/>
      </c>
      <c r="T44" s="76" t="str">
        <f t="shared" si="11"/>
        <v>-- 病棟コード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milscm_2023_009.sny_202310_base_merge_dpc_efg.ward_code IS '病棟コード';</v>
      </c>
    </row>
    <row r="45" spans="1:52" s="25" customFormat="1">
      <c r="A45" s="4"/>
      <c r="B45" s="21">
        <f t="shared" si="2"/>
        <v>33</v>
      </c>
      <c r="C45" s="13" t="s">
        <v>350</v>
      </c>
      <c r="D45" s="13" t="s">
        <v>241</v>
      </c>
      <c r="E45" s="7"/>
      <c r="F45" s="7" t="s">
        <v>317</v>
      </c>
      <c r="G45" s="7" t="str">
        <f t="shared" si="3"/>
        <v>text</v>
      </c>
      <c r="H45" s="58"/>
      <c r="I45" s="23"/>
      <c r="J45" s="24" t="s">
        <v>356</v>
      </c>
      <c r="N45" s="76"/>
      <c r="O45" s="76"/>
      <c r="P45" s="76" t="str">
        <f t="shared" si="7"/>
        <v>,ward_kubun</v>
      </c>
      <c r="Q45" s="76" t="str">
        <f t="shared" si="8"/>
        <v>TEXT</v>
      </c>
      <c r="R45" s="76" t="str">
        <f t="shared" si="9"/>
        <v/>
      </c>
      <c r="S45" s="76" t="str">
        <f t="shared" si="10"/>
        <v/>
      </c>
      <c r="T45" s="76" t="str">
        <f t="shared" si="11"/>
        <v>-- 病棟区分</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milscm_2023_009.sny_202310_base_merge_dpc_efg.ward_kubun IS '病棟区分';</v>
      </c>
    </row>
    <row r="46" spans="1:52" s="25" customFormat="1">
      <c r="A46" s="4"/>
      <c r="B46" s="21">
        <f t="shared" si="2"/>
        <v>34</v>
      </c>
      <c r="C46" s="13" t="s">
        <v>351</v>
      </c>
      <c r="D46" s="13" t="s">
        <v>243</v>
      </c>
      <c r="E46" s="7"/>
      <c r="F46" s="7" t="s">
        <v>317</v>
      </c>
      <c r="G46" s="7" t="str">
        <f t="shared" si="3"/>
        <v>text</v>
      </c>
      <c r="H46" s="58"/>
      <c r="I46" s="23"/>
      <c r="J46" s="24" t="s">
        <v>303</v>
      </c>
      <c r="N46" s="76"/>
      <c r="O46" s="76"/>
      <c r="P46" s="76" t="str">
        <f t="shared" si="7"/>
        <v>,nyugai_kubun</v>
      </c>
      <c r="Q46" s="76" t="str">
        <f t="shared" si="8"/>
        <v>TEXT</v>
      </c>
      <c r="R46" s="76" t="str">
        <f t="shared" si="9"/>
        <v/>
      </c>
      <c r="S46" s="76" t="str">
        <f t="shared" si="10"/>
        <v/>
      </c>
      <c r="T46" s="76" t="str">
        <f t="shared" si="11"/>
        <v>-- 入外区分</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milscm_2023_009.sny_202310_base_merge_dpc_efg.nyugai_kubun IS '入外区分';</v>
      </c>
      <c r="AT46" s="4"/>
      <c r="AU46" s="4"/>
    </row>
    <row r="47" spans="1:52" s="25" customFormat="1" ht="18" thickBot="1">
      <c r="A47" s="4"/>
      <c r="B47" s="27">
        <f>ROW()-12</f>
        <v>35</v>
      </c>
      <c r="C47" s="57" t="s">
        <v>352</v>
      </c>
      <c r="D47" s="57" t="s">
        <v>245</v>
      </c>
      <c r="E47" s="56"/>
      <c r="F47" s="56" t="s">
        <v>317</v>
      </c>
      <c r="G47" s="56" t="str">
        <f t="shared" si="3"/>
        <v>text</v>
      </c>
      <c r="H47" s="59"/>
      <c r="I47" s="60"/>
      <c r="J47" s="61"/>
      <c r="L47" s="4"/>
      <c r="N47" s="76"/>
      <c r="O47" s="76"/>
      <c r="P47" s="76" t="str">
        <f t="shared" si="7"/>
        <v>,facility_type</v>
      </c>
      <c r="Q47" s="76" t="str">
        <f t="shared" si="8"/>
        <v>TEXT</v>
      </c>
      <c r="R47" s="76" t="str">
        <f t="shared" si="9"/>
        <v/>
      </c>
      <c r="S47" s="76" t="str">
        <f t="shared" si="10"/>
        <v/>
      </c>
      <c r="T47" s="76" t="str">
        <f t="shared" si="11"/>
        <v>-- 施設タイプ</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milscm_2023_009.sny_202310_base_merge_dpc_efg.facility_type IS '施設タイプ';</v>
      </c>
      <c r="AT47" s="4"/>
      <c r="AU47" s="4"/>
      <c r="AV47" s="4"/>
      <c r="AW47" s="4"/>
      <c r="AX47" s="4"/>
      <c r="AY47" s="4"/>
      <c r="AZ47" s="4"/>
    </row>
    <row r="48" spans="1:52">
      <c r="M48" s="25"/>
      <c r="N48" s="76" t="s">
        <v>142</v>
      </c>
      <c r="O48" s="76"/>
      <c r="P48" s="76"/>
      <c r="Q48" s="76"/>
      <c r="R48" s="76"/>
      <c r="S48" s="76"/>
      <c r="T48" s="76"/>
      <c r="V48" s="25"/>
      <c r="W48" s="25"/>
      <c r="X48" s="25"/>
      <c r="Y48" s="25"/>
      <c r="Z48" s="25"/>
      <c r="AJ48" s="76"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ENT_31_C1-05</v>
      </c>
      <c r="E6" s="234"/>
      <c r="F6" s="234"/>
      <c r="G6" s="234"/>
      <c r="H6" s="234"/>
      <c r="I6" s="234"/>
      <c r="J6" s="235"/>
    </row>
    <row r="7" spans="1:45">
      <c r="B7" s="223" t="s">
        <v>115</v>
      </c>
      <c r="C7" s="224"/>
      <c r="D7" s="225" t="s">
        <v>311</v>
      </c>
      <c r="E7" s="226"/>
      <c r="F7" s="226"/>
      <c r="G7" s="226"/>
      <c r="H7" s="226"/>
      <c r="I7" s="226"/>
      <c r="J7" s="227"/>
    </row>
    <row r="8" spans="1:45">
      <c r="B8" s="223" t="s">
        <v>116</v>
      </c>
      <c r="C8" s="224"/>
      <c r="D8" s="225" t="str">
        <f>エンティティ一覧!AE2&amp;"_"&amp;D5&amp;"_merge_dpc_ff1"</f>
        <v>sny_202310_base_merge_dpc_ff1</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バックアップ_DPC調査データ_様式1テーブルから対象患者で絞り込んだ結果を格納するテーブル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milscm_2023_009.sny_202310_base_merge_dpc_ff1;</v>
      </c>
      <c r="O10" s="76"/>
      <c r="P10" s="76"/>
      <c r="Q10" s="76"/>
      <c r="R10" s="76"/>
      <c r="S10" s="76"/>
      <c r="T10" s="76"/>
      <c r="AJ10" s="76" t="str">
        <f>"ALTER TABLE ONLY "&amp;エンティティ一覧!$O$2&amp;"."&amp;D$8</f>
        <v>ALTER TABLE ONLY milscm_2023_009.sny_202310_base_merge_dpc_ff1</v>
      </c>
      <c r="AS10" s="76" t="str">
        <f>"ALTER TABLE "&amp;エンティティ一覧!$O$2&amp;"."&amp;D$8&amp;" OWNER TO pgmisgrp1;"</f>
        <v>ALTER TABLE milscm_2023_009.sny_202310_base_merge_dpc_ff1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v>
      </c>
      <c r="O11" s="76"/>
      <c r="P11" s="76"/>
      <c r="Q11" s="76"/>
      <c r="R11" s="76"/>
      <c r="S11" s="76"/>
      <c r="T11" s="76"/>
      <c r="AJ11" s="76" t="str">
        <f>"ADD CONSTRAINT "&amp;D$8&amp;"_pkey PRIMARY KEY"</f>
        <v>ADD CONSTRAINT sny_202310_base_merge_dpc_ff1_pkey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 IS 'ベース_DPC調査データ_様式1';</v>
      </c>
    </row>
    <row r="13" spans="1:45" s="25" customFormat="1">
      <c r="A13" s="4"/>
      <c r="B13" s="21">
        <f>ROW()-12</f>
        <v>1</v>
      </c>
      <c r="C13" s="6" t="s">
        <v>316</v>
      </c>
      <c r="D13" s="6" t="s">
        <v>200</v>
      </c>
      <c r="E13" s="8"/>
      <c r="F13" s="8" t="s">
        <v>317</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milscm_2023_009.sny_202310_base_merge_dpc_ff1.torikomi_ym IS '取込年月';</v>
      </c>
    </row>
    <row r="14" spans="1:45" s="25" customFormat="1">
      <c r="A14" s="4"/>
      <c r="B14" s="21">
        <f t="shared" ref="B14:B154" si="2">ROW()-12</f>
        <v>2</v>
      </c>
      <c r="C14" s="6" t="s">
        <v>202</v>
      </c>
      <c r="D14" s="6" t="s">
        <v>203</v>
      </c>
      <c r="E14" s="8"/>
      <c r="F14" s="7" t="s">
        <v>204</v>
      </c>
      <c r="G14" s="7" t="str">
        <f t="shared" ref="G14:G155"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milscm_2023_009.sny_202310_base_merge_dpc_ff1.mil_karute_id IS '千年カルテID';</v>
      </c>
    </row>
    <row r="15" spans="1:45" s="25" customFormat="1" ht="34.799999999999997">
      <c r="A15" s="4"/>
      <c r="B15" s="21">
        <f t="shared" si="2"/>
        <v>3</v>
      </c>
      <c r="C15" s="13" t="s">
        <v>137</v>
      </c>
      <c r="D15" s="13" t="s">
        <v>128</v>
      </c>
      <c r="E15" s="7" t="s">
        <v>127</v>
      </c>
      <c r="F15" s="7" t="s">
        <v>317</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milscm_2023_009.sny_202310_base_merge_dpc_ff1.facility_id IS '施設ID';</v>
      </c>
    </row>
    <row r="16" spans="1:45" s="25" customFormat="1" ht="87">
      <c r="B16" s="21">
        <f t="shared" si="2"/>
        <v>4</v>
      </c>
      <c r="C16" s="6" t="s">
        <v>318</v>
      </c>
      <c r="D16" s="6" t="s">
        <v>206</v>
      </c>
      <c r="E16" s="8" t="s">
        <v>127</v>
      </c>
      <c r="F16" s="7" t="s">
        <v>317</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milscm_2023_009.sny_202310_base_merge_dpc_ff1.shinryo_ym IS '診療年月';</v>
      </c>
    </row>
    <row r="17" spans="1:45" s="25" customFormat="1">
      <c r="B17" s="21">
        <f t="shared" si="2"/>
        <v>5</v>
      </c>
      <c r="C17" s="6" t="s">
        <v>207</v>
      </c>
      <c r="D17" s="6" t="s">
        <v>208</v>
      </c>
      <c r="E17" s="8"/>
      <c r="F17" s="7" t="s">
        <v>317</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milscm_2023_009.sny_202310_base_merge_dpc_ff1.data_type IS 'データ種別';</v>
      </c>
    </row>
    <row r="18" spans="1:45" s="25" customFormat="1">
      <c r="B18" s="21">
        <f t="shared" si="2"/>
        <v>6</v>
      </c>
      <c r="C18" s="6" t="s">
        <v>320</v>
      </c>
      <c r="D18" s="6" t="s">
        <v>210</v>
      </c>
      <c r="E18" s="8" t="s">
        <v>127</v>
      </c>
      <c r="F18" s="7" t="s">
        <v>317</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milscm_2023_009.sny_202310_base_merge_dpc_ff1.shikibetsu_no IS 'データ識別番号';</v>
      </c>
    </row>
    <row r="19" spans="1:45" s="25" customFormat="1">
      <c r="B19" s="21">
        <f t="shared" si="2"/>
        <v>7</v>
      </c>
      <c r="C19" s="13" t="s">
        <v>562</v>
      </c>
      <c r="D19" s="13" t="s">
        <v>156</v>
      </c>
      <c r="E19" s="7" t="s">
        <v>127</v>
      </c>
      <c r="F19" s="7" t="s">
        <v>317</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milscm_2023_009.sny_202310_base_merge_dpc_ff1.nyuin_ymd IS '入院年月日';</v>
      </c>
    </row>
    <row r="20" spans="1:45" s="25" customFormat="1">
      <c r="B20" s="21">
        <f t="shared" si="2"/>
        <v>8</v>
      </c>
      <c r="C20" s="6" t="s">
        <v>563</v>
      </c>
      <c r="D20" s="6" t="s">
        <v>564</v>
      </c>
      <c r="E20" s="8" t="s">
        <v>127</v>
      </c>
      <c r="F20" s="7" t="s">
        <v>317</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milscm_2023_009.sny_202310_base_merge_dpc_ff1.times_no IS '回数管理番号';</v>
      </c>
    </row>
    <row r="21" spans="1:45" s="25" customFormat="1">
      <c r="B21" s="21">
        <f t="shared" si="2"/>
        <v>9</v>
      </c>
      <c r="C21" s="13" t="s">
        <v>565</v>
      </c>
      <c r="D21" s="13" t="s">
        <v>566</v>
      </c>
      <c r="E21" s="7" t="s">
        <v>127</v>
      </c>
      <c r="F21" s="7" t="s">
        <v>317</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milscm_2023_009.sny_202310_base_merge_dpc_ff1.sokatsu_shinryo_no IS '統括診療情報番号';</v>
      </c>
    </row>
    <row r="22" spans="1:45" s="25" customFormat="1">
      <c r="B22" s="21">
        <f t="shared" si="2"/>
        <v>10</v>
      </c>
      <c r="C22" s="6" t="s">
        <v>358</v>
      </c>
      <c r="D22" s="6" t="s">
        <v>359</v>
      </c>
      <c r="E22" s="8" t="s">
        <v>127</v>
      </c>
      <c r="F22" s="7" t="s">
        <v>317</v>
      </c>
      <c r="G22" s="7" t="str">
        <f t="shared" si="3"/>
        <v>text</v>
      </c>
      <c r="H22" s="26" t="s">
        <v>809</v>
      </c>
      <c r="I22" s="10" t="s">
        <v>127</v>
      </c>
      <c r="J22" s="11" t="s">
        <v>810</v>
      </c>
      <c r="N22" s="76"/>
      <c r="O22" s="76"/>
      <c r="P22" s="76" t="str">
        <f t="shared" si="4"/>
        <v>,code</v>
      </c>
      <c r="Q22" s="76" t="str">
        <f t="shared" si="0"/>
        <v>TEXT</v>
      </c>
      <c r="R22" s="76" t="str">
        <f t="shared" si="1"/>
        <v>default 'A000010'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milscm_2023_009.sny_202310_base_merge_dpc_ff1.code IS 'コード';</v>
      </c>
    </row>
    <row r="23" spans="1:45" s="25" customFormat="1">
      <c r="A23" s="4"/>
      <c r="B23" s="21">
        <f t="shared" si="2"/>
        <v>11</v>
      </c>
      <c r="C23" s="13" t="s">
        <v>360</v>
      </c>
      <c r="D23" s="13" t="s">
        <v>361</v>
      </c>
      <c r="E23" s="7" t="s">
        <v>127</v>
      </c>
      <c r="F23" s="7" t="s">
        <v>317</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milscm_2023_009.sny_202310_base_merge_dpc_ff1.version IS 'バージョン';</v>
      </c>
    </row>
    <row r="24" spans="1:45" s="25" customFormat="1">
      <c r="A24" s="4"/>
      <c r="B24" s="21">
        <f t="shared" si="2"/>
        <v>12</v>
      </c>
      <c r="C24" s="6" t="s">
        <v>362</v>
      </c>
      <c r="D24" s="6" t="s">
        <v>363</v>
      </c>
      <c r="E24" s="8" t="s">
        <v>127</v>
      </c>
      <c r="F24" s="7" t="s">
        <v>317</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milscm_2023_009.sny_202310_base_merge_dpc_ff1.number IS '連番';</v>
      </c>
    </row>
    <row r="25" spans="1:45" s="25" customFormat="1">
      <c r="A25" s="4"/>
      <c r="B25" s="21">
        <f t="shared" si="2"/>
        <v>13</v>
      </c>
      <c r="C25" s="13" t="s">
        <v>567</v>
      </c>
      <c r="D25" s="13" t="s">
        <v>568</v>
      </c>
      <c r="E25" s="7"/>
      <c r="F25" s="7" t="s">
        <v>317</v>
      </c>
      <c r="G25" s="7" t="str">
        <f t="shared" si="3"/>
        <v>text</v>
      </c>
      <c r="H25" s="58"/>
      <c r="I25" s="23"/>
      <c r="J25" s="24" t="s">
        <v>144</v>
      </c>
      <c r="N25" s="76"/>
      <c r="O25" s="76"/>
      <c r="P25" s="76" t="str">
        <f t="shared" si="4"/>
        <v>,a000010_birthday</v>
      </c>
      <c r="Q25" s="76" t="str">
        <f t="shared" si="0"/>
        <v>TEXT</v>
      </c>
      <c r="R25" s="76" t="str">
        <f t="shared" si="1"/>
        <v/>
      </c>
      <c r="S25" s="76" t="str">
        <f t="shared" si="5"/>
        <v/>
      </c>
      <c r="T25" s="76" t="str">
        <f t="shared" si="6"/>
        <v>-- 生年月日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milscm_2023_009.sny_202310_base_merge_dpc_ff1.a000010_birthday IS '生年月日';</v>
      </c>
    </row>
    <row r="26" spans="1:45" s="25" customFormat="1">
      <c r="A26" s="4"/>
      <c r="B26" s="21">
        <f t="shared" si="2"/>
        <v>14</v>
      </c>
      <c r="C26" s="6" t="s">
        <v>569</v>
      </c>
      <c r="D26" s="6" t="s">
        <v>570</v>
      </c>
      <c r="E26" s="8"/>
      <c r="F26" s="7" t="s">
        <v>317</v>
      </c>
      <c r="G26" s="7" t="str">
        <f t="shared" si="3"/>
        <v>text</v>
      </c>
      <c r="H26" s="26"/>
      <c r="I26" s="10"/>
      <c r="J26" s="11" t="s">
        <v>812</v>
      </c>
      <c r="N26" s="76"/>
      <c r="O26" s="76"/>
      <c r="P26" s="76" t="str">
        <f t="shared" si="4"/>
        <v>,a000010_sex</v>
      </c>
      <c r="Q26" s="76" t="str">
        <f t="shared" si="0"/>
        <v>TEXT</v>
      </c>
      <c r="R26" s="76" t="str">
        <f t="shared" si="1"/>
        <v/>
      </c>
      <c r="S26" s="76" t="str">
        <f t="shared" si="5"/>
        <v/>
      </c>
      <c r="T26" s="76" t="str">
        <f t="shared" si="6"/>
        <v>-- 性別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milscm_2023_009.sny_202310_base_merge_dpc_ff1.a000010_sex IS '性別';</v>
      </c>
    </row>
    <row r="27" spans="1:45" s="25" customFormat="1">
      <c r="A27" s="4"/>
      <c r="B27" s="21">
        <f t="shared" si="2"/>
        <v>15</v>
      </c>
      <c r="C27" s="13" t="s">
        <v>571</v>
      </c>
      <c r="D27" s="13" t="s">
        <v>572</v>
      </c>
      <c r="E27" s="7"/>
      <c r="F27" s="7" t="s">
        <v>317</v>
      </c>
      <c r="G27" s="7" t="str">
        <f t="shared" si="3"/>
        <v>text</v>
      </c>
      <c r="H27" s="26"/>
      <c r="I27" s="10"/>
      <c r="J27" s="11"/>
      <c r="N27" s="76"/>
      <c r="O27" s="76"/>
      <c r="P27" s="76" t="str">
        <f t="shared" si="4"/>
        <v>,a000010_postal_code</v>
      </c>
      <c r="Q27" s="76" t="str">
        <f t="shared" si="0"/>
        <v>TEXT</v>
      </c>
      <c r="R27" s="76" t="str">
        <f t="shared" si="1"/>
        <v/>
      </c>
      <c r="S27" s="76" t="str">
        <f t="shared" si="5"/>
        <v/>
      </c>
      <c r="T27" s="76" t="str">
        <f t="shared" si="6"/>
        <v>-- 患者住所地域の郵便番号</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milscm_2023_009.sny_202310_base_merge_dpc_ff1.a000010_postal_code IS '患者住所地域の郵便番号';</v>
      </c>
    </row>
    <row r="28" spans="1:45" s="25" customFormat="1">
      <c r="A28" s="4"/>
      <c r="B28" s="21">
        <f t="shared" si="2"/>
        <v>16</v>
      </c>
      <c r="C28" s="6" t="s">
        <v>143</v>
      </c>
      <c r="D28" s="6" t="s">
        <v>573</v>
      </c>
      <c r="E28" s="8"/>
      <c r="F28" s="7" t="s">
        <v>317</v>
      </c>
      <c r="G28" s="7" t="str">
        <f t="shared" si="3"/>
        <v>text</v>
      </c>
      <c r="H28" s="58"/>
      <c r="I28" s="23"/>
      <c r="J28" s="24" t="s">
        <v>144</v>
      </c>
      <c r="N28" s="76"/>
      <c r="O28" s="76"/>
      <c r="P28" s="76" t="str">
        <f t="shared" si="4"/>
        <v>,a000020_nyuin_ymd</v>
      </c>
      <c r="Q28" s="76" t="str">
        <f t="shared" si="0"/>
        <v>TEXT</v>
      </c>
      <c r="R28" s="76" t="str">
        <f t="shared" si="1"/>
        <v/>
      </c>
      <c r="S28" s="76" t="str">
        <f t="shared" si="5"/>
        <v/>
      </c>
      <c r="T28" s="76" t="str">
        <f t="shared" si="6"/>
        <v>-- 入院年月日</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milscm_2023_009.sny_202310_base_merge_dpc_ff1.a000020_nyuin_ymd IS '入院年月日';</v>
      </c>
    </row>
    <row r="29" spans="1:45" s="25" customFormat="1">
      <c r="A29" s="4"/>
      <c r="B29" s="21">
        <f t="shared" si="2"/>
        <v>17</v>
      </c>
      <c r="C29" s="6" t="s">
        <v>574</v>
      </c>
      <c r="D29" s="6" t="s">
        <v>575</v>
      </c>
      <c r="E29" s="8"/>
      <c r="F29" s="7" t="s">
        <v>317</v>
      </c>
      <c r="G29" s="7" t="str">
        <f t="shared" si="3"/>
        <v>text</v>
      </c>
      <c r="H29" s="26"/>
      <c r="I29" s="10"/>
      <c r="J29" s="11"/>
      <c r="N29" s="76"/>
      <c r="O29" s="76"/>
      <c r="P29" s="76" t="str">
        <f t="shared" si="4"/>
        <v>,a000020_nyuin_route</v>
      </c>
      <c r="Q29" s="76" t="str">
        <f t="shared" si="0"/>
        <v>TEXT</v>
      </c>
      <c r="R29" s="76" t="str">
        <f t="shared" si="1"/>
        <v/>
      </c>
      <c r="S29" s="76" t="str">
        <f t="shared" si="5"/>
        <v/>
      </c>
      <c r="T29" s="76" t="str">
        <f t="shared" si="6"/>
        <v>-- 入院経路</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milscm_2023_009.sny_202310_base_merge_dpc_ff1.a000020_nyuin_route IS '入院経路';</v>
      </c>
    </row>
    <row r="30" spans="1:45" s="25" customFormat="1">
      <c r="A30" s="4"/>
      <c r="B30" s="21">
        <f t="shared" si="2"/>
        <v>18</v>
      </c>
      <c r="C30" s="13" t="s">
        <v>576</v>
      </c>
      <c r="D30" s="13" t="s">
        <v>577</v>
      </c>
      <c r="E30" s="7"/>
      <c r="F30" s="7" t="s">
        <v>317</v>
      </c>
      <c r="G30" s="7" t="str">
        <f t="shared" si="3"/>
        <v>text</v>
      </c>
      <c r="H30" s="58"/>
      <c r="I30" s="23"/>
      <c r="J30" s="24" t="s">
        <v>813</v>
      </c>
      <c r="N30" s="76"/>
      <c r="O30" s="76"/>
      <c r="P30" s="76" t="str">
        <f t="shared" si="4"/>
        <v>,a000020_shokai_flag</v>
      </c>
      <c r="Q30" s="76" t="str">
        <f t="shared" si="0"/>
        <v>TEXT</v>
      </c>
      <c r="R30" s="76" t="str">
        <f t="shared" si="1"/>
        <v/>
      </c>
      <c r="S30" s="76" t="str">
        <f t="shared" si="5"/>
        <v/>
      </c>
      <c r="T30" s="76" t="str">
        <f t="shared" si="6"/>
        <v>-- 他院よりの紹介の有無</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milscm_2023_009.sny_202310_base_merge_dpc_ff1.a000020_shokai_flag IS '他院よりの紹介の有無';</v>
      </c>
    </row>
    <row r="31" spans="1:45" s="25" customFormat="1" ht="30">
      <c r="A31" s="4"/>
      <c r="B31" s="21">
        <f t="shared" si="2"/>
        <v>19</v>
      </c>
      <c r="C31" s="6" t="s">
        <v>578</v>
      </c>
      <c r="D31" s="6" t="s">
        <v>579</v>
      </c>
      <c r="E31" s="8"/>
      <c r="F31" s="7" t="s">
        <v>317</v>
      </c>
      <c r="G31" s="7" t="str">
        <f t="shared" si="3"/>
        <v>text</v>
      </c>
      <c r="H31" s="26"/>
      <c r="I31" s="10"/>
      <c r="J31" s="11" t="s">
        <v>813</v>
      </c>
      <c r="N31" s="76"/>
      <c r="O31" s="76"/>
      <c r="P31" s="76" t="str">
        <f t="shared" ref="P31:P94" si="7">IF(B31&lt;&gt;1,","&amp;D31,D31)</f>
        <v>,a000020_gairai_nyuin_flag</v>
      </c>
      <c r="Q31" s="76" t="str">
        <f t="shared" ref="Q31:Q94" si="8">UPPER(G31)</f>
        <v>TEXT</v>
      </c>
      <c r="R31" s="76" t="str">
        <f t="shared" ref="R31:R94" si="9">IF(H31&lt;&gt;"","default "&amp;IF(G31="text","'"&amp;H31&amp;"'",H31),"")</f>
        <v/>
      </c>
      <c r="S31" s="76" t="str">
        <f t="shared" ref="S31:S94" si="10">IF(I31="○","NOT NULL","")</f>
        <v/>
      </c>
      <c r="T31" s="76" t="str">
        <f t="shared" ref="T31:T94" si="11">"-- "&amp;C31</f>
        <v>-- 自院の外来からの入院</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milscm_2023_009.sny_202310_base_merge_dpc_ff1.a000020_gairai_nyuin_flag IS '自院の外来からの入院';</v>
      </c>
    </row>
    <row r="32" spans="1:45" s="25" customFormat="1">
      <c r="A32" s="4"/>
      <c r="B32" s="21">
        <f t="shared" si="2"/>
        <v>20</v>
      </c>
      <c r="C32" s="13" t="s">
        <v>580</v>
      </c>
      <c r="D32" s="13" t="s">
        <v>581</v>
      </c>
      <c r="E32" s="7"/>
      <c r="F32" s="7" t="s">
        <v>317</v>
      </c>
      <c r="G32" s="7" t="str">
        <f t="shared" si="3"/>
        <v>text</v>
      </c>
      <c r="H32" s="58"/>
      <c r="I32" s="23"/>
      <c r="J32" s="24"/>
      <c r="N32" s="76"/>
      <c r="O32" s="76"/>
      <c r="P32" s="76" t="str">
        <f t="shared" si="7"/>
        <v>,a000020_yotei_nyuin</v>
      </c>
      <c r="Q32" s="76" t="str">
        <f t="shared" si="8"/>
        <v>TEXT</v>
      </c>
      <c r="R32" s="76" t="str">
        <f t="shared" si="9"/>
        <v/>
      </c>
      <c r="S32" s="76" t="str">
        <f t="shared" si="10"/>
        <v/>
      </c>
      <c r="T32" s="76" t="str">
        <f t="shared" si="11"/>
        <v>-- 予定・救急医療入院</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milscm_2023_009.sny_202310_base_merge_dpc_ff1.a000020_yotei_nyuin IS '予定・救急医療入院';</v>
      </c>
    </row>
    <row r="33" spans="1:52" s="25" customFormat="1">
      <c r="A33" s="4"/>
      <c r="B33" s="21">
        <f t="shared" si="2"/>
        <v>21</v>
      </c>
      <c r="C33" s="6" t="s">
        <v>582</v>
      </c>
      <c r="D33" s="6" t="s">
        <v>583</v>
      </c>
      <c r="E33" s="8"/>
      <c r="F33" s="7" t="s">
        <v>317</v>
      </c>
      <c r="G33" s="7" t="str">
        <f t="shared" si="3"/>
        <v>text</v>
      </c>
      <c r="H33" s="26"/>
      <c r="I33" s="10"/>
      <c r="J33" s="11" t="s">
        <v>813</v>
      </c>
      <c r="N33" s="76"/>
      <c r="O33" s="76"/>
      <c r="P33" s="76" t="str">
        <f t="shared" si="7"/>
        <v>,a000020_hanso_flag</v>
      </c>
      <c r="Q33" s="76" t="str">
        <f t="shared" si="8"/>
        <v>TEXT</v>
      </c>
      <c r="R33" s="76" t="str">
        <f t="shared" si="9"/>
        <v/>
      </c>
      <c r="S33" s="76" t="str">
        <f t="shared" si="10"/>
        <v/>
      </c>
      <c r="T33" s="76" t="str">
        <f t="shared" si="11"/>
        <v>-- 救急車による搬送の有無</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milscm_2023_009.sny_202310_base_merge_dpc_ff1.a000020_hanso_flag IS '救急車による搬送の有無';</v>
      </c>
    </row>
    <row r="34" spans="1:52" s="25" customFormat="1" ht="30">
      <c r="A34" s="4"/>
      <c r="B34" s="21">
        <f t="shared" si="2"/>
        <v>22</v>
      </c>
      <c r="C34" s="13" t="s">
        <v>584</v>
      </c>
      <c r="D34" s="13" t="s">
        <v>585</v>
      </c>
      <c r="E34" s="7"/>
      <c r="F34" s="7" t="s">
        <v>317</v>
      </c>
      <c r="G34" s="7" t="str">
        <f t="shared" si="3"/>
        <v>text</v>
      </c>
      <c r="H34" s="58"/>
      <c r="I34" s="23"/>
      <c r="J34" s="24" t="s">
        <v>813</v>
      </c>
      <c r="N34" s="76"/>
      <c r="O34" s="76"/>
      <c r="P34" s="76" t="str">
        <f t="shared" si="7"/>
        <v>,a000020_nyuin_homecare_flag</v>
      </c>
      <c r="Q34" s="76" t="str">
        <f t="shared" si="8"/>
        <v>TEXT</v>
      </c>
      <c r="R34" s="76" t="str">
        <f t="shared" si="9"/>
        <v/>
      </c>
      <c r="S34" s="76" t="str">
        <f t="shared" si="10"/>
        <v/>
      </c>
      <c r="T34" s="76" t="str">
        <f t="shared" si="11"/>
        <v>-- 入院前の在宅医療の有無</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milscm_2023_009.sny_202310_base_merge_dpc_ff1.a000020_nyuin_homecare_flag IS '入院前の在宅医療の有無';</v>
      </c>
    </row>
    <row r="35" spans="1:52" s="25" customFormat="1" ht="191.4">
      <c r="A35" s="4"/>
      <c r="B35" s="21">
        <f t="shared" si="2"/>
        <v>23</v>
      </c>
      <c r="C35" s="6" t="s">
        <v>586</v>
      </c>
      <c r="D35" s="6" t="s">
        <v>587</v>
      </c>
      <c r="E35" s="8"/>
      <c r="F35" s="7" t="s">
        <v>317</v>
      </c>
      <c r="G35" s="7" t="str">
        <f t="shared" si="3"/>
        <v>text</v>
      </c>
      <c r="H35" s="26"/>
      <c r="I35" s="10"/>
      <c r="J35" s="11" t="s">
        <v>814</v>
      </c>
      <c r="N35" s="76"/>
      <c r="O35" s="76"/>
      <c r="P35" s="76" t="str">
        <f t="shared" si="7"/>
        <v>,a000020_jisho_flag</v>
      </c>
      <c r="Q35" s="76" t="str">
        <f t="shared" si="8"/>
        <v>TEXT</v>
      </c>
      <c r="R35" s="76" t="str">
        <f t="shared" si="9"/>
        <v/>
      </c>
      <c r="S35" s="76" t="str">
        <f t="shared" si="10"/>
        <v/>
      </c>
      <c r="T35" s="76" t="str">
        <f t="shared" si="11"/>
        <v>-- 自傷行為・自殺企図の有無</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milscm_2023_009.sny_202310_base_merge_dpc_ff1.a000020_jisho_flag IS '自傷行為・自殺企図の有無';</v>
      </c>
    </row>
    <row r="36" spans="1:52" s="25" customFormat="1" ht="52.2">
      <c r="A36" s="4"/>
      <c r="B36" s="21">
        <f t="shared" si="2"/>
        <v>24</v>
      </c>
      <c r="C36" s="13" t="s">
        <v>588</v>
      </c>
      <c r="D36" s="13" t="s">
        <v>589</v>
      </c>
      <c r="E36" s="7"/>
      <c r="F36" s="7" t="s">
        <v>317</v>
      </c>
      <c r="G36" s="7" t="str">
        <f t="shared" si="3"/>
        <v>text</v>
      </c>
      <c r="H36" s="26"/>
      <c r="I36" s="10"/>
      <c r="J36" s="11" t="s">
        <v>815</v>
      </c>
      <c r="N36" s="76"/>
      <c r="O36" s="76"/>
      <c r="P36" s="76" t="str">
        <f t="shared" si="7"/>
        <v>,a000020_kako_jisho_flag</v>
      </c>
      <c r="Q36" s="76" t="str">
        <f t="shared" si="8"/>
        <v>TEXT</v>
      </c>
      <c r="R36" s="76" t="str">
        <f t="shared" si="9"/>
        <v/>
      </c>
      <c r="S36" s="76" t="str">
        <f t="shared" si="10"/>
        <v/>
      </c>
      <c r="T36" s="76" t="str">
        <f t="shared" si="11"/>
        <v>-- 過去の自傷行為・自殺企図の有無</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milscm_2023_009.sny_202310_base_merge_dpc_ff1.a000020_kako_jisho_flag IS '過去の自傷行為・自殺企図の有無';</v>
      </c>
    </row>
    <row r="37" spans="1:52" s="25" customFormat="1">
      <c r="A37" s="4"/>
      <c r="B37" s="21">
        <f t="shared" si="2"/>
        <v>25</v>
      </c>
      <c r="C37" s="6" t="s">
        <v>211</v>
      </c>
      <c r="D37" s="6" t="s">
        <v>590</v>
      </c>
      <c r="E37" s="8"/>
      <c r="F37" s="7" t="s">
        <v>317</v>
      </c>
      <c r="G37" s="7" t="str">
        <f t="shared" si="3"/>
        <v>text</v>
      </c>
      <c r="H37" s="58"/>
      <c r="I37" s="23"/>
      <c r="J37" s="24" t="s">
        <v>144</v>
      </c>
      <c r="N37" s="76"/>
      <c r="O37" s="76"/>
      <c r="P37" s="76" t="str">
        <f t="shared" si="7"/>
        <v>,a000030_taiin_ymd</v>
      </c>
      <c r="Q37" s="76" t="str">
        <f t="shared" si="8"/>
        <v>TEXT</v>
      </c>
      <c r="R37" s="76" t="str">
        <f t="shared" si="9"/>
        <v/>
      </c>
      <c r="S37" s="76" t="str">
        <f t="shared" si="10"/>
        <v/>
      </c>
      <c r="T37" s="76" t="str">
        <f t="shared" si="11"/>
        <v>-- 退院年月日</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milscm_2023_009.sny_202310_base_merge_dpc_ff1.a000030_taiin_ymd IS '退院年月日';</v>
      </c>
    </row>
    <row r="38" spans="1:52" s="25" customFormat="1">
      <c r="A38" s="4"/>
      <c r="B38" s="21">
        <f t="shared" si="2"/>
        <v>26</v>
      </c>
      <c r="C38" s="6" t="s">
        <v>591</v>
      </c>
      <c r="D38" s="6" t="s">
        <v>592</v>
      </c>
      <c r="E38" s="8"/>
      <c r="F38" s="7" t="s">
        <v>317</v>
      </c>
      <c r="G38" s="7" t="str">
        <f t="shared" si="3"/>
        <v>text</v>
      </c>
      <c r="H38" s="26"/>
      <c r="I38" s="10"/>
      <c r="J38" s="11"/>
      <c r="N38" s="76"/>
      <c r="O38" s="76"/>
      <c r="P38" s="76" t="str">
        <f t="shared" si="7"/>
        <v>,a000030_taiin_saki</v>
      </c>
      <c r="Q38" s="76" t="str">
        <f t="shared" si="8"/>
        <v>TEXT</v>
      </c>
      <c r="R38" s="76" t="str">
        <f t="shared" si="9"/>
        <v/>
      </c>
      <c r="S38" s="76" t="str">
        <f t="shared" si="10"/>
        <v/>
      </c>
      <c r="T38" s="76" t="str">
        <f t="shared" si="11"/>
        <v>-- 退院先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milscm_2023_009.sny_202310_base_merge_dpc_ff1.a000030_taiin_saki IS '退院先';</v>
      </c>
    </row>
    <row r="39" spans="1:52" s="25" customFormat="1">
      <c r="A39" s="4"/>
      <c r="B39" s="21">
        <f t="shared" si="2"/>
        <v>27</v>
      </c>
      <c r="C39" s="13" t="s">
        <v>593</v>
      </c>
      <c r="D39" s="13" t="s">
        <v>594</v>
      </c>
      <c r="E39" s="7"/>
      <c r="F39" s="7" t="s">
        <v>317</v>
      </c>
      <c r="G39" s="7" t="str">
        <f t="shared" si="3"/>
        <v>text</v>
      </c>
      <c r="H39" s="58"/>
      <c r="I39" s="23"/>
      <c r="J39" s="24"/>
      <c r="N39" s="76"/>
      <c r="O39" s="76"/>
      <c r="P39" s="76" t="str">
        <f t="shared" si="7"/>
        <v>,a000030_taiin_tenki</v>
      </c>
      <c r="Q39" s="76" t="str">
        <f t="shared" si="8"/>
        <v>TEXT</v>
      </c>
      <c r="R39" s="76" t="str">
        <f t="shared" si="9"/>
        <v/>
      </c>
      <c r="S39" s="76" t="str">
        <f t="shared" si="10"/>
        <v/>
      </c>
      <c r="T39" s="76" t="str">
        <f t="shared" si="11"/>
        <v>-- 退院時転帰</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milscm_2023_009.sny_202310_base_merge_dpc_ff1.a000030_taiin_tenki IS '退院時転帰';</v>
      </c>
    </row>
    <row r="40" spans="1:52" s="25" customFormat="1" ht="69.599999999999994">
      <c r="A40" s="4"/>
      <c r="B40" s="21">
        <f t="shared" si="2"/>
        <v>28</v>
      </c>
      <c r="C40" s="6" t="s">
        <v>595</v>
      </c>
      <c r="D40" s="6" t="s">
        <v>596</v>
      </c>
      <c r="E40" s="8"/>
      <c r="F40" s="7" t="s">
        <v>317</v>
      </c>
      <c r="G40" s="7" t="str">
        <f t="shared" si="3"/>
        <v>text</v>
      </c>
      <c r="H40" s="26"/>
      <c r="I40" s="10"/>
      <c r="J40" s="11" t="s">
        <v>816</v>
      </c>
      <c r="N40" s="76"/>
      <c r="O40" s="76"/>
      <c r="P40" s="76" t="str">
        <f t="shared" si="7"/>
        <v>,a000030_death24_flag</v>
      </c>
      <c r="Q40" s="76" t="str">
        <f t="shared" si="8"/>
        <v>TEXT</v>
      </c>
      <c r="R40" s="76" t="str">
        <f t="shared" si="9"/>
        <v/>
      </c>
      <c r="S40" s="76" t="str">
        <f t="shared" si="10"/>
        <v/>
      </c>
      <c r="T40" s="76" t="str">
        <f t="shared" si="11"/>
        <v>-- 24時間以内の死亡の有無</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milscm_2023_009.sny_202310_base_merge_dpc_ff1.a000030_death24_flag IS '24時間以内の死亡の有無';</v>
      </c>
    </row>
    <row r="41" spans="1:52" s="25" customFormat="1" ht="30">
      <c r="A41" s="4"/>
      <c r="B41" s="21">
        <f t="shared" si="2"/>
        <v>29</v>
      </c>
      <c r="C41" s="13" t="s">
        <v>597</v>
      </c>
      <c r="D41" s="13" t="s">
        <v>598</v>
      </c>
      <c r="E41" s="7"/>
      <c r="F41" s="7" t="s">
        <v>317</v>
      </c>
      <c r="G41" s="7" t="str">
        <f t="shared" si="3"/>
        <v>text</v>
      </c>
      <c r="H41" s="58"/>
      <c r="I41" s="23"/>
      <c r="J41" s="24" t="s">
        <v>817</v>
      </c>
      <c r="N41" s="76"/>
      <c r="O41" s="76"/>
      <c r="P41" s="76" t="str">
        <f t="shared" si="7"/>
        <v>,a000030_taiin_homecare_flag</v>
      </c>
      <c r="Q41" s="76" t="str">
        <f t="shared" si="8"/>
        <v>TEXT</v>
      </c>
      <c r="R41" s="76" t="str">
        <f t="shared" si="9"/>
        <v/>
      </c>
      <c r="S41" s="76" t="str">
        <f t="shared" si="10"/>
        <v/>
      </c>
      <c r="T41" s="76" t="str">
        <f t="shared" si="11"/>
        <v>-- 退院後の在宅医療の有無</v>
      </c>
      <c r="U41" s="4"/>
      <c r="AA41" s="4"/>
      <c r="AB41" s="4"/>
      <c r="AC41" s="4"/>
      <c r="AD41" s="4"/>
      <c r="AE41" s="4"/>
      <c r="AF41" s="4"/>
      <c r="AG41" s="4"/>
      <c r="AH41" s="4"/>
      <c r="AI41" s="4"/>
      <c r="AJ41" s="76" t="str">
        <f>IF(E41="○",IF(COUNTA(E$13:E41)=1,"",",")&amp;D41,"")</f>
        <v/>
      </c>
      <c r="AK41" s="4"/>
      <c r="AL41" s="4"/>
      <c r="AM41" s="4"/>
      <c r="AN41" s="4"/>
      <c r="AO41" s="4"/>
      <c r="AP41" s="4"/>
      <c r="AQ41" s="4"/>
      <c r="AR41" s="4"/>
      <c r="AS41" s="76" t="str">
        <f>"COMMENT ON COLUMN "&amp;エンティティ一覧!$O$2&amp;"."&amp;D$8&amp;"."&amp;D41&amp;" IS '"&amp;C41&amp;"';"</f>
        <v>COMMENT ON COLUMN milscm_2023_009.sny_202310_base_merge_dpc_ff1.a000030_taiin_homecare_flag IS '退院後の在宅医療の有無';</v>
      </c>
    </row>
    <row r="42" spans="1:52" s="25" customFormat="1">
      <c r="A42" s="4"/>
      <c r="B42" s="21">
        <f t="shared" si="2"/>
        <v>30</v>
      </c>
      <c r="C42" s="6" t="s">
        <v>599</v>
      </c>
      <c r="D42" s="6" t="s">
        <v>600</v>
      </c>
      <c r="E42" s="8"/>
      <c r="F42" s="7" t="s">
        <v>317</v>
      </c>
      <c r="G42" s="7" t="str">
        <f t="shared" si="3"/>
        <v>text</v>
      </c>
      <c r="H42" s="26"/>
      <c r="I42" s="10"/>
      <c r="J42" s="11" t="s">
        <v>144</v>
      </c>
      <c r="N42" s="76"/>
      <c r="O42" s="76"/>
      <c r="P42" s="76" t="str">
        <f t="shared" si="7"/>
        <v>,a000031_ff1_start_ymd</v>
      </c>
      <c r="Q42" s="76" t="str">
        <f t="shared" si="8"/>
        <v>TEXT</v>
      </c>
      <c r="R42" s="76" t="str">
        <f t="shared" si="9"/>
        <v/>
      </c>
      <c r="S42" s="76" t="str">
        <f t="shared" si="10"/>
        <v/>
      </c>
      <c r="T42" s="76" t="str">
        <f t="shared" si="11"/>
        <v>-- 様式1開始日</v>
      </c>
      <c r="U42" s="4"/>
      <c r="AA42" s="4"/>
      <c r="AB42" s="4"/>
      <c r="AC42" s="4"/>
      <c r="AD42" s="4"/>
      <c r="AE42" s="4"/>
      <c r="AF42" s="4"/>
      <c r="AG42" s="4"/>
      <c r="AH42" s="4"/>
      <c r="AI42" s="4"/>
      <c r="AJ42" s="76" t="str">
        <f>IF(E42="○",IF(COUNTA(E$13:E42)=1,"",",")&amp;D42,"")</f>
        <v/>
      </c>
      <c r="AK42" s="4"/>
      <c r="AL42" s="4"/>
      <c r="AM42" s="4"/>
      <c r="AN42" s="4"/>
      <c r="AO42" s="4"/>
      <c r="AP42" s="4"/>
      <c r="AQ42" s="4"/>
      <c r="AR42" s="4"/>
      <c r="AS42" s="76" t="str">
        <f>"COMMENT ON COLUMN "&amp;エンティティ一覧!$O$2&amp;"."&amp;D$8&amp;"."&amp;D42&amp;" IS '"&amp;C42&amp;"';"</f>
        <v>COMMENT ON COLUMN milscm_2023_009.sny_202310_base_merge_dpc_ff1.a000031_ff1_start_ymd IS '様式1開始日';</v>
      </c>
    </row>
    <row r="43" spans="1:52" s="25" customFormat="1">
      <c r="A43" s="4"/>
      <c r="B43" s="21">
        <f t="shared" si="2"/>
        <v>31</v>
      </c>
      <c r="C43" s="13" t="s">
        <v>601</v>
      </c>
      <c r="D43" s="13" t="s">
        <v>602</v>
      </c>
      <c r="E43" s="7"/>
      <c r="F43" s="7" t="s">
        <v>317</v>
      </c>
      <c r="G43" s="7" t="str">
        <f t="shared" si="3"/>
        <v>text</v>
      </c>
      <c r="H43" s="58"/>
      <c r="I43" s="23"/>
      <c r="J43" s="24" t="s">
        <v>144</v>
      </c>
      <c r="N43" s="76"/>
      <c r="O43" s="76"/>
      <c r="P43" s="76" t="str">
        <f t="shared" si="7"/>
        <v>,a000031_ff1_end_ymd</v>
      </c>
      <c r="Q43" s="76" t="str">
        <f t="shared" si="8"/>
        <v>TEXT</v>
      </c>
      <c r="R43" s="76" t="str">
        <f t="shared" si="9"/>
        <v/>
      </c>
      <c r="S43" s="76" t="str">
        <f t="shared" si="10"/>
        <v/>
      </c>
      <c r="T43" s="76" t="str">
        <f t="shared" si="11"/>
        <v>-- 様式1終了日</v>
      </c>
      <c r="U43" s="4"/>
      <c r="AA43" s="4"/>
      <c r="AB43" s="4"/>
      <c r="AC43" s="4"/>
      <c r="AD43" s="4"/>
      <c r="AE43" s="4"/>
      <c r="AF43" s="4"/>
      <c r="AG43" s="4"/>
      <c r="AH43" s="4"/>
      <c r="AI43" s="4"/>
      <c r="AJ43" s="76" t="str">
        <f>IF(E43="○",IF(COUNTA(E$13:E43)=1,"",",")&amp;D43,"")</f>
        <v/>
      </c>
      <c r="AK43" s="4"/>
      <c r="AL43" s="4"/>
      <c r="AM43" s="4"/>
      <c r="AN43" s="4"/>
      <c r="AO43" s="4"/>
      <c r="AP43" s="4"/>
      <c r="AQ43" s="4"/>
      <c r="AR43" s="4"/>
      <c r="AS43" s="76" t="str">
        <f>"COMMENT ON COLUMN "&amp;エンティティ一覧!$O$2&amp;"."&amp;D$8&amp;"."&amp;D43&amp;" IS '"&amp;C43&amp;"';"</f>
        <v>COMMENT ON COLUMN milscm_2023_009.sny_202310_base_merge_dpc_ff1.a000031_ff1_end_ymd IS '様式1終了日';</v>
      </c>
    </row>
    <row r="44" spans="1:52" s="25" customFormat="1" ht="30">
      <c r="A44" s="4"/>
      <c r="B44" s="21">
        <f t="shared" si="2"/>
        <v>32</v>
      </c>
      <c r="C44" s="6" t="s">
        <v>603</v>
      </c>
      <c r="D44" s="6" t="s">
        <v>604</v>
      </c>
      <c r="E44" s="8"/>
      <c r="F44" s="7" t="s">
        <v>317</v>
      </c>
      <c r="G44" s="7" t="str">
        <f t="shared" si="3"/>
        <v>text</v>
      </c>
      <c r="H44" s="26"/>
      <c r="I44" s="10"/>
      <c r="J44" s="11"/>
      <c r="N44" s="76"/>
      <c r="O44" s="76"/>
      <c r="P44" s="76" t="str">
        <f t="shared" si="7"/>
        <v>,a000040_department_code</v>
      </c>
      <c r="Q44" s="76" t="str">
        <f t="shared" si="8"/>
        <v>TEXT</v>
      </c>
      <c r="R44" s="76" t="str">
        <f t="shared" si="9"/>
        <v/>
      </c>
      <c r="S44" s="76" t="str">
        <f t="shared" si="10"/>
        <v/>
      </c>
      <c r="T44" s="76" t="str">
        <f t="shared" si="11"/>
        <v>-- 診療科コード</v>
      </c>
      <c r="U44" s="4"/>
      <c r="AA44" s="4"/>
      <c r="AB44" s="4"/>
      <c r="AC44" s="4"/>
      <c r="AD44" s="4"/>
      <c r="AE44" s="4"/>
      <c r="AF44" s="4"/>
      <c r="AG44" s="4"/>
      <c r="AH44" s="4"/>
      <c r="AI44" s="4"/>
      <c r="AJ44" s="76" t="str">
        <f>IF(E44="○",IF(COUNTA(E$13:E44)=1,"",",")&amp;D44,"")</f>
        <v/>
      </c>
      <c r="AK44" s="4"/>
      <c r="AL44" s="4"/>
      <c r="AM44" s="4"/>
      <c r="AN44" s="4"/>
      <c r="AO44" s="4"/>
      <c r="AP44" s="4"/>
      <c r="AQ44" s="4"/>
      <c r="AR44" s="4"/>
      <c r="AS44" s="76" t="str">
        <f>"COMMENT ON COLUMN "&amp;エンティティ一覧!$O$2&amp;"."&amp;D$8&amp;"."&amp;D44&amp;" IS '"&amp;C44&amp;"';"</f>
        <v>COMMENT ON COLUMN milscm_2023_009.sny_202310_base_merge_dpc_ff1.a000040_department_code IS '診療科コード';</v>
      </c>
    </row>
    <row r="45" spans="1:52" s="25" customFormat="1">
      <c r="A45" s="4"/>
      <c r="B45" s="21">
        <f t="shared" si="2"/>
        <v>33</v>
      </c>
      <c r="C45" s="13" t="s">
        <v>605</v>
      </c>
      <c r="D45" s="13" t="s">
        <v>606</v>
      </c>
      <c r="E45" s="7"/>
      <c r="F45" s="7" t="s">
        <v>317</v>
      </c>
      <c r="G45" s="7" t="str">
        <f t="shared" si="3"/>
        <v>text</v>
      </c>
      <c r="H45" s="58"/>
      <c r="I45" s="23"/>
      <c r="J45" s="24" t="s">
        <v>813</v>
      </c>
      <c r="N45" s="76"/>
      <c r="O45" s="76"/>
      <c r="P45" s="76" t="str">
        <f t="shared" si="7"/>
        <v>,a000040_tenka_flag</v>
      </c>
      <c r="Q45" s="76" t="str">
        <f t="shared" si="8"/>
        <v>TEXT</v>
      </c>
      <c r="R45" s="76" t="str">
        <f t="shared" si="9"/>
        <v/>
      </c>
      <c r="S45" s="76" t="str">
        <f t="shared" si="10"/>
        <v/>
      </c>
      <c r="T45" s="76" t="str">
        <f t="shared" si="11"/>
        <v>-- 転科の有無</v>
      </c>
      <c r="U45" s="4"/>
      <c r="AA45" s="4"/>
      <c r="AB45" s="4"/>
      <c r="AC45" s="4"/>
      <c r="AD45" s="4"/>
      <c r="AE45" s="4"/>
      <c r="AF45" s="4"/>
      <c r="AG45" s="4"/>
      <c r="AH45" s="4"/>
      <c r="AI45" s="4"/>
      <c r="AJ45" s="76" t="str">
        <f>IF(E45="○",IF(COUNTA(E$13:E45)=1,"",",")&amp;D45,"")</f>
        <v/>
      </c>
      <c r="AK45" s="4"/>
      <c r="AL45" s="4"/>
      <c r="AM45" s="4"/>
      <c r="AN45" s="4"/>
      <c r="AO45" s="4"/>
      <c r="AP45" s="4"/>
      <c r="AQ45" s="4"/>
      <c r="AR45" s="4"/>
      <c r="AS45" s="76" t="str">
        <f>"COMMENT ON COLUMN "&amp;エンティティ一覧!$O$2&amp;"."&amp;D$8&amp;"."&amp;D45&amp;" IS '"&amp;C45&amp;"';"</f>
        <v>COMMENT ON COLUMN milscm_2023_009.sny_202310_base_merge_dpc_ff1.a000040_tenka_flag IS '転科の有無';</v>
      </c>
    </row>
    <row r="46" spans="1:52" s="25" customFormat="1" ht="30">
      <c r="A46" s="4"/>
      <c r="B46" s="21">
        <f t="shared" si="2"/>
        <v>34</v>
      </c>
      <c r="C46" s="6" t="s">
        <v>607</v>
      </c>
      <c r="D46" s="6" t="s">
        <v>608</v>
      </c>
      <c r="E46" s="8"/>
      <c r="F46" s="7" t="s">
        <v>317</v>
      </c>
      <c r="G46" s="7" t="str">
        <f t="shared" si="3"/>
        <v>text</v>
      </c>
      <c r="H46" s="58"/>
      <c r="I46" s="23"/>
      <c r="J46" s="24"/>
      <c r="N46" s="76"/>
      <c r="O46" s="76"/>
      <c r="P46" s="76" t="str">
        <f t="shared" si="7"/>
        <v>,a000050_ippan_ward_flag</v>
      </c>
      <c r="Q46" s="76" t="str">
        <f t="shared" si="8"/>
        <v>TEXT</v>
      </c>
      <c r="R46" s="76" t="str">
        <f t="shared" si="9"/>
        <v/>
      </c>
      <c r="S46" s="76" t="str">
        <f t="shared" si="10"/>
        <v/>
      </c>
      <c r="T46" s="76" t="str">
        <f t="shared" si="11"/>
        <v>-- 調査対象となる一般病棟への入院の有無</v>
      </c>
      <c r="U46" s="4"/>
      <c r="AA46" s="4"/>
      <c r="AB46" s="4"/>
      <c r="AC46" s="4"/>
      <c r="AD46" s="4"/>
      <c r="AE46" s="4"/>
      <c r="AF46" s="4"/>
      <c r="AG46" s="4"/>
      <c r="AH46" s="4"/>
      <c r="AI46" s="4"/>
      <c r="AJ46" s="76" t="str">
        <f>IF(E46="○",IF(COUNTA(E$13:E46)=1,"",",")&amp;D46,"")</f>
        <v/>
      </c>
      <c r="AK46" s="4"/>
      <c r="AL46" s="4"/>
      <c r="AM46" s="4"/>
      <c r="AN46" s="4"/>
      <c r="AO46" s="4"/>
      <c r="AP46" s="4"/>
      <c r="AQ46" s="4"/>
      <c r="AR46" s="4"/>
      <c r="AS46" s="76" t="str">
        <f>"COMMENT ON COLUMN "&amp;エンティティ一覧!$O$2&amp;"."&amp;D$8&amp;"."&amp;D46&amp;" IS '"&amp;C46&amp;"';"</f>
        <v>COMMENT ON COLUMN milscm_2023_009.sny_202310_base_merge_dpc_ff1.a000050_ippan_ward_flag IS '調査対象となる一般病棟への入院の有無';</v>
      </c>
      <c r="AT46" s="4"/>
      <c r="AU46" s="4"/>
    </row>
    <row r="47" spans="1:52" s="25" customFormat="1" ht="30">
      <c r="A47" s="4"/>
      <c r="B47" s="21">
        <f t="shared" si="2"/>
        <v>35</v>
      </c>
      <c r="C47" s="13" t="s">
        <v>609</v>
      </c>
      <c r="D47" s="13" t="s">
        <v>610</v>
      </c>
      <c r="E47" s="7"/>
      <c r="F47" s="7" t="s">
        <v>317</v>
      </c>
      <c r="G47" s="7" t="str">
        <f t="shared" si="3"/>
        <v>text</v>
      </c>
      <c r="H47" s="26"/>
      <c r="I47" s="10"/>
      <c r="J47" s="11"/>
      <c r="L47" s="4"/>
      <c r="N47" s="76"/>
      <c r="O47" s="76"/>
      <c r="P47" s="76" t="str">
        <f t="shared" si="7"/>
        <v>,a000050_seishin_ward_flag</v>
      </c>
      <c r="Q47" s="76" t="str">
        <f t="shared" si="8"/>
        <v>TEXT</v>
      </c>
      <c r="R47" s="76" t="str">
        <f t="shared" si="9"/>
        <v/>
      </c>
      <c r="S47" s="76" t="str">
        <f t="shared" si="10"/>
        <v/>
      </c>
      <c r="T47" s="76" t="str">
        <f t="shared" si="11"/>
        <v>-- 調査対象となる精神病棟への入院の有無</v>
      </c>
      <c r="U47" s="4"/>
      <c r="AA47" s="4"/>
      <c r="AB47" s="4"/>
      <c r="AC47" s="4"/>
      <c r="AD47" s="4"/>
      <c r="AE47" s="4"/>
      <c r="AF47" s="4"/>
      <c r="AG47" s="4"/>
      <c r="AH47" s="4"/>
      <c r="AI47" s="4"/>
      <c r="AJ47" s="76" t="str">
        <f>IF(E47="○",IF(COUNTA(E$13:E47)=1,"",",")&amp;D47,"")</f>
        <v/>
      </c>
      <c r="AK47" s="4"/>
      <c r="AL47" s="4"/>
      <c r="AM47" s="4"/>
      <c r="AN47" s="4"/>
      <c r="AO47" s="4"/>
      <c r="AP47" s="4"/>
      <c r="AQ47" s="4"/>
      <c r="AR47" s="4"/>
      <c r="AS47" s="76" t="str">
        <f>"COMMENT ON COLUMN "&amp;エンティティ一覧!$O$2&amp;"."&amp;D$8&amp;"."&amp;D47&amp;" IS '"&amp;C47&amp;"';"</f>
        <v>COMMENT ON COLUMN milscm_2023_009.sny_202310_base_merge_dpc_ff1.a000050_seishin_ward_flag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611</v>
      </c>
      <c r="D48" s="13" t="s">
        <v>612</v>
      </c>
      <c r="E48" s="7"/>
      <c r="F48" s="7" t="s">
        <v>317</v>
      </c>
      <c r="G48" s="7" t="str">
        <f t="shared" si="3"/>
        <v>text</v>
      </c>
      <c r="H48" s="26"/>
      <c r="I48" s="10"/>
      <c r="J48" s="11"/>
      <c r="L48" s="4"/>
      <c r="N48" s="76"/>
      <c r="O48" s="76"/>
      <c r="P48" s="76" t="str">
        <f t="shared" si="7"/>
        <v>,a000050_other_ward_flag</v>
      </c>
      <c r="Q48" s="76" t="str">
        <f t="shared" si="8"/>
        <v>TEXT</v>
      </c>
      <c r="R48" s="76" t="str">
        <f t="shared" si="9"/>
        <v/>
      </c>
      <c r="S48" s="76" t="str">
        <f t="shared" si="10"/>
        <v/>
      </c>
      <c r="T48" s="76" t="str">
        <f t="shared" si="11"/>
        <v>-- 調査対象となるその他の病棟への入院の有無</v>
      </c>
      <c r="U48" s="4"/>
      <c r="AA48" s="4"/>
      <c r="AB48" s="4"/>
      <c r="AC48" s="4"/>
      <c r="AD48" s="4"/>
      <c r="AE48" s="4"/>
      <c r="AF48" s="4"/>
      <c r="AG48" s="4"/>
      <c r="AH48" s="4"/>
      <c r="AI48" s="4"/>
      <c r="AJ48" s="76" t="str">
        <f>IF(E48="○",IF(COUNTA(E$13:E48)=1,"",",")&amp;D48,"")</f>
        <v/>
      </c>
      <c r="AK48" s="4"/>
      <c r="AL48" s="4"/>
      <c r="AM48" s="4"/>
      <c r="AN48" s="4"/>
      <c r="AO48" s="4"/>
      <c r="AP48" s="4"/>
      <c r="AQ48" s="4"/>
      <c r="AR48" s="4"/>
      <c r="AS48" s="76" t="str">
        <f>"COMMENT ON COLUMN "&amp;エンティティ一覧!$O$2&amp;"."&amp;D$8&amp;"."&amp;D48&amp;" IS '"&amp;C48&amp;"';"</f>
        <v>COMMENT ON COLUMN milscm_2023_009.sny_202310_base_merge_dpc_ff1.a000050_other_ward_flag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613</v>
      </c>
      <c r="D49" s="13" t="s">
        <v>614</v>
      </c>
      <c r="E49" s="7"/>
      <c r="F49" s="7" t="s">
        <v>317</v>
      </c>
      <c r="G49" s="7" t="str">
        <f t="shared" si="3"/>
        <v>text</v>
      </c>
      <c r="H49" s="58"/>
      <c r="I49" s="23"/>
      <c r="J49" s="24" t="s">
        <v>818</v>
      </c>
      <c r="L49" s="4"/>
      <c r="N49" s="76"/>
      <c r="O49" s="76"/>
      <c r="P49" s="76" t="str">
        <f t="shared" si="7"/>
        <v>,a000060_shinryo_purpose</v>
      </c>
      <c r="Q49" s="76" t="str">
        <f t="shared" si="8"/>
        <v>TEXT</v>
      </c>
      <c r="R49" s="76" t="str">
        <f t="shared" si="9"/>
        <v/>
      </c>
      <c r="S49" s="76" t="str">
        <f t="shared" si="10"/>
        <v/>
      </c>
      <c r="T49" s="76" t="str">
        <f t="shared" si="11"/>
        <v>-- 入院中の主な診療目的</v>
      </c>
      <c r="U49" s="4"/>
      <c r="AA49" s="4"/>
      <c r="AB49" s="4"/>
      <c r="AC49" s="4"/>
      <c r="AD49" s="4"/>
      <c r="AE49" s="4"/>
      <c r="AF49" s="4"/>
      <c r="AG49" s="4"/>
      <c r="AH49" s="4"/>
      <c r="AI49" s="4"/>
      <c r="AJ49" s="76" t="str">
        <f>IF(E49="○",IF(COUNTA(E$13:E49)=1,"",",")&amp;D49,"")</f>
        <v/>
      </c>
      <c r="AK49" s="4"/>
      <c r="AL49" s="4"/>
      <c r="AM49" s="4"/>
      <c r="AN49" s="4"/>
      <c r="AO49" s="4"/>
      <c r="AP49" s="4"/>
      <c r="AQ49" s="4"/>
      <c r="AR49" s="4"/>
      <c r="AS49" s="76" t="str">
        <f>"COMMENT ON COLUMN "&amp;エンティティ一覧!$O$2&amp;"."&amp;D$8&amp;"."&amp;D49&amp;" IS '"&amp;C49&amp;"';"</f>
        <v>COMMENT ON COLUMN milscm_2023_009.sny_202310_base_merge_dpc_ff1.a000060_shinryo_purpose IS '入院中の主な診療目的';</v>
      </c>
      <c r="AT49" s="4"/>
      <c r="AU49" s="4"/>
      <c r="AV49" s="4"/>
      <c r="AW49" s="4"/>
      <c r="AX49" s="4"/>
      <c r="AY49" s="4"/>
      <c r="AZ49" s="4"/>
    </row>
    <row r="50" spans="1:52" s="25" customFormat="1">
      <c r="A50" s="4"/>
      <c r="B50" s="21">
        <f t="shared" si="2"/>
        <v>38</v>
      </c>
      <c r="C50" s="6" t="s">
        <v>615</v>
      </c>
      <c r="D50" s="6" t="s">
        <v>616</v>
      </c>
      <c r="E50" s="8"/>
      <c r="F50" s="7" t="s">
        <v>317</v>
      </c>
      <c r="G50" s="7" t="str">
        <f t="shared" si="3"/>
        <v>text</v>
      </c>
      <c r="H50" s="26"/>
      <c r="I50" s="10"/>
      <c r="J50" s="11" t="s">
        <v>813</v>
      </c>
      <c r="L50" s="4"/>
      <c r="N50" s="76"/>
      <c r="O50" s="76"/>
      <c r="P50" s="76" t="str">
        <f t="shared" si="7"/>
        <v>,a000060_trial_flag</v>
      </c>
      <c r="Q50" s="76" t="str">
        <f t="shared" si="8"/>
        <v>TEXT</v>
      </c>
      <c r="R50" s="76" t="str">
        <f t="shared" si="9"/>
        <v/>
      </c>
      <c r="S50" s="76" t="str">
        <f t="shared" si="10"/>
        <v/>
      </c>
      <c r="T50" s="76" t="str">
        <f t="shared" si="11"/>
        <v>-- 治験実施の有無</v>
      </c>
      <c r="U50" s="4"/>
      <c r="AA50" s="4"/>
      <c r="AB50" s="4"/>
      <c r="AC50" s="4"/>
      <c r="AD50" s="4"/>
      <c r="AE50" s="4"/>
      <c r="AF50" s="4"/>
      <c r="AG50" s="4"/>
      <c r="AH50" s="4"/>
      <c r="AI50" s="4"/>
      <c r="AJ50" s="76" t="str">
        <f>IF(E50="○",IF(COUNTA(E$13:E50)=1,"",",")&amp;D50,"")</f>
        <v/>
      </c>
      <c r="AK50" s="4"/>
      <c r="AL50" s="4"/>
      <c r="AM50" s="4"/>
      <c r="AN50" s="4"/>
      <c r="AO50" s="4"/>
      <c r="AP50" s="4"/>
      <c r="AQ50" s="4"/>
      <c r="AR50" s="4"/>
      <c r="AS50" s="76" t="str">
        <f>"COMMENT ON COLUMN "&amp;エンティティ一覧!$O$2&amp;"."&amp;D$8&amp;"."&amp;D50&amp;" IS '"&amp;C50&amp;"';"</f>
        <v>COMMENT ON COLUMN milscm_2023_009.sny_202310_base_merge_dpc_ff1.a000060_trial_flag IS '治験実施の有無';</v>
      </c>
      <c r="AT50" s="4"/>
      <c r="AU50" s="4"/>
      <c r="AV50" s="4"/>
      <c r="AW50" s="4"/>
      <c r="AX50" s="4"/>
      <c r="AY50" s="4"/>
      <c r="AZ50" s="4"/>
    </row>
    <row r="51" spans="1:52" s="25" customFormat="1">
      <c r="A51" s="4"/>
      <c r="B51" s="21">
        <f t="shared" si="2"/>
        <v>39</v>
      </c>
      <c r="C51" s="13" t="s">
        <v>617</v>
      </c>
      <c r="D51" s="13" t="s">
        <v>618</v>
      </c>
      <c r="E51" s="7"/>
      <c r="F51" s="7" t="s">
        <v>317</v>
      </c>
      <c r="G51" s="7" t="str">
        <f t="shared" si="3"/>
        <v>text</v>
      </c>
      <c r="H51" s="58"/>
      <c r="I51" s="23"/>
      <c r="J51" s="24" t="s">
        <v>144</v>
      </c>
      <c r="L51" s="4"/>
      <c r="N51" s="76"/>
      <c r="O51" s="76"/>
      <c r="P51" s="76" t="str">
        <f t="shared" si="7"/>
        <v>,a000070_zentaiin_ymd</v>
      </c>
      <c r="Q51" s="76" t="str">
        <f t="shared" si="8"/>
        <v>TEXT</v>
      </c>
      <c r="R51" s="76" t="str">
        <f t="shared" si="9"/>
        <v/>
      </c>
      <c r="S51" s="76" t="str">
        <f t="shared" si="10"/>
        <v/>
      </c>
      <c r="T51" s="76" t="str">
        <f t="shared" si="11"/>
        <v>-- 前回退院年月日</v>
      </c>
      <c r="U51" s="4"/>
      <c r="AA51" s="4"/>
      <c r="AB51" s="4"/>
      <c r="AC51" s="4"/>
      <c r="AD51" s="4"/>
      <c r="AE51" s="4"/>
      <c r="AF51" s="4"/>
      <c r="AG51" s="4"/>
      <c r="AH51" s="4"/>
      <c r="AI51" s="4"/>
      <c r="AJ51" s="76" t="str">
        <f>IF(E51="○",IF(COUNTA(E$13:E51)=1,"",",")&amp;D51,"")</f>
        <v/>
      </c>
      <c r="AK51" s="4"/>
      <c r="AL51" s="4"/>
      <c r="AM51" s="4"/>
      <c r="AN51" s="4"/>
      <c r="AO51" s="4"/>
      <c r="AP51" s="4"/>
      <c r="AQ51" s="4"/>
      <c r="AR51" s="4"/>
      <c r="AS51" s="76" t="str">
        <f>"COMMENT ON COLUMN "&amp;エンティティ一覧!$O$2&amp;"."&amp;D$8&amp;"."&amp;D51&amp;" IS '"&amp;C51&amp;"';"</f>
        <v>COMMENT ON COLUMN milscm_2023_009.sny_202310_base_merge_dpc_ff1.a000070_zentaiin_ymd IS '前回退院年月日';</v>
      </c>
      <c r="AT51" s="4"/>
      <c r="AU51" s="4"/>
      <c r="AV51" s="4"/>
      <c r="AW51" s="4"/>
      <c r="AX51" s="4"/>
      <c r="AY51" s="4"/>
      <c r="AZ51" s="4"/>
    </row>
    <row r="52" spans="1:52" s="25" customFormat="1" ht="30">
      <c r="A52" s="4"/>
      <c r="B52" s="21">
        <f t="shared" si="2"/>
        <v>40</v>
      </c>
      <c r="C52" s="6" t="s">
        <v>619</v>
      </c>
      <c r="D52" s="6" t="s">
        <v>620</v>
      </c>
      <c r="E52" s="8"/>
      <c r="F52" s="7" t="s">
        <v>317</v>
      </c>
      <c r="G52" s="7" t="str">
        <f t="shared" si="3"/>
        <v>text</v>
      </c>
      <c r="H52" s="26"/>
      <c r="I52" s="10"/>
      <c r="J52" s="11" t="s">
        <v>144</v>
      </c>
      <c r="L52" s="4"/>
      <c r="N52" s="76"/>
      <c r="O52" s="76"/>
      <c r="P52" s="76" t="str">
        <f t="shared" si="7"/>
        <v>,a000070_same_jiin_nyuin_flag</v>
      </c>
      <c r="Q52" s="76" t="str">
        <f t="shared" si="8"/>
        <v>TEXT</v>
      </c>
      <c r="R52" s="76" t="str">
        <f t="shared" si="9"/>
        <v/>
      </c>
      <c r="S52" s="76" t="str">
        <f t="shared" si="10"/>
        <v/>
      </c>
      <c r="T52" s="76" t="str">
        <f t="shared" si="11"/>
        <v>-- 前回同一傷病で自院入院の有無</v>
      </c>
      <c r="U52" s="4"/>
      <c r="AA52" s="4"/>
      <c r="AB52" s="4"/>
      <c r="AC52" s="4"/>
      <c r="AD52" s="4"/>
      <c r="AE52" s="4"/>
      <c r="AF52" s="4"/>
      <c r="AG52" s="4"/>
      <c r="AH52" s="4"/>
      <c r="AI52" s="4"/>
      <c r="AJ52" s="76" t="str">
        <f>IF(E52="○",IF(COUNTA(E$13:E52)=1,"",",")&amp;D52,"")</f>
        <v/>
      </c>
      <c r="AK52" s="4"/>
      <c r="AL52" s="4"/>
      <c r="AM52" s="4"/>
      <c r="AN52" s="4"/>
      <c r="AO52" s="4"/>
      <c r="AP52" s="4"/>
      <c r="AQ52" s="4"/>
      <c r="AR52" s="4"/>
      <c r="AS52" s="76" t="str">
        <f>"COMMENT ON COLUMN "&amp;エンティティ一覧!$O$2&amp;"."&amp;D$8&amp;"."&amp;D52&amp;" IS '"&amp;C52&amp;"';"</f>
        <v>COMMENT ON COLUMN milscm_2023_009.sny_202310_base_merge_dpc_ff1.a000070_same_jiin_nyuin_flag IS '前回同一傷病で自院入院の有無';</v>
      </c>
      <c r="AT52" s="4"/>
      <c r="AU52" s="4"/>
      <c r="AV52" s="4"/>
      <c r="AW52" s="4"/>
      <c r="AX52" s="4"/>
      <c r="AY52" s="4"/>
      <c r="AZ52" s="4"/>
    </row>
    <row r="53" spans="1:52" s="25" customFormat="1">
      <c r="A53" s="4"/>
      <c r="B53" s="21">
        <f t="shared" si="2"/>
        <v>41</v>
      </c>
      <c r="C53" s="13" t="s">
        <v>621</v>
      </c>
      <c r="D53" s="13" t="s">
        <v>622</v>
      </c>
      <c r="E53" s="7"/>
      <c r="F53" s="7" t="s">
        <v>317</v>
      </c>
      <c r="G53" s="7" t="str">
        <f t="shared" si="3"/>
        <v>text</v>
      </c>
      <c r="H53" s="58"/>
      <c r="I53" s="23"/>
      <c r="J53" s="24" t="s">
        <v>819</v>
      </c>
      <c r="L53" s="4"/>
      <c r="M53" s="4"/>
      <c r="N53" s="76"/>
      <c r="O53" s="76"/>
      <c r="P53" s="76" t="str">
        <f t="shared" si="7"/>
        <v>,a000080_sai_nyuin_type</v>
      </c>
      <c r="Q53" s="76" t="str">
        <f t="shared" si="8"/>
        <v>TEXT</v>
      </c>
      <c r="R53" s="76" t="str">
        <f t="shared" si="9"/>
        <v/>
      </c>
      <c r="S53" s="76" t="str">
        <f t="shared" si="10"/>
        <v/>
      </c>
      <c r="T53" s="76" t="str">
        <f t="shared" si="11"/>
        <v>-- 再入院種別</v>
      </c>
      <c r="U53" s="4"/>
      <c r="AA53" s="4"/>
      <c r="AB53" s="4"/>
      <c r="AC53" s="4"/>
      <c r="AD53" s="4"/>
      <c r="AE53" s="4"/>
      <c r="AF53" s="4"/>
      <c r="AG53" s="4"/>
      <c r="AH53" s="4"/>
      <c r="AI53" s="4"/>
      <c r="AJ53" s="76" t="str">
        <f>IF(E53="○",IF(COUNTA(E$13:E53)=1,"",",")&amp;D53,"")</f>
        <v/>
      </c>
      <c r="AK53" s="4"/>
      <c r="AL53" s="4"/>
      <c r="AM53" s="4"/>
      <c r="AN53" s="4"/>
      <c r="AO53" s="4"/>
      <c r="AP53" s="4"/>
      <c r="AQ53" s="4"/>
      <c r="AR53" s="4"/>
      <c r="AS53" s="76" t="str">
        <f>"COMMENT ON COLUMN "&amp;エンティティ一覧!$O$2&amp;"."&amp;D$8&amp;"."&amp;D53&amp;" IS '"&amp;C53&amp;"';"</f>
        <v>COMMENT ON COLUMN milscm_2023_009.sny_202310_base_merge_dpc_ff1.a000080_sai_nyuin_type IS '再入院種別';</v>
      </c>
      <c r="AT53" s="4"/>
      <c r="AU53" s="4"/>
      <c r="AV53" s="4"/>
      <c r="AW53" s="4"/>
      <c r="AX53" s="4"/>
      <c r="AY53" s="4"/>
      <c r="AZ53" s="4"/>
    </row>
    <row r="54" spans="1:52" s="25" customFormat="1">
      <c r="A54" s="4"/>
      <c r="B54" s="21">
        <f t="shared" si="2"/>
        <v>42</v>
      </c>
      <c r="C54" s="6" t="s">
        <v>623</v>
      </c>
      <c r="D54" s="6" t="s">
        <v>624</v>
      </c>
      <c r="E54" s="8"/>
      <c r="F54" s="7" t="s">
        <v>317</v>
      </c>
      <c r="G54" s="7" t="str">
        <f t="shared" si="3"/>
        <v>text</v>
      </c>
      <c r="H54" s="26"/>
      <c r="I54" s="10"/>
      <c r="J54" s="11"/>
      <c r="L54" s="4"/>
      <c r="M54" s="4"/>
      <c r="N54" s="76"/>
      <c r="O54" s="76"/>
      <c r="P54" s="76" t="str">
        <f t="shared" si="7"/>
        <v>,a000080_riyu_type</v>
      </c>
      <c r="Q54" s="76" t="str">
        <f t="shared" si="8"/>
        <v>TEXT</v>
      </c>
      <c r="R54" s="76" t="str">
        <f t="shared" si="9"/>
        <v/>
      </c>
      <c r="S54" s="76" t="str">
        <f t="shared" si="10"/>
        <v/>
      </c>
      <c r="T54" s="76" t="str">
        <f t="shared" si="11"/>
        <v>-- 理由の種別</v>
      </c>
      <c r="U54" s="4"/>
      <c r="AA54" s="4"/>
      <c r="AB54" s="4"/>
      <c r="AC54" s="4"/>
      <c r="AD54" s="4"/>
      <c r="AE54" s="4"/>
      <c r="AF54" s="4"/>
      <c r="AG54" s="4"/>
      <c r="AH54" s="4"/>
      <c r="AI54" s="4"/>
      <c r="AJ54" s="76" t="str">
        <f>IF(E54="○",IF(COUNTA(E$13:E54)=1,"",",")&amp;D54,"")</f>
        <v/>
      </c>
      <c r="AK54" s="4"/>
      <c r="AL54" s="4"/>
      <c r="AM54" s="4"/>
      <c r="AN54" s="4"/>
      <c r="AO54" s="4"/>
      <c r="AP54" s="4"/>
      <c r="AQ54" s="4"/>
      <c r="AR54" s="4"/>
      <c r="AS54" s="76" t="str">
        <f>"COMMENT ON COLUMN "&amp;エンティティ一覧!$O$2&amp;"."&amp;D$8&amp;"."&amp;D54&amp;" IS '"&amp;C54&amp;"';"</f>
        <v>COMMENT ON COLUMN milscm_2023_009.sny_202310_base_merge_dpc_ff1.a000080_riyu_type IS '理由の種別';</v>
      </c>
      <c r="AT54" s="4"/>
      <c r="AU54" s="4"/>
      <c r="AV54" s="4"/>
      <c r="AW54" s="4"/>
      <c r="AX54" s="4"/>
      <c r="AY54" s="4"/>
      <c r="AZ54" s="4"/>
    </row>
    <row r="55" spans="1:52" s="25" customFormat="1">
      <c r="A55" s="4"/>
      <c r="B55" s="21">
        <f t="shared" si="2"/>
        <v>43</v>
      </c>
      <c r="C55" s="6" t="s">
        <v>625</v>
      </c>
      <c r="D55" s="6" t="s">
        <v>626</v>
      </c>
      <c r="E55" s="8"/>
      <c r="F55" s="7" t="s">
        <v>317</v>
      </c>
      <c r="G55" s="7" t="str">
        <f t="shared" si="3"/>
        <v>text</v>
      </c>
      <c r="H55" s="58"/>
      <c r="I55" s="23"/>
      <c r="J55" s="24" t="s">
        <v>820</v>
      </c>
      <c r="L55" s="4"/>
      <c r="M55" s="4"/>
      <c r="N55" s="76"/>
      <c r="O55" s="76"/>
      <c r="P55" s="76" t="str">
        <f t="shared" si="7"/>
        <v>,a000080_free_entry</v>
      </c>
      <c r="Q55" s="76" t="str">
        <f t="shared" si="8"/>
        <v>TEXT</v>
      </c>
      <c r="R55" s="76" t="str">
        <f t="shared" si="9"/>
        <v/>
      </c>
      <c r="S55" s="76" t="str">
        <f t="shared" si="10"/>
        <v/>
      </c>
      <c r="T55" s="76" t="str">
        <f t="shared" si="11"/>
        <v>-- 自由記載欄</v>
      </c>
      <c r="U55" s="4"/>
      <c r="AA55" s="4"/>
      <c r="AB55" s="4"/>
      <c r="AC55" s="4"/>
      <c r="AD55" s="4"/>
      <c r="AE55" s="4"/>
      <c r="AF55" s="4"/>
      <c r="AG55" s="4"/>
      <c r="AH55" s="4"/>
      <c r="AI55" s="4"/>
      <c r="AJ55" s="76" t="str">
        <f>IF(E55="○",IF(COUNTA(E$13:E55)=1,"",",")&amp;D55,"")</f>
        <v/>
      </c>
      <c r="AK55" s="4"/>
      <c r="AL55" s="4"/>
      <c r="AM55" s="4"/>
      <c r="AN55" s="4"/>
      <c r="AO55" s="4"/>
      <c r="AP55" s="4"/>
      <c r="AQ55" s="4"/>
      <c r="AR55" s="4"/>
      <c r="AS55" s="76" t="str">
        <f>"COMMENT ON COLUMN "&amp;エンティティ一覧!$O$2&amp;"."&amp;D$8&amp;"."&amp;D55&amp;" IS '"&amp;C55&amp;"';"</f>
        <v>COMMENT ON COLUMN milscm_2023_009.sny_202310_base_merge_dpc_ff1.a000080_free_entry IS '自由記載欄';</v>
      </c>
      <c r="AT55" s="4"/>
      <c r="AU55" s="4"/>
      <c r="AV55" s="4"/>
      <c r="AW55" s="4"/>
      <c r="AX55" s="4"/>
      <c r="AY55" s="4"/>
      <c r="AZ55" s="4"/>
    </row>
    <row r="56" spans="1:52" s="25" customFormat="1">
      <c r="A56" s="4"/>
      <c r="B56" s="21">
        <f t="shared" si="2"/>
        <v>44</v>
      </c>
      <c r="C56" s="13" t="s">
        <v>627</v>
      </c>
      <c r="D56" s="13" t="s">
        <v>628</v>
      </c>
      <c r="E56" s="7"/>
      <c r="F56" s="7" t="s">
        <v>317</v>
      </c>
      <c r="G56" s="7" t="str">
        <f t="shared" si="3"/>
        <v>text</v>
      </c>
      <c r="H56" s="26"/>
      <c r="I56" s="10"/>
      <c r="J56" s="11" t="s">
        <v>821</v>
      </c>
      <c r="L56" s="4"/>
      <c r="M56" s="4"/>
      <c r="N56" s="76"/>
      <c r="O56" s="76"/>
      <c r="P56" s="76" t="str">
        <f t="shared" si="7"/>
        <v>,a000090_sai_tento_type</v>
      </c>
      <c r="Q56" s="76" t="str">
        <f t="shared" si="8"/>
        <v>TEXT</v>
      </c>
      <c r="R56" s="76" t="str">
        <f t="shared" si="9"/>
        <v/>
      </c>
      <c r="S56" s="76" t="str">
        <f t="shared" si="10"/>
        <v/>
      </c>
      <c r="T56" s="76" t="str">
        <f t="shared" si="11"/>
        <v>-- 再転棟種別</v>
      </c>
      <c r="U56" s="4"/>
      <c r="AA56" s="4"/>
      <c r="AB56" s="4"/>
      <c r="AC56" s="4"/>
      <c r="AD56" s="4"/>
      <c r="AE56" s="4"/>
      <c r="AF56" s="4"/>
      <c r="AG56" s="4"/>
      <c r="AH56" s="4"/>
      <c r="AI56" s="4"/>
      <c r="AJ56" s="76" t="str">
        <f>IF(E56="○",IF(COUNTA(E$13:E56)=1,"",",")&amp;D56,"")</f>
        <v/>
      </c>
      <c r="AK56" s="4"/>
      <c r="AL56" s="4"/>
      <c r="AM56" s="4"/>
      <c r="AN56" s="4"/>
      <c r="AO56" s="4"/>
      <c r="AP56" s="4"/>
      <c r="AQ56" s="4"/>
      <c r="AR56" s="4"/>
      <c r="AS56" s="76" t="str">
        <f>"COMMENT ON COLUMN "&amp;エンティティ一覧!$O$2&amp;"."&amp;D$8&amp;"."&amp;D56&amp;" IS '"&amp;C56&amp;"';"</f>
        <v>COMMENT ON COLUMN milscm_2023_009.sny_202310_base_merge_dpc_ff1.a000090_sai_tento_type IS '再転棟種別';</v>
      </c>
      <c r="AT56" s="4"/>
      <c r="AU56" s="4"/>
      <c r="AV56" s="4"/>
      <c r="AW56" s="4"/>
      <c r="AX56" s="4"/>
      <c r="AY56" s="4"/>
      <c r="AZ56" s="4"/>
    </row>
    <row r="57" spans="1:52" s="25" customFormat="1">
      <c r="A57" s="4"/>
      <c r="B57" s="21">
        <f t="shared" si="2"/>
        <v>45</v>
      </c>
      <c r="C57" s="6" t="s">
        <v>623</v>
      </c>
      <c r="D57" s="6" t="s">
        <v>629</v>
      </c>
      <c r="E57" s="8"/>
      <c r="F57" s="7" t="s">
        <v>317</v>
      </c>
      <c r="G57" s="7" t="str">
        <f t="shared" si="3"/>
        <v>text</v>
      </c>
      <c r="H57" s="58"/>
      <c r="I57" s="23"/>
      <c r="J57" s="24"/>
      <c r="L57" s="4"/>
      <c r="M57" s="4"/>
      <c r="N57" s="76"/>
      <c r="O57" s="76"/>
      <c r="P57" s="76" t="str">
        <f t="shared" si="7"/>
        <v>,a000090_riyu_type</v>
      </c>
      <c r="Q57" s="76" t="str">
        <f t="shared" si="8"/>
        <v>TEXT</v>
      </c>
      <c r="R57" s="76" t="str">
        <f t="shared" si="9"/>
        <v/>
      </c>
      <c r="S57" s="76" t="str">
        <f t="shared" si="10"/>
        <v/>
      </c>
      <c r="T57" s="76" t="str">
        <f t="shared" si="11"/>
        <v>-- 理由の種別</v>
      </c>
      <c r="U57" s="4"/>
      <c r="AA57" s="4"/>
      <c r="AB57" s="4"/>
      <c r="AC57" s="4"/>
      <c r="AD57" s="4"/>
      <c r="AE57" s="4"/>
      <c r="AF57" s="4"/>
      <c r="AG57" s="4"/>
      <c r="AH57" s="4"/>
      <c r="AI57" s="4"/>
      <c r="AJ57" s="76" t="str">
        <f>IF(E57="○",IF(COUNTA(E$13:E57)=1,"",",")&amp;D57,"")</f>
        <v/>
      </c>
      <c r="AK57" s="4"/>
      <c r="AL57" s="4"/>
      <c r="AM57" s="4"/>
      <c r="AN57" s="4"/>
      <c r="AO57" s="4"/>
      <c r="AP57" s="4"/>
      <c r="AQ57" s="4"/>
      <c r="AR57" s="4"/>
      <c r="AS57" s="76" t="str">
        <f>"COMMENT ON COLUMN "&amp;エンティティ一覧!$O$2&amp;"."&amp;D$8&amp;"."&amp;D57&amp;" IS '"&amp;C57&amp;"';"</f>
        <v>COMMENT ON COLUMN milscm_2023_009.sny_202310_base_merge_dpc_ff1.a000090_riyu_type IS '理由の種別';</v>
      </c>
      <c r="AT57" s="4"/>
      <c r="AU57" s="4"/>
      <c r="AV57" s="4"/>
      <c r="AW57" s="4"/>
      <c r="AX57" s="4"/>
      <c r="AY57" s="4"/>
      <c r="AZ57" s="4"/>
    </row>
    <row r="58" spans="1:52" s="25" customFormat="1">
      <c r="A58" s="4"/>
      <c r="B58" s="21">
        <f t="shared" si="2"/>
        <v>46</v>
      </c>
      <c r="C58" s="13" t="s">
        <v>625</v>
      </c>
      <c r="D58" s="13" t="s">
        <v>630</v>
      </c>
      <c r="E58" s="7"/>
      <c r="F58" s="7" t="s">
        <v>317</v>
      </c>
      <c r="G58" s="7" t="str">
        <f t="shared" si="3"/>
        <v>text</v>
      </c>
      <c r="H58" s="58"/>
      <c r="I58" s="23"/>
      <c r="J58" s="24" t="s">
        <v>820</v>
      </c>
      <c r="L58" s="4"/>
      <c r="M58" s="4"/>
      <c r="N58" s="76"/>
      <c r="O58" s="76"/>
      <c r="P58" s="76" t="str">
        <f t="shared" si="7"/>
        <v>,a000090_free_entry</v>
      </c>
      <c r="Q58" s="76" t="str">
        <f t="shared" si="8"/>
        <v>TEXT</v>
      </c>
      <c r="R58" s="76" t="str">
        <f t="shared" si="9"/>
        <v/>
      </c>
      <c r="S58" s="76" t="str">
        <f t="shared" si="10"/>
        <v/>
      </c>
      <c r="T58" s="76" t="str">
        <f t="shared" si="11"/>
        <v>-- 自由記載欄</v>
      </c>
      <c r="U58" s="4"/>
      <c r="AA58" s="4"/>
      <c r="AB58" s="4"/>
      <c r="AC58" s="4"/>
      <c r="AD58" s="4"/>
      <c r="AE58" s="4"/>
      <c r="AF58" s="4"/>
      <c r="AG58" s="4"/>
      <c r="AH58" s="4"/>
      <c r="AI58" s="4"/>
      <c r="AJ58" s="76" t="str">
        <f>IF(E58="○",IF(COUNTA(E$13:E58)=1,"",",")&amp;D58,"")</f>
        <v/>
      </c>
      <c r="AK58" s="4"/>
      <c r="AL58" s="4"/>
      <c r="AM58" s="4"/>
      <c r="AN58" s="4"/>
      <c r="AO58" s="4"/>
      <c r="AP58" s="4"/>
      <c r="AQ58" s="4"/>
      <c r="AR58" s="4"/>
      <c r="AS58" s="76" t="str">
        <f>"COMMENT ON COLUMN "&amp;エンティティ一覧!$O$2&amp;"."&amp;D$8&amp;"."&amp;D58&amp;" IS '"&amp;C58&amp;"';"</f>
        <v>COMMENT ON COLUMN milscm_2023_009.sny_202310_base_merge_dpc_ff1.a000090_free_entry IS '自由記載欄';</v>
      </c>
      <c r="AT58" s="4"/>
      <c r="AU58" s="4"/>
      <c r="AV58" s="4"/>
      <c r="AW58" s="4"/>
      <c r="AX58" s="4"/>
      <c r="AY58" s="4"/>
      <c r="AZ58" s="4"/>
    </row>
    <row r="59" spans="1:52" s="25" customFormat="1">
      <c r="A59" s="4"/>
      <c r="B59" s="21">
        <f t="shared" si="2"/>
        <v>47</v>
      </c>
      <c r="C59" s="6" t="s">
        <v>631</v>
      </c>
      <c r="D59" s="6" t="s">
        <v>632</v>
      </c>
      <c r="E59" s="8"/>
      <c r="F59" s="7" t="s">
        <v>317</v>
      </c>
      <c r="G59" s="7" t="str">
        <f t="shared" si="3"/>
        <v>text</v>
      </c>
      <c r="H59" s="26"/>
      <c r="I59" s="10"/>
      <c r="J59" s="11" t="s">
        <v>822</v>
      </c>
      <c r="L59" s="4"/>
      <c r="M59" s="4"/>
      <c r="N59" s="76"/>
      <c r="O59" s="76"/>
      <c r="P59" s="76" t="str">
        <f t="shared" si="7"/>
        <v>,a001010_height</v>
      </c>
      <c r="Q59" s="76" t="str">
        <f t="shared" si="8"/>
        <v>TEXT</v>
      </c>
      <c r="R59" s="76" t="str">
        <f t="shared" si="9"/>
        <v/>
      </c>
      <c r="S59" s="76" t="str">
        <f t="shared" si="10"/>
        <v/>
      </c>
      <c r="T59" s="76" t="str">
        <f t="shared" si="11"/>
        <v>-- 身長</v>
      </c>
      <c r="U59" s="4"/>
      <c r="AA59" s="4"/>
      <c r="AB59" s="4"/>
      <c r="AC59" s="4"/>
      <c r="AD59" s="4"/>
      <c r="AE59" s="4"/>
      <c r="AF59" s="4"/>
      <c r="AG59" s="4"/>
      <c r="AH59" s="4"/>
      <c r="AI59" s="4"/>
      <c r="AJ59" s="76" t="str">
        <f>IF(E59="○",IF(COUNTA(E$13:E59)=1,"",",")&amp;D59,"")</f>
        <v/>
      </c>
      <c r="AK59" s="4"/>
      <c r="AL59" s="4"/>
      <c r="AM59" s="4"/>
      <c r="AN59" s="4"/>
      <c r="AO59" s="4"/>
      <c r="AP59" s="4"/>
      <c r="AQ59" s="4"/>
      <c r="AR59" s="4"/>
      <c r="AS59" s="76" t="str">
        <f>"COMMENT ON COLUMN "&amp;エンティティ一覧!$O$2&amp;"."&amp;D$8&amp;"."&amp;D59&amp;" IS '"&amp;C59&amp;"';"</f>
        <v>COMMENT ON COLUMN milscm_2023_009.sny_202310_base_merge_dpc_ff1.a001010_height IS '身長';</v>
      </c>
      <c r="AT59" s="4"/>
      <c r="AU59" s="4"/>
      <c r="AV59" s="4"/>
      <c r="AW59" s="4"/>
      <c r="AX59" s="4"/>
      <c r="AY59" s="4"/>
      <c r="AZ59" s="4"/>
    </row>
    <row r="60" spans="1:52" s="25" customFormat="1" ht="34.799999999999997">
      <c r="A60" s="4"/>
      <c r="B60" s="21">
        <f t="shared" si="2"/>
        <v>48</v>
      </c>
      <c r="C60" s="13" t="s">
        <v>633</v>
      </c>
      <c r="D60" s="13" t="s">
        <v>634</v>
      </c>
      <c r="E60" s="7"/>
      <c r="F60" s="7" t="s">
        <v>317</v>
      </c>
      <c r="G60" s="7" t="str">
        <f t="shared" si="3"/>
        <v>text</v>
      </c>
      <c r="H60" s="26"/>
      <c r="I60" s="10"/>
      <c r="J60" s="11" t="s">
        <v>823</v>
      </c>
      <c r="L60" s="4"/>
      <c r="M60" s="4"/>
      <c r="N60" s="76"/>
      <c r="O60" s="76"/>
      <c r="P60" s="76" t="str">
        <f t="shared" si="7"/>
        <v>,a001010_weight</v>
      </c>
      <c r="Q60" s="76" t="str">
        <f t="shared" si="8"/>
        <v>TEXT</v>
      </c>
      <c r="R60" s="76" t="str">
        <f t="shared" si="9"/>
        <v/>
      </c>
      <c r="S60" s="76" t="str">
        <f t="shared" si="10"/>
        <v/>
      </c>
      <c r="T60" s="76" t="str">
        <f t="shared" si="11"/>
        <v>-- 体重</v>
      </c>
      <c r="U60" s="4"/>
      <c r="AA60" s="4"/>
      <c r="AB60" s="4"/>
      <c r="AC60" s="4"/>
      <c r="AD60" s="4"/>
      <c r="AE60" s="4"/>
      <c r="AF60" s="4"/>
      <c r="AG60" s="4"/>
      <c r="AH60" s="4"/>
      <c r="AI60" s="4"/>
      <c r="AJ60" s="76" t="str">
        <f>IF(E60="○",IF(COUNTA(E$13:E60)=1,"",",")&amp;D60,"")</f>
        <v/>
      </c>
      <c r="AK60" s="4"/>
      <c r="AL60" s="4"/>
      <c r="AM60" s="4"/>
      <c r="AN60" s="4"/>
      <c r="AO60" s="4"/>
      <c r="AP60" s="4"/>
      <c r="AQ60" s="4"/>
      <c r="AR60" s="4"/>
      <c r="AS60" s="76" t="str">
        <f>"COMMENT ON COLUMN "&amp;エンティティ一覧!$O$2&amp;"."&amp;D$8&amp;"."&amp;D60&amp;" IS '"&amp;C60&amp;"';"</f>
        <v>COMMENT ON COLUMN milscm_2023_009.sny_202310_base_merge_dpc_ff1.a001010_weight IS '体重';</v>
      </c>
      <c r="AT60" s="4"/>
      <c r="AU60" s="4"/>
      <c r="AV60" s="4"/>
      <c r="AW60" s="4"/>
      <c r="AX60" s="4"/>
      <c r="AY60" s="4"/>
      <c r="AZ60" s="4"/>
    </row>
    <row r="61" spans="1:52" s="25" customFormat="1">
      <c r="A61" s="4"/>
      <c r="B61" s="21">
        <f t="shared" si="2"/>
        <v>49</v>
      </c>
      <c r="C61" s="6" t="s">
        <v>635</v>
      </c>
      <c r="D61" s="6" t="s">
        <v>636</v>
      </c>
      <c r="E61" s="8"/>
      <c r="F61" s="7" t="s">
        <v>317</v>
      </c>
      <c r="G61" s="7" t="str">
        <f t="shared" si="3"/>
        <v>text</v>
      </c>
      <c r="H61" s="58"/>
      <c r="I61" s="23"/>
      <c r="J61" s="24" t="s">
        <v>824</v>
      </c>
      <c r="L61" s="4"/>
      <c r="M61" s="4"/>
      <c r="N61" s="76"/>
      <c r="O61" s="76"/>
      <c r="P61" s="76" t="str">
        <f t="shared" si="7"/>
        <v>,a001020_smoking</v>
      </c>
      <c r="Q61" s="76" t="str">
        <f t="shared" si="8"/>
        <v>TEXT</v>
      </c>
      <c r="R61" s="76" t="str">
        <f t="shared" si="9"/>
        <v/>
      </c>
      <c r="S61" s="76" t="str">
        <f t="shared" si="10"/>
        <v/>
      </c>
      <c r="T61" s="76" t="str">
        <f t="shared" si="11"/>
        <v>-- 喫煙指数</v>
      </c>
      <c r="U61" s="4"/>
      <c r="AA61" s="4"/>
      <c r="AB61" s="4"/>
      <c r="AC61" s="4"/>
      <c r="AD61" s="4"/>
      <c r="AE61" s="4"/>
      <c r="AF61" s="4"/>
      <c r="AG61" s="4"/>
      <c r="AH61" s="4"/>
      <c r="AI61" s="4"/>
      <c r="AJ61" s="76" t="str">
        <f>IF(E61="○",IF(COUNTA(E$13:E61)=1,"",",")&amp;D61,"")</f>
        <v/>
      </c>
      <c r="AK61" s="4"/>
      <c r="AL61" s="4"/>
      <c r="AM61" s="4"/>
      <c r="AN61" s="4"/>
      <c r="AO61" s="4"/>
      <c r="AP61" s="4"/>
      <c r="AQ61" s="4"/>
      <c r="AR61" s="4"/>
      <c r="AS61" s="76" t="str">
        <f>"COMMENT ON COLUMN "&amp;エンティティ一覧!$O$2&amp;"."&amp;D$8&amp;"."&amp;D61&amp;" IS '"&amp;C61&amp;"';"</f>
        <v>COMMENT ON COLUMN milscm_2023_009.sny_202310_base_merge_dpc_ff1.a001020_smoking IS '喫煙指数';</v>
      </c>
      <c r="AT61" s="4"/>
      <c r="AU61" s="4"/>
      <c r="AV61" s="4"/>
      <c r="AW61" s="4"/>
      <c r="AX61" s="4"/>
      <c r="AY61" s="4"/>
      <c r="AZ61" s="4"/>
    </row>
    <row r="62" spans="1:52" s="25" customFormat="1">
      <c r="A62" s="4"/>
      <c r="B62" s="21">
        <f t="shared" si="2"/>
        <v>50</v>
      </c>
      <c r="C62" s="13" t="s">
        <v>637</v>
      </c>
      <c r="D62" s="13" t="s">
        <v>638</v>
      </c>
      <c r="E62" s="7"/>
      <c r="F62" s="7" t="s">
        <v>317</v>
      </c>
      <c r="G62" s="7" t="str">
        <f t="shared" si="3"/>
        <v>text</v>
      </c>
      <c r="H62" s="26"/>
      <c r="I62" s="10"/>
      <c r="J62" s="11" t="s">
        <v>825</v>
      </c>
      <c r="L62" s="4"/>
      <c r="M62" s="4"/>
      <c r="N62" s="76"/>
      <c r="O62" s="76"/>
      <c r="P62" s="76" t="str">
        <f t="shared" si="7"/>
        <v>,a002010_ninshin_flag</v>
      </c>
      <c r="Q62" s="76" t="str">
        <f t="shared" si="8"/>
        <v>TEXT</v>
      </c>
      <c r="R62" s="76" t="str">
        <f t="shared" si="9"/>
        <v/>
      </c>
      <c r="S62" s="76" t="str">
        <f t="shared" si="10"/>
        <v/>
      </c>
      <c r="T62" s="76" t="str">
        <f t="shared" si="11"/>
        <v>-- 現在の妊娠の有無</v>
      </c>
      <c r="U62" s="4"/>
      <c r="AA62" s="4"/>
      <c r="AB62" s="4"/>
      <c r="AC62" s="4"/>
      <c r="AD62" s="4"/>
      <c r="AE62" s="4"/>
      <c r="AF62" s="4"/>
      <c r="AG62" s="4"/>
      <c r="AH62" s="4"/>
      <c r="AI62" s="4"/>
      <c r="AJ62" s="76" t="str">
        <f>IF(E62="○",IF(COUNTA(E$13:E62)=1,"",",")&amp;D62,"")</f>
        <v/>
      </c>
      <c r="AK62" s="4"/>
      <c r="AL62" s="4"/>
      <c r="AM62" s="4"/>
      <c r="AN62" s="4"/>
      <c r="AO62" s="4"/>
      <c r="AP62" s="4"/>
      <c r="AQ62" s="4"/>
      <c r="AR62" s="4"/>
      <c r="AS62" s="76" t="str">
        <f>"COMMENT ON COLUMN "&amp;エンティティ一覧!$O$2&amp;"."&amp;D$8&amp;"."&amp;D62&amp;" IS '"&amp;C62&amp;"';"</f>
        <v>COMMENT ON COLUMN milscm_2023_009.sny_202310_base_merge_dpc_ff1.a002010_ninshin_flag IS '現在の妊娠の有無';</v>
      </c>
      <c r="AT62" s="4"/>
      <c r="AU62" s="4"/>
      <c r="AV62" s="4"/>
      <c r="AW62" s="4"/>
      <c r="AX62" s="4"/>
      <c r="AY62" s="4"/>
      <c r="AZ62" s="4"/>
    </row>
    <row r="63" spans="1:52" s="25" customFormat="1">
      <c r="A63" s="4"/>
      <c r="B63" s="21">
        <f t="shared" si="2"/>
        <v>51</v>
      </c>
      <c r="C63" s="6" t="s">
        <v>639</v>
      </c>
      <c r="D63" s="6" t="s">
        <v>640</v>
      </c>
      <c r="E63" s="8"/>
      <c r="F63" s="7" t="s">
        <v>317</v>
      </c>
      <c r="G63" s="7" t="str">
        <f t="shared" si="3"/>
        <v>text</v>
      </c>
      <c r="H63" s="58"/>
      <c r="I63" s="23"/>
      <c r="J63" s="24" t="s">
        <v>826</v>
      </c>
      <c r="L63" s="4"/>
      <c r="M63" s="4"/>
      <c r="N63" s="76"/>
      <c r="O63" s="76"/>
      <c r="P63" s="76" t="str">
        <f t="shared" si="7"/>
        <v>,a002010_nyuin_ninshin</v>
      </c>
      <c r="Q63" s="76" t="str">
        <f t="shared" si="8"/>
        <v>TEXT</v>
      </c>
      <c r="R63" s="76" t="str">
        <f t="shared" si="9"/>
        <v/>
      </c>
      <c r="S63" s="76" t="str">
        <f t="shared" si="10"/>
        <v/>
      </c>
      <c r="T63" s="76" t="str">
        <f t="shared" si="11"/>
        <v>-- 入院時の妊娠週数</v>
      </c>
      <c r="U63" s="4"/>
      <c r="AA63" s="4"/>
      <c r="AB63" s="4"/>
      <c r="AC63" s="4"/>
      <c r="AD63" s="4"/>
      <c r="AE63" s="4"/>
      <c r="AF63" s="4"/>
      <c r="AG63" s="4"/>
      <c r="AH63" s="4"/>
      <c r="AI63" s="4"/>
      <c r="AJ63" s="76" t="str">
        <f>IF(E63="○",IF(COUNTA(E$13:E63)=1,"",",")&amp;D63,"")</f>
        <v/>
      </c>
      <c r="AK63" s="4"/>
      <c r="AL63" s="4"/>
      <c r="AM63" s="4"/>
      <c r="AN63" s="4"/>
      <c r="AO63" s="4"/>
      <c r="AP63" s="4"/>
      <c r="AQ63" s="4"/>
      <c r="AR63" s="4"/>
      <c r="AS63" s="76" t="str">
        <f>"COMMENT ON COLUMN "&amp;エンティティ一覧!$O$2&amp;"."&amp;D$8&amp;"."&amp;D63&amp;" IS '"&amp;C63&amp;"';"</f>
        <v>COMMENT ON COLUMN milscm_2023_009.sny_202310_base_merge_dpc_ff1.a002010_nyuin_ninshin IS '入院時の妊娠週数';</v>
      </c>
      <c r="AT63" s="4"/>
      <c r="AU63" s="4"/>
      <c r="AV63" s="4"/>
      <c r="AW63" s="4"/>
      <c r="AX63" s="4"/>
      <c r="AY63" s="4"/>
      <c r="AZ63" s="4"/>
    </row>
    <row r="64" spans="1:52" s="25" customFormat="1">
      <c r="A64" s="4"/>
      <c r="B64" s="21">
        <f t="shared" si="2"/>
        <v>52</v>
      </c>
      <c r="C64" s="13" t="s">
        <v>641</v>
      </c>
      <c r="D64" s="13" t="s">
        <v>642</v>
      </c>
      <c r="E64" s="7"/>
      <c r="F64" s="7" t="s">
        <v>317</v>
      </c>
      <c r="G64" s="7" t="str">
        <f t="shared" si="3"/>
        <v>text</v>
      </c>
      <c r="H64" s="26"/>
      <c r="I64" s="10"/>
      <c r="J64" s="11" t="s">
        <v>827</v>
      </c>
      <c r="L64" s="4"/>
      <c r="M64" s="4"/>
      <c r="N64" s="76"/>
      <c r="O64" s="76"/>
      <c r="P64" s="76" t="str">
        <f t="shared" si="7"/>
        <v>,a003010_birth_weight</v>
      </c>
      <c r="Q64" s="76" t="str">
        <f t="shared" si="8"/>
        <v>TEXT</v>
      </c>
      <c r="R64" s="76" t="str">
        <f t="shared" si="9"/>
        <v/>
      </c>
      <c r="S64" s="76" t="str">
        <f t="shared" si="10"/>
        <v/>
      </c>
      <c r="T64" s="76" t="str">
        <f t="shared" si="11"/>
        <v>-- 出生時体重</v>
      </c>
      <c r="U64" s="4"/>
      <c r="AA64" s="4"/>
      <c r="AB64" s="4"/>
      <c r="AC64" s="4"/>
      <c r="AD64" s="4"/>
      <c r="AE64" s="4"/>
      <c r="AF64" s="4"/>
      <c r="AG64" s="4"/>
      <c r="AH64" s="4"/>
      <c r="AI64" s="4"/>
      <c r="AJ64" s="76" t="str">
        <f>IF(E64="○",IF(COUNTA(E$13:E64)=1,"",",")&amp;D64,"")</f>
        <v/>
      </c>
      <c r="AK64" s="4"/>
      <c r="AL64" s="4"/>
      <c r="AM64" s="4"/>
      <c r="AN64" s="4"/>
      <c r="AO64" s="4"/>
      <c r="AP64" s="4"/>
      <c r="AQ64" s="4"/>
      <c r="AR64" s="4"/>
      <c r="AS64" s="76" t="str">
        <f>"COMMENT ON COLUMN "&amp;エンティティ一覧!$O$2&amp;"."&amp;D$8&amp;"."&amp;D64&amp;" IS '"&amp;C64&amp;"';"</f>
        <v>COMMENT ON COLUMN milscm_2023_009.sny_202310_base_merge_dpc_ff1.a003010_birth_weight IS '出生時体重';</v>
      </c>
      <c r="AT64" s="4"/>
      <c r="AU64" s="4"/>
      <c r="AV64" s="4"/>
      <c r="AW64" s="4"/>
      <c r="AX64" s="4"/>
      <c r="AY64" s="4"/>
      <c r="AZ64" s="4"/>
    </row>
    <row r="65" spans="1:52" s="25" customFormat="1">
      <c r="A65" s="4"/>
      <c r="B65" s="21">
        <f t="shared" si="2"/>
        <v>53</v>
      </c>
      <c r="C65" s="13" t="s">
        <v>643</v>
      </c>
      <c r="D65" s="13" t="s">
        <v>644</v>
      </c>
      <c r="E65" s="7"/>
      <c r="F65" s="7" t="s">
        <v>317</v>
      </c>
      <c r="G65" s="7" t="str">
        <f t="shared" si="3"/>
        <v>text</v>
      </c>
      <c r="H65" s="58"/>
      <c r="I65" s="23"/>
      <c r="J65" s="24" t="s">
        <v>826</v>
      </c>
      <c r="L65" s="4"/>
      <c r="M65" s="4"/>
      <c r="N65" s="76"/>
      <c r="O65" s="76"/>
      <c r="P65" s="76" t="str">
        <f t="shared" si="7"/>
        <v>,a003010_birth_ninshin</v>
      </c>
      <c r="Q65" s="76" t="str">
        <f t="shared" si="8"/>
        <v>TEXT</v>
      </c>
      <c r="R65" s="76" t="str">
        <f t="shared" si="9"/>
        <v/>
      </c>
      <c r="S65" s="76" t="str">
        <f t="shared" si="10"/>
        <v/>
      </c>
      <c r="T65" s="76" t="str">
        <f t="shared" si="11"/>
        <v>-- 出生時妊娠週数</v>
      </c>
      <c r="U65" s="4"/>
      <c r="AA65" s="4"/>
      <c r="AB65" s="4"/>
      <c r="AC65" s="4"/>
      <c r="AD65" s="4"/>
      <c r="AE65" s="4"/>
      <c r="AF65" s="4"/>
      <c r="AG65" s="4"/>
      <c r="AH65" s="4"/>
      <c r="AI65" s="4"/>
      <c r="AJ65" s="76" t="str">
        <f>IF(E65="○",IF(COUNTA(E$13:E65)=1,"",",")&amp;D65,"")</f>
        <v/>
      </c>
      <c r="AK65" s="4"/>
      <c r="AL65" s="4"/>
      <c r="AM65" s="4"/>
      <c r="AN65" s="4"/>
      <c r="AO65" s="4"/>
      <c r="AP65" s="4"/>
      <c r="AQ65" s="4"/>
      <c r="AR65" s="4"/>
      <c r="AS65" s="76" t="str">
        <f>"COMMENT ON COLUMN "&amp;エンティティ一覧!$O$2&amp;"."&amp;D$8&amp;"."&amp;D65&amp;" IS '"&amp;C65&amp;"';"</f>
        <v>COMMENT ON COLUMN milscm_2023_009.sny_202310_base_merge_dpc_ff1.a003010_birth_ninshin IS '出生時妊娠週数';</v>
      </c>
      <c r="AT65" s="4"/>
      <c r="AU65" s="4"/>
      <c r="AV65" s="4"/>
      <c r="AW65" s="4"/>
      <c r="AX65" s="4"/>
      <c r="AY65" s="4"/>
      <c r="AZ65" s="4"/>
    </row>
    <row r="66" spans="1:52" s="25" customFormat="1" ht="30">
      <c r="A66" s="4"/>
      <c r="B66" s="21">
        <f t="shared" si="2"/>
        <v>54</v>
      </c>
      <c r="C66" s="13" t="s">
        <v>645</v>
      </c>
      <c r="D66" s="13" t="s">
        <v>646</v>
      </c>
      <c r="E66" s="7"/>
      <c r="F66" s="7" t="s">
        <v>317</v>
      </c>
      <c r="G66" s="7" t="str">
        <f t="shared" si="3"/>
        <v>text</v>
      </c>
      <c r="H66" s="26"/>
      <c r="I66" s="10"/>
      <c r="J66" s="11" t="s">
        <v>828</v>
      </c>
      <c r="L66" s="4"/>
      <c r="M66" s="4"/>
      <c r="N66" s="76"/>
      <c r="O66" s="76"/>
      <c r="P66" s="76" t="str">
        <f t="shared" si="7"/>
        <v>,a004010_aged_jiritsu_kijun</v>
      </c>
      <c r="Q66" s="76" t="str">
        <f t="shared" si="8"/>
        <v>TEXT</v>
      </c>
      <c r="R66" s="76" t="str">
        <f t="shared" si="9"/>
        <v/>
      </c>
      <c r="S66" s="76" t="str">
        <f t="shared" si="10"/>
        <v/>
      </c>
      <c r="T66" s="76" t="str">
        <f t="shared" si="11"/>
        <v>-- 認知症高齢者の日常生活自立度判定基準</v>
      </c>
      <c r="U66" s="4"/>
      <c r="AA66" s="4"/>
      <c r="AB66" s="4"/>
      <c r="AC66" s="4"/>
      <c r="AD66" s="4"/>
      <c r="AE66" s="4"/>
      <c r="AF66" s="4"/>
      <c r="AG66" s="4"/>
      <c r="AH66" s="4"/>
      <c r="AI66" s="4"/>
      <c r="AJ66" s="76" t="str">
        <f>IF(E66="○",IF(COUNTA(E$13:E66)=1,"",",")&amp;D66,"")</f>
        <v/>
      </c>
      <c r="AK66" s="4"/>
      <c r="AL66" s="4"/>
      <c r="AM66" s="4"/>
      <c r="AN66" s="4"/>
      <c r="AO66" s="4"/>
      <c r="AP66" s="4"/>
      <c r="AQ66" s="4"/>
      <c r="AR66" s="4"/>
      <c r="AS66" s="76" t="str">
        <f>"COMMENT ON COLUMN "&amp;エンティティ一覧!$O$2&amp;"."&amp;D$8&amp;"."&amp;D66&amp;" IS '"&amp;C66&amp;"';"</f>
        <v>COMMENT ON COLUMN milscm_2023_009.sny_202310_base_merge_dpc_ff1.a004010_aged_jiritsu_kijun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647</v>
      </c>
      <c r="D67" s="6" t="s">
        <v>648</v>
      </c>
      <c r="E67" s="8"/>
      <c r="F67" s="7" t="s">
        <v>317</v>
      </c>
      <c r="G67" s="7" t="str">
        <f t="shared" si="3"/>
        <v>text</v>
      </c>
      <c r="H67" s="58"/>
      <c r="I67" s="23"/>
      <c r="J67" s="24" t="s">
        <v>829</v>
      </c>
      <c r="L67" s="4"/>
      <c r="M67" s="4"/>
      <c r="N67" s="76"/>
      <c r="O67" s="76"/>
      <c r="P67" s="76" t="str">
        <f t="shared" si="7"/>
        <v>,a004020_care</v>
      </c>
      <c r="Q67" s="76" t="str">
        <f t="shared" si="8"/>
        <v>TEXT</v>
      </c>
      <c r="R67" s="76" t="str">
        <f t="shared" si="9"/>
        <v/>
      </c>
      <c r="S67" s="76" t="str">
        <f t="shared" si="10"/>
        <v/>
      </c>
      <c r="T67" s="76" t="str">
        <f t="shared" si="11"/>
        <v>-- 要介護度</v>
      </c>
      <c r="U67" s="4"/>
      <c r="AA67" s="4"/>
      <c r="AB67" s="4"/>
      <c r="AC67" s="4"/>
      <c r="AD67" s="4"/>
      <c r="AE67" s="4"/>
      <c r="AF67" s="4"/>
      <c r="AG67" s="4"/>
      <c r="AH67" s="4"/>
      <c r="AI67" s="4"/>
      <c r="AJ67" s="76" t="str">
        <f>IF(E67="○",IF(COUNTA(E$13:E67)=1,"",",")&amp;D67,"")</f>
        <v/>
      </c>
      <c r="AK67" s="4"/>
      <c r="AL67" s="4"/>
      <c r="AM67" s="4"/>
      <c r="AN67" s="4"/>
      <c r="AO67" s="4"/>
      <c r="AP67" s="4"/>
      <c r="AQ67" s="4"/>
      <c r="AR67" s="4"/>
      <c r="AS67" s="76" t="str">
        <f>"COMMENT ON COLUMN "&amp;エンティティ一覧!$O$2&amp;"."&amp;D$8&amp;"."&amp;D67&amp;" IS '"&amp;C67&amp;"';"</f>
        <v>COMMENT ON COLUMN milscm_2023_009.sny_202310_base_merge_dpc_ff1.a004020_care IS '要介護度';</v>
      </c>
      <c r="AT67" s="4"/>
      <c r="AU67" s="4"/>
      <c r="AV67" s="4"/>
      <c r="AW67" s="4"/>
      <c r="AX67" s="4"/>
      <c r="AY67" s="4"/>
      <c r="AZ67" s="4"/>
    </row>
    <row r="68" spans="1:52" s="25" customFormat="1" ht="30">
      <c r="A68" s="4"/>
      <c r="B68" s="21">
        <f t="shared" si="2"/>
        <v>56</v>
      </c>
      <c r="C68" s="13" t="s">
        <v>246</v>
      </c>
      <c r="D68" s="13" t="s">
        <v>649</v>
      </c>
      <c r="E68" s="7"/>
      <c r="F68" s="7" t="s">
        <v>317</v>
      </c>
      <c r="G68" s="7" t="str">
        <f t="shared" si="3"/>
        <v>text</v>
      </c>
      <c r="H68" s="26"/>
      <c r="I68" s="10"/>
      <c r="J68" s="11" t="s">
        <v>144</v>
      </c>
      <c r="L68" s="4"/>
      <c r="M68" s="4"/>
      <c r="N68" s="76"/>
      <c r="O68" s="76"/>
      <c r="P68" s="76" t="str">
        <f t="shared" si="7"/>
        <v>,a004030_santei_start_ymd</v>
      </c>
      <c r="Q68" s="76" t="str">
        <f t="shared" si="8"/>
        <v>TEXT</v>
      </c>
      <c r="R68" s="76" t="str">
        <f t="shared" si="9"/>
        <v/>
      </c>
      <c r="S68" s="76" t="str">
        <f t="shared" si="10"/>
        <v/>
      </c>
      <c r="T68" s="76" t="str">
        <f t="shared" si="11"/>
        <v>-- 算定開始日</v>
      </c>
      <c r="U68" s="4"/>
      <c r="AA68" s="4"/>
      <c r="AB68" s="4"/>
      <c r="AC68" s="4"/>
      <c r="AD68" s="4"/>
      <c r="AE68" s="4"/>
      <c r="AF68" s="4"/>
      <c r="AG68" s="4"/>
      <c r="AH68" s="4"/>
      <c r="AI68" s="4"/>
      <c r="AJ68" s="76" t="str">
        <f>IF(E68="○",IF(COUNTA(E$13:E68)=1,"",",")&amp;D68,"")</f>
        <v/>
      </c>
      <c r="AK68" s="4"/>
      <c r="AL68" s="4"/>
      <c r="AM68" s="4"/>
      <c r="AN68" s="4"/>
      <c r="AO68" s="4"/>
      <c r="AP68" s="4"/>
      <c r="AQ68" s="4"/>
      <c r="AR68" s="4"/>
      <c r="AS68" s="76" t="str">
        <f>"COMMENT ON COLUMN "&amp;エンティティ一覧!$O$2&amp;"."&amp;D$8&amp;"."&amp;D68&amp;" IS '"&amp;C68&amp;"';"</f>
        <v>COMMENT ON COLUMN milscm_2023_009.sny_202310_base_merge_dpc_ff1.a004030_santei_start_ymd IS '算定開始日';</v>
      </c>
      <c r="AT68" s="4"/>
      <c r="AU68" s="4"/>
      <c r="AV68" s="4"/>
      <c r="AW68" s="4"/>
      <c r="AX68" s="4"/>
      <c r="AY68" s="4"/>
      <c r="AZ68" s="4"/>
    </row>
    <row r="69" spans="1:52" s="25" customFormat="1" ht="30">
      <c r="A69" s="4"/>
      <c r="B69" s="21">
        <f t="shared" si="2"/>
        <v>57</v>
      </c>
      <c r="C69" s="6" t="s">
        <v>248</v>
      </c>
      <c r="D69" s="6" t="s">
        <v>650</v>
      </c>
      <c r="E69" s="8"/>
      <c r="F69" s="7" t="s">
        <v>317</v>
      </c>
      <c r="G69" s="7" t="str">
        <f t="shared" si="3"/>
        <v>text</v>
      </c>
      <c r="H69" s="58"/>
      <c r="I69" s="23"/>
      <c r="J69" s="24" t="s">
        <v>144</v>
      </c>
      <c r="L69" s="4"/>
      <c r="M69" s="4"/>
      <c r="N69" s="76"/>
      <c r="O69" s="76"/>
      <c r="P69" s="76" t="str">
        <f t="shared" si="7"/>
        <v>,a004030_santei_end_ymd</v>
      </c>
      <c r="Q69" s="76" t="str">
        <f t="shared" si="8"/>
        <v>TEXT</v>
      </c>
      <c r="R69" s="76" t="str">
        <f t="shared" si="9"/>
        <v/>
      </c>
      <c r="S69" s="76" t="str">
        <f t="shared" si="10"/>
        <v/>
      </c>
      <c r="T69" s="76" t="str">
        <f t="shared" si="11"/>
        <v>-- 算定終了日</v>
      </c>
      <c r="U69" s="4"/>
      <c r="AA69" s="4"/>
      <c r="AB69" s="4"/>
      <c r="AC69" s="4"/>
      <c r="AD69" s="4"/>
      <c r="AE69" s="4"/>
      <c r="AF69" s="4"/>
      <c r="AG69" s="4"/>
      <c r="AH69" s="4"/>
      <c r="AI69" s="4"/>
      <c r="AJ69" s="76" t="str">
        <f>IF(E69="○",IF(COUNTA(E$13:E69)=1,"",",")&amp;D69,"")</f>
        <v/>
      </c>
      <c r="AK69" s="4"/>
      <c r="AL69" s="4"/>
      <c r="AM69" s="4"/>
      <c r="AN69" s="4"/>
      <c r="AO69" s="4"/>
      <c r="AP69" s="4"/>
      <c r="AQ69" s="4"/>
      <c r="AR69" s="4"/>
      <c r="AS69" s="76" t="str">
        <f>"COMMENT ON COLUMN "&amp;エンティティ一覧!$O$2&amp;"."&amp;D$8&amp;"."&amp;D69&amp;" IS '"&amp;C69&amp;"';"</f>
        <v>COMMENT ON COLUMN milscm_2023_009.sny_202310_base_merge_dpc_ff1.a004030_santei_end_ymd IS '算定終了日';</v>
      </c>
      <c r="AT69" s="4"/>
      <c r="AU69" s="4"/>
      <c r="AV69" s="4"/>
      <c r="AW69" s="4"/>
      <c r="AX69" s="4"/>
      <c r="AY69" s="4"/>
      <c r="AZ69" s="4"/>
    </row>
    <row r="70" spans="1:52" s="25" customFormat="1" ht="30">
      <c r="A70" s="4"/>
      <c r="B70" s="21">
        <f t="shared" si="2"/>
        <v>58</v>
      </c>
      <c r="C70" s="13" t="s">
        <v>651</v>
      </c>
      <c r="D70" s="13" t="s">
        <v>652</v>
      </c>
      <c r="E70" s="7"/>
      <c r="F70" s="7" t="s">
        <v>317</v>
      </c>
      <c r="G70" s="7" t="str">
        <f t="shared" si="3"/>
        <v>text</v>
      </c>
      <c r="H70" s="58"/>
      <c r="I70" s="23"/>
      <c r="J70" s="24" t="s">
        <v>830</v>
      </c>
      <c r="L70" s="4"/>
      <c r="M70" s="4"/>
      <c r="N70" s="76"/>
      <c r="O70" s="76"/>
      <c r="P70" s="76" t="str">
        <f t="shared" si="7"/>
        <v>,a004030_teieiyo_start_flag</v>
      </c>
      <c r="Q70" s="76" t="str">
        <f t="shared" si="8"/>
        <v>TEXT</v>
      </c>
      <c r="R70" s="76" t="str">
        <f t="shared" si="9"/>
        <v/>
      </c>
      <c r="S70" s="76" t="str">
        <f t="shared" si="10"/>
        <v/>
      </c>
      <c r="T70" s="76" t="str">
        <f t="shared" si="11"/>
        <v>-- 低栄養の有無（算定開始時）</v>
      </c>
      <c r="U70" s="4"/>
      <c r="AA70" s="4"/>
      <c r="AB70" s="4"/>
      <c r="AC70" s="4"/>
      <c r="AD70" s="4"/>
      <c r="AE70" s="4"/>
      <c r="AF70" s="4"/>
      <c r="AG70" s="4"/>
      <c r="AH70" s="4"/>
      <c r="AI70" s="4"/>
      <c r="AJ70" s="76" t="str">
        <f>IF(E70="○",IF(COUNTA(E$13:E70)=1,"",",")&amp;D70,"")</f>
        <v/>
      </c>
      <c r="AK70" s="4"/>
      <c r="AL70" s="4"/>
      <c r="AM70" s="4"/>
      <c r="AN70" s="4"/>
      <c r="AO70" s="4"/>
      <c r="AP70" s="4"/>
      <c r="AQ70" s="4"/>
      <c r="AR70" s="4"/>
      <c r="AS70" s="76" t="str">
        <f>"COMMENT ON COLUMN "&amp;エンティティ一覧!$O$2&amp;"."&amp;D$8&amp;"."&amp;D70&amp;" IS '"&amp;C70&amp;"';"</f>
        <v>COMMENT ON COLUMN milscm_2023_009.sny_202310_base_merge_dpc_ff1.a004030_teieiyo_start_flag IS '低栄養の有無（算定開始時）';</v>
      </c>
      <c r="AT70" s="4"/>
      <c r="AU70" s="4"/>
      <c r="AV70" s="4"/>
      <c r="AW70" s="4"/>
      <c r="AX70" s="4"/>
      <c r="AY70" s="4"/>
      <c r="AZ70" s="4"/>
    </row>
    <row r="71" spans="1:52" s="25" customFormat="1" ht="30">
      <c r="A71" s="4"/>
      <c r="B71" s="21">
        <f t="shared" si="2"/>
        <v>59</v>
      </c>
      <c r="C71" s="6" t="s">
        <v>653</v>
      </c>
      <c r="D71" s="6" t="s">
        <v>654</v>
      </c>
      <c r="E71" s="8"/>
      <c r="F71" s="7" t="s">
        <v>317</v>
      </c>
      <c r="G71" s="7" t="str">
        <f t="shared" si="3"/>
        <v>text</v>
      </c>
      <c r="H71" s="26"/>
      <c r="I71" s="10"/>
      <c r="J71" s="11" t="s">
        <v>830</v>
      </c>
      <c r="L71" s="4"/>
      <c r="M71" s="4"/>
      <c r="N71" s="76"/>
      <c r="O71" s="76"/>
      <c r="P71" s="76" t="str">
        <f t="shared" si="7"/>
        <v>,a004030_sesshoku_shogai_start_flag</v>
      </c>
      <c r="Q71" s="76" t="str">
        <f t="shared" si="8"/>
        <v>TEXT</v>
      </c>
      <c r="R71" s="76" t="str">
        <f t="shared" si="9"/>
        <v/>
      </c>
      <c r="S71" s="76" t="str">
        <f t="shared" si="10"/>
        <v/>
      </c>
      <c r="T71" s="76" t="str">
        <f t="shared" si="11"/>
        <v>-- 摂食・嚥下機能障害の有無（算定開始時）</v>
      </c>
      <c r="U71" s="4"/>
      <c r="AA71" s="4"/>
      <c r="AB71" s="4"/>
      <c r="AC71" s="4"/>
      <c r="AD71" s="4"/>
      <c r="AE71" s="4"/>
      <c r="AF71" s="4"/>
      <c r="AG71" s="4"/>
      <c r="AH71" s="4"/>
      <c r="AI71" s="4"/>
      <c r="AJ71" s="76" t="str">
        <f>IF(E71="○",IF(COUNTA(E$13:E71)=1,"",",")&amp;D71,"")</f>
        <v/>
      </c>
      <c r="AK71" s="4"/>
      <c r="AL71" s="4"/>
      <c r="AM71" s="4"/>
      <c r="AN71" s="4"/>
      <c r="AO71" s="4"/>
      <c r="AP71" s="4"/>
      <c r="AQ71" s="4"/>
      <c r="AR71" s="4"/>
      <c r="AS71" s="76" t="str">
        <f>"COMMENT ON COLUMN "&amp;エンティティ一覧!$O$2&amp;"."&amp;D$8&amp;"."&amp;D71&amp;" IS '"&amp;C71&amp;"';"</f>
        <v>COMMENT ON COLUMN milscm_2023_009.sny_202310_base_merge_dpc_ff1.a004030_sesshoku_shogai_start_flag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655</v>
      </c>
      <c r="D72" s="6" t="s">
        <v>656</v>
      </c>
      <c r="E72" s="8"/>
      <c r="F72" s="7" t="s">
        <v>317</v>
      </c>
      <c r="G72" s="7" t="str">
        <f t="shared" si="3"/>
        <v>text</v>
      </c>
      <c r="H72" s="26"/>
      <c r="I72" s="10"/>
      <c r="J72" s="11" t="s">
        <v>830</v>
      </c>
      <c r="L72" s="4"/>
      <c r="M72" s="4"/>
      <c r="N72" s="76"/>
      <c r="O72" s="76"/>
      <c r="P72" s="76" t="str">
        <f t="shared" si="7"/>
        <v>,a004030_teieiyo_end_flag</v>
      </c>
      <c r="Q72" s="76" t="str">
        <f t="shared" si="8"/>
        <v>TEXT</v>
      </c>
      <c r="R72" s="76" t="str">
        <f t="shared" si="9"/>
        <v/>
      </c>
      <c r="S72" s="76" t="str">
        <f t="shared" si="10"/>
        <v/>
      </c>
      <c r="T72" s="76" t="str">
        <f t="shared" si="11"/>
        <v>-- 低栄養の有無（算定終了時）</v>
      </c>
      <c r="U72" s="4"/>
      <c r="AA72" s="4"/>
      <c r="AB72" s="4"/>
      <c r="AC72" s="4"/>
      <c r="AD72" s="4"/>
      <c r="AE72" s="4"/>
      <c r="AF72" s="4"/>
      <c r="AG72" s="4"/>
      <c r="AH72" s="4"/>
      <c r="AI72" s="4"/>
      <c r="AJ72" s="76" t="str">
        <f>IF(E72="○",IF(COUNTA(E$13:E72)=1,"",",")&amp;D72,"")</f>
        <v/>
      </c>
      <c r="AK72" s="4"/>
      <c r="AL72" s="4"/>
      <c r="AM72" s="4"/>
      <c r="AN72" s="4"/>
      <c r="AO72" s="4"/>
      <c r="AP72" s="4"/>
      <c r="AQ72" s="4"/>
      <c r="AR72" s="4"/>
      <c r="AS72" s="76" t="str">
        <f>"COMMENT ON COLUMN "&amp;エンティティ一覧!$O$2&amp;"."&amp;D$8&amp;"."&amp;D72&amp;" IS '"&amp;C72&amp;"';"</f>
        <v>COMMENT ON COLUMN milscm_2023_009.sny_202310_base_merge_dpc_ff1.a004030_teieiyo_end_flag IS '低栄養の有無（算定終了時）';</v>
      </c>
      <c r="AT72" s="4"/>
      <c r="AU72" s="4"/>
      <c r="AV72" s="4"/>
      <c r="AW72" s="4"/>
      <c r="AX72" s="4"/>
      <c r="AY72" s="4"/>
      <c r="AZ72" s="4"/>
    </row>
    <row r="73" spans="1:52" s="25" customFormat="1" ht="30">
      <c r="A73" s="4"/>
      <c r="B73" s="21">
        <f t="shared" si="2"/>
        <v>61</v>
      </c>
      <c r="C73" s="13" t="s">
        <v>657</v>
      </c>
      <c r="D73" s="13" t="s">
        <v>658</v>
      </c>
      <c r="E73" s="7"/>
      <c r="F73" s="7" t="s">
        <v>317</v>
      </c>
      <c r="G73" s="7" t="str">
        <f t="shared" si="3"/>
        <v>text</v>
      </c>
      <c r="H73" s="58"/>
      <c r="I73" s="23"/>
      <c r="J73" s="24" t="s">
        <v>830</v>
      </c>
      <c r="L73" s="4"/>
      <c r="M73" s="4"/>
      <c r="N73" s="76"/>
      <c r="O73" s="76"/>
      <c r="P73" s="76" t="str">
        <f t="shared" si="7"/>
        <v>,a004030_sesshoku_shogai_end_flag</v>
      </c>
      <c r="Q73" s="76" t="str">
        <f t="shared" si="8"/>
        <v>TEXT</v>
      </c>
      <c r="R73" s="76" t="str">
        <f t="shared" si="9"/>
        <v/>
      </c>
      <c r="S73" s="76" t="str">
        <f t="shared" si="10"/>
        <v/>
      </c>
      <c r="T73" s="76" t="str">
        <f t="shared" si="11"/>
        <v>-- 摂食・嚥下機能障害の有無（算定終了時）</v>
      </c>
      <c r="U73" s="4"/>
      <c r="AA73" s="4"/>
      <c r="AB73" s="4"/>
      <c r="AC73" s="4"/>
      <c r="AD73" s="4"/>
      <c r="AE73" s="4"/>
      <c r="AF73" s="4"/>
      <c r="AG73" s="4"/>
      <c r="AH73" s="4"/>
      <c r="AI73" s="4"/>
      <c r="AJ73" s="76" t="str">
        <f>IF(E73="○",IF(COUNTA(E$13:E73)=1,"",",")&amp;D73,"")</f>
        <v/>
      </c>
      <c r="AK73" s="4"/>
      <c r="AL73" s="4"/>
      <c r="AM73" s="4"/>
      <c r="AN73" s="4"/>
      <c r="AO73" s="4"/>
      <c r="AP73" s="4"/>
      <c r="AQ73" s="4"/>
      <c r="AR73" s="4"/>
      <c r="AS73" s="76" t="str">
        <f>"COMMENT ON COLUMN "&amp;エンティティ一覧!$O$2&amp;"."&amp;D$8&amp;"."&amp;D73&amp;" IS '"&amp;C73&amp;"';"</f>
        <v>COMMENT ON COLUMN milscm_2023_009.sny_202310_base_merge_dpc_ff1.a004030_sesshoku_shogai_end_flag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659</v>
      </c>
      <c r="D74" s="6" t="s">
        <v>660</v>
      </c>
      <c r="E74" s="8"/>
      <c r="F74" s="7" t="s">
        <v>317</v>
      </c>
      <c r="G74" s="7" t="str">
        <f t="shared" si="3"/>
        <v>text</v>
      </c>
      <c r="H74" s="26"/>
      <c r="I74" s="10"/>
      <c r="J74" s="11" t="s">
        <v>831</v>
      </c>
      <c r="L74" s="4"/>
      <c r="M74" s="4"/>
      <c r="N74" s="76"/>
      <c r="O74" s="76"/>
      <c r="P74" s="76" t="str">
        <f t="shared" si="7"/>
        <v>,a004030_keikan_eiyou_start</v>
      </c>
      <c r="Q74" s="76" t="str">
        <f t="shared" si="8"/>
        <v>TEXT</v>
      </c>
      <c r="R74" s="76" t="str">
        <f t="shared" si="9"/>
        <v/>
      </c>
      <c r="S74" s="76" t="str">
        <f t="shared" si="10"/>
        <v/>
      </c>
      <c r="T74" s="76" t="str">
        <f t="shared" si="11"/>
        <v>-- 経管・経静脈栄養の状況（様式1 開始日時点）</v>
      </c>
      <c r="U74" s="4"/>
      <c r="AA74" s="4"/>
      <c r="AB74" s="4"/>
      <c r="AC74" s="4"/>
      <c r="AD74" s="4"/>
      <c r="AE74" s="4"/>
      <c r="AF74" s="4"/>
      <c r="AG74" s="4"/>
      <c r="AH74" s="4"/>
      <c r="AI74" s="4"/>
      <c r="AJ74" s="76" t="str">
        <f>IF(E74="○",IF(COUNTA(E$13:E74)=1,"",",")&amp;D74,"")</f>
        <v/>
      </c>
      <c r="AK74" s="4"/>
      <c r="AL74" s="4"/>
      <c r="AM74" s="4"/>
      <c r="AN74" s="4"/>
      <c r="AO74" s="4"/>
      <c r="AP74" s="4"/>
      <c r="AQ74" s="4"/>
      <c r="AR74" s="4"/>
      <c r="AS74" s="76" t="str">
        <f>"COMMENT ON COLUMN "&amp;エンティティ一覧!$O$2&amp;"."&amp;D$8&amp;"."&amp;D74&amp;" IS '"&amp;C74&amp;"';"</f>
        <v>COMMENT ON COLUMN milscm_2023_009.sny_202310_base_merge_dpc_ff1.a004030_keikan_eiyou_start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661</v>
      </c>
      <c r="D75" s="13" t="s">
        <v>662</v>
      </c>
      <c r="E75" s="7"/>
      <c r="F75" s="7" t="s">
        <v>317</v>
      </c>
      <c r="G75" s="7" t="str">
        <f t="shared" si="3"/>
        <v>text</v>
      </c>
      <c r="H75" s="58"/>
      <c r="I75" s="23"/>
      <c r="J75" s="24" t="s">
        <v>831</v>
      </c>
      <c r="L75" s="4"/>
      <c r="M75" s="4"/>
      <c r="N75" s="76"/>
      <c r="O75" s="76"/>
      <c r="P75" s="76" t="str">
        <f t="shared" si="7"/>
        <v>,a004030_keikan_eiyou_end</v>
      </c>
      <c r="Q75" s="76" t="str">
        <f t="shared" si="8"/>
        <v>TEXT</v>
      </c>
      <c r="R75" s="76" t="str">
        <f t="shared" si="9"/>
        <v/>
      </c>
      <c r="S75" s="76" t="str">
        <f t="shared" si="10"/>
        <v/>
      </c>
      <c r="T75" s="76" t="str">
        <f t="shared" si="11"/>
        <v>-- 経管・経静脈栄養の状況（様式1 終了日時点）</v>
      </c>
      <c r="U75" s="4"/>
      <c r="AA75" s="4"/>
      <c r="AB75" s="4"/>
      <c r="AC75" s="4"/>
      <c r="AD75" s="4"/>
      <c r="AE75" s="4"/>
      <c r="AF75" s="4"/>
      <c r="AG75" s="4"/>
      <c r="AH75" s="4"/>
      <c r="AI75" s="4"/>
      <c r="AJ75" s="76" t="str">
        <f>IF(E75="○",IF(COUNTA(E$13:E75)=1,"",",")&amp;D75,"")</f>
        <v/>
      </c>
      <c r="AK75" s="4"/>
      <c r="AL75" s="4"/>
      <c r="AM75" s="4"/>
      <c r="AN75" s="4"/>
      <c r="AO75" s="4"/>
      <c r="AP75" s="4"/>
      <c r="AQ75" s="4"/>
      <c r="AR75" s="4"/>
      <c r="AS75" s="76" t="str">
        <f>"COMMENT ON COLUMN "&amp;エンティティ一覧!$O$2&amp;"."&amp;D$8&amp;"."&amp;D75&amp;" IS '"&amp;C75&amp;"';"</f>
        <v>COMMENT ON COLUMN milscm_2023_009.sny_202310_base_merge_dpc_ff1.a004030_keikan_eiyou_end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663</v>
      </c>
      <c r="D76" s="6" t="s">
        <v>664</v>
      </c>
      <c r="E76" s="8"/>
      <c r="F76" s="7" t="s">
        <v>317</v>
      </c>
      <c r="G76" s="7" t="str">
        <f t="shared" si="3"/>
        <v>text</v>
      </c>
      <c r="H76" s="26"/>
      <c r="I76" s="10"/>
      <c r="J76" s="11" t="s">
        <v>832</v>
      </c>
      <c r="L76" s="4"/>
      <c r="M76" s="4"/>
      <c r="N76" s="76"/>
      <c r="O76" s="76"/>
      <c r="P76" s="76" t="str">
        <f t="shared" si="7"/>
        <v>,a006010_icd10_code</v>
      </c>
      <c r="Q76" s="76" t="str">
        <f t="shared" si="8"/>
        <v>TEXT</v>
      </c>
      <c r="R76" s="76" t="str">
        <f t="shared" si="9"/>
        <v/>
      </c>
      <c r="S76" s="76" t="str">
        <f t="shared" si="10"/>
        <v/>
      </c>
      <c r="T76" s="76" t="str">
        <f t="shared" si="11"/>
        <v>-- ICD10コード</v>
      </c>
      <c r="U76" s="4"/>
      <c r="AA76" s="4"/>
      <c r="AB76" s="4"/>
      <c r="AC76" s="4"/>
      <c r="AD76" s="4"/>
      <c r="AE76" s="4"/>
      <c r="AF76" s="4"/>
      <c r="AG76" s="4"/>
      <c r="AH76" s="4"/>
      <c r="AI76" s="4"/>
      <c r="AJ76" s="76" t="str">
        <f>IF(E76="○",IF(COUNTA(E$13:E76)=1,"",",")&amp;D76,"")</f>
        <v/>
      </c>
      <c r="AK76" s="4"/>
      <c r="AL76" s="4"/>
      <c r="AM76" s="4"/>
      <c r="AN76" s="4"/>
      <c r="AO76" s="4"/>
      <c r="AP76" s="4"/>
      <c r="AQ76" s="4"/>
      <c r="AR76" s="4"/>
      <c r="AS76" s="76" t="str">
        <f>"COMMENT ON COLUMN "&amp;エンティティ一覧!$O$2&amp;"."&amp;D$8&amp;"."&amp;D76&amp;" IS '"&amp;C76&amp;"';"</f>
        <v>COMMENT ON COLUMN milscm_2023_009.sny_202310_base_merge_dpc_ff1.a006010_icd10_code IS 'ICD10コード';</v>
      </c>
      <c r="AT76" s="4"/>
      <c r="AU76" s="4"/>
      <c r="AV76" s="4"/>
      <c r="AW76" s="4"/>
      <c r="AX76" s="4"/>
      <c r="AY76" s="4"/>
      <c r="AZ76" s="4"/>
    </row>
    <row r="77" spans="1:52" s="25" customFormat="1">
      <c r="A77" s="4"/>
      <c r="B77" s="21">
        <f t="shared" si="2"/>
        <v>65</v>
      </c>
      <c r="C77" s="13" t="s">
        <v>665</v>
      </c>
      <c r="D77" s="13" t="s">
        <v>666</v>
      </c>
      <c r="E77" s="7"/>
      <c r="F77" s="7" t="s">
        <v>317</v>
      </c>
      <c r="G77" s="7" t="str">
        <f t="shared" si="3"/>
        <v>text</v>
      </c>
      <c r="H77" s="58"/>
      <c r="I77" s="23"/>
      <c r="J77" s="24"/>
      <c r="L77" s="4"/>
      <c r="M77" s="4"/>
      <c r="N77" s="76"/>
      <c r="O77" s="76"/>
      <c r="P77" s="76" t="str">
        <f t="shared" si="7"/>
        <v>,a006010_shobyo_code</v>
      </c>
      <c r="Q77" s="76" t="str">
        <f t="shared" si="8"/>
        <v>TEXT</v>
      </c>
      <c r="R77" s="76" t="str">
        <f t="shared" si="9"/>
        <v/>
      </c>
      <c r="S77" s="76" t="str">
        <f t="shared" si="10"/>
        <v/>
      </c>
      <c r="T77" s="76" t="str">
        <f t="shared" si="11"/>
        <v>-- 傷病名コード</v>
      </c>
      <c r="U77" s="4"/>
      <c r="AA77" s="4"/>
      <c r="AB77" s="4"/>
      <c r="AC77" s="4"/>
      <c r="AD77" s="4"/>
      <c r="AE77" s="4"/>
      <c r="AF77" s="4"/>
      <c r="AG77" s="4"/>
      <c r="AH77" s="4"/>
      <c r="AI77" s="4"/>
      <c r="AJ77" s="76" t="str">
        <f>IF(E77="○",IF(COUNTA(E$13:E77)=1,"",",")&amp;D77,"")</f>
        <v/>
      </c>
      <c r="AK77" s="4"/>
      <c r="AL77" s="4"/>
      <c r="AM77" s="4"/>
      <c r="AN77" s="4"/>
      <c r="AO77" s="4"/>
      <c r="AP77" s="4"/>
      <c r="AQ77" s="4"/>
      <c r="AR77" s="4"/>
      <c r="AS77" s="76" t="str">
        <f>"COMMENT ON COLUMN "&amp;エンティティ一覧!$O$2&amp;"."&amp;D$8&amp;"."&amp;D77&amp;" IS '"&amp;C77&amp;"';"</f>
        <v>COMMENT ON COLUMN milscm_2023_009.sny_202310_base_merge_dpc_ff1.a006010_shobyo_code IS '傷病名コード';</v>
      </c>
      <c r="AT77" s="4"/>
      <c r="AU77" s="4"/>
      <c r="AV77" s="4"/>
      <c r="AW77" s="4"/>
      <c r="AX77" s="4"/>
      <c r="AY77" s="4"/>
      <c r="AZ77" s="4"/>
    </row>
    <row r="78" spans="1:52" s="25" customFormat="1" ht="30">
      <c r="A78" s="4"/>
      <c r="B78" s="21">
        <f t="shared" si="2"/>
        <v>66</v>
      </c>
      <c r="C78" s="6" t="s">
        <v>667</v>
      </c>
      <c r="D78" s="6" t="s">
        <v>668</v>
      </c>
      <c r="E78" s="8"/>
      <c r="F78" s="7" t="s">
        <v>317</v>
      </c>
      <c r="G78" s="7" t="str">
        <f t="shared" si="3"/>
        <v>text</v>
      </c>
      <c r="H78" s="26"/>
      <c r="I78" s="10"/>
      <c r="J78" s="11"/>
      <c r="L78" s="4"/>
      <c r="M78" s="4"/>
      <c r="N78" s="76"/>
      <c r="O78" s="76"/>
      <c r="P78" s="76" t="str">
        <f t="shared" si="7"/>
        <v>,a006010_shushoku_code1</v>
      </c>
      <c r="Q78" s="76" t="str">
        <f t="shared" si="8"/>
        <v>TEXT</v>
      </c>
      <c r="R78" s="76" t="str">
        <f t="shared" si="9"/>
        <v/>
      </c>
      <c r="S78" s="76" t="str">
        <f t="shared" si="10"/>
        <v/>
      </c>
      <c r="T78" s="76" t="str">
        <f t="shared" si="11"/>
        <v>-- 修飾語コード1</v>
      </c>
      <c r="U78" s="4"/>
      <c r="AA78" s="4"/>
      <c r="AB78" s="4"/>
      <c r="AC78" s="4"/>
      <c r="AD78" s="4"/>
      <c r="AE78" s="4"/>
      <c r="AF78" s="4"/>
      <c r="AG78" s="4"/>
      <c r="AH78" s="4"/>
      <c r="AI78" s="4"/>
      <c r="AJ78" s="76" t="str">
        <f>IF(E78="○",IF(COUNTA(E$13:E78)=1,"",",")&amp;D78,"")</f>
        <v/>
      </c>
      <c r="AK78" s="4"/>
      <c r="AL78" s="4"/>
      <c r="AM78" s="4"/>
      <c r="AN78" s="4"/>
      <c r="AO78" s="4"/>
      <c r="AP78" s="4"/>
      <c r="AQ78" s="4"/>
      <c r="AR78" s="4"/>
      <c r="AS78" s="76" t="str">
        <f>"COMMENT ON COLUMN "&amp;エンティティ一覧!$O$2&amp;"."&amp;D$8&amp;"."&amp;D78&amp;" IS '"&amp;C78&amp;"';"</f>
        <v>COMMENT ON COLUMN milscm_2023_009.sny_202310_base_merge_dpc_ff1.a006010_shushoku_code1 IS '修飾語コード1';</v>
      </c>
      <c r="AT78" s="4"/>
      <c r="AU78" s="4"/>
      <c r="AV78" s="4"/>
      <c r="AW78" s="4"/>
      <c r="AX78" s="4"/>
      <c r="AY78" s="4"/>
      <c r="AZ78" s="4"/>
    </row>
    <row r="79" spans="1:52" s="25" customFormat="1" ht="30">
      <c r="A79" s="4"/>
      <c r="B79" s="21">
        <f t="shared" si="2"/>
        <v>67</v>
      </c>
      <c r="C79" s="13" t="s">
        <v>669</v>
      </c>
      <c r="D79" s="13" t="s">
        <v>670</v>
      </c>
      <c r="E79" s="7"/>
      <c r="F79" s="7" t="s">
        <v>317</v>
      </c>
      <c r="G79" s="7" t="str">
        <f t="shared" si="3"/>
        <v>text</v>
      </c>
      <c r="H79" s="58"/>
      <c r="I79" s="23"/>
      <c r="J79" s="24"/>
      <c r="L79" s="4"/>
      <c r="M79" s="4"/>
      <c r="N79" s="76"/>
      <c r="O79" s="76"/>
      <c r="P79" s="76" t="str">
        <f t="shared" si="7"/>
        <v>,a006010_shushoku_code2</v>
      </c>
      <c r="Q79" s="76" t="str">
        <f t="shared" si="8"/>
        <v>TEXT</v>
      </c>
      <c r="R79" s="76" t="str">
        <f t="shared" si="9"/>
        <v/>
      </c>
      <c r="S79" s="76" t="str">
        <f t="shared" si="10"/>
        <v/>
      </c>
      <c r="T79" s="76" t="str">
        <f t="shared" si="11"/>
        <v>-- 修飾語コード2</v>
      </c>
      <c r="U79" s="4"/>
      <c r="AA79" s="4"/>
      <c r="AB79" s="4"/>
      <c r="AC79" s="4"/>
      <c r="AD79" s="4"/>
      <c r="AE79" s="4"/>
      <c r="AF79" s="4"/>
      <c r="AG79" s="4"/>
      <c r="AH79" s="4"/>
      <c r="AI79" s="4"/>
      <c r="AJ79" s="76" t="str">
        <f>IF(E79="○",IF(COUNTA(E$13:E79)=1,"",",")&amp;D79,"")</f>
        <v/>
      </c>
      <c r="AK79" s="4"/>
      <c r="AL79" s="4"/>
      <c r="AM79" s="4"/>
      <c r="AN79" s="4"/>
      <c r="AO79" s="4"/>
      <c r="AP79" s="4"/>
      <c r="AQ79" s="4"/>
      <c r="AR79" s="4"/>
      <c r="AS79" s="76" t="str">
        <f>"COMMENT ON COLUMN "&amp;エンティティ一覧!$O$2&amp;"."&amp;D$8&amp;"."&amp;D79&amp;" IS '"&amp;C79&amp;"';"</f>
        <v>COMMENT ON COLUMN milscm_2023_009.sny_202310_base_merge_dpc_ff1.a006010_shushoku_code2 IS '修飾語コード2';</v>
      </c>
      <c r="AT79" s="4"/>
      <c r="AU79" s="4"/>
      <c r="AV79" s="4"/>
      <c r="AW79" s="4"/>
      <c r="AX79" s="4"/>
      <c r="AY79" s="4"/>
      <c r="AZ79" s="4"/>
    </row>
    <row r="80" spans="1:52" s="25" customFormat="1" ht="30">
      <c r="A80" s="4"/>
      <c r="B80" s="21">
        <f t="shared" si="2"/>
        <v>68</v>
      </c>
      <c r="C80" s="6" t="s">
        <v>671</v>
      </c>
      <c r="D80" s="6" t="s">
        <v>672</v>
      </c>
      <c r="E80" s="8"/>
      <c r="F80" s="7" t="s">
        <v>317</v>
      </c>
      <c r="G80" s="7" t="str">
        <f t="shared" si="3"/>
        <v>text</v>
      </c>
      <c r="H80" s="26"/>
      <c r="I80" s="10"/>
      <c r="J80" s="11"/>
      <c r="L80" s="4"/>
      <c r="M80" s="4"/>
      <c r="N80" s="76"/>
      <c r="O80" s="76"/>
      <c r="P80" s="76" t="str">
        <f t="shared" si="7"/>
        <v>,a006010_shushoku_code3</v>
      </c>
      <c r="Q80" s="76" t="str">
        <f t="shared" si="8"/>
        <v>TEXT</v>
      </c>
      <c r="R80" s="76" t="str">
        <f t="shared" si="9"/>
        <v/>
      </c>
      <c r="S80" s="76" t="str">
        <f t="shared" si="10"/>
        <v/>
      </c>
      <c r="T80" s="76" t="str">
        <f t="shared" si="11"/>
        <v>-- 修飾語コード3</v>
      </c>
      <c r="U80" s="4"/>
      <c r="AA80" s="4"/>
      <c r="AB80" s="4"/>
      <c r="AC80" s="4"/>
      <c r="AD80" s="4"/>
      <c r="AE80" s="4"/>
      <c r="AF80" s="4"/>
      <c r="AG80" s="4"/>
      <c r="AH80" s="4"/>
      <c r="AI80" s="4"/>
      <c r="AJ80" s="76" t="str">
        <f>IF(E80="○",IF(COUNTA(E$13:E80)=1,"",",")&amp;D80,"")</f>
        <v/>
      </c>
      <c r="AK80" s="4"/>
      <c r="AL80" s="4"/>
      <c r="AM80" s="4"/>
      <c r="AN80" s="4"/>
      <c r="AO80" s="4"/>
      <c r="AP80" s="4"/>
      <c r="AQ80" s="4"/>
      <c r="AR80" s="4"/>
      <c r="AS80" s="76" t="str">
        <f>"COMMENT ON COLUMN "&amp;エンティティ一覧!$O$2&amp;"."&amp;D$8&amp;"."&amp;D80&amp;" IS '"&amp;C80&amp;"';"</f>
        <v>COMMENT ON COLUMN milscm_2023_009.sny_202310_base_merge_dpc_ff1.a006010_shushoku_code3 IS '修飾語コード3';</v>
      </c>
      <c r="AT80" s="4"/>
      <c r="AU80" s="4"/>
      <c r="AV80" s="4"/>
      <c r="AW80" s="4"/>
      <c r="AX80" s="4"/>
      <c r="AY80" s="4"/>
      <c r="AZ80" s="4"/>
    </row>
    <row r="81" spans="1:52" s="25" customFormat="1" ht="30">
      <c r="A81" s="4"/>
      <c r="B81" s="21">
        <f t="shared" si="2"/>
        <v>69</v>
      </c>
      <c r="C81" s="13" t="s">
        <v>673</v>
      </c>
      <c r="D81" s="13" t="s">
        <v>674</v>
      </c>
      <c r="E81" s="7"/>
      <c r="F81" s="7" t="s">
        <v>317</v>
      </c>
      <c r="G81" s="7" t="str">
        <f t="shared" si="3"/>
        <v>text</v>
      </c>
      <c r="H81" s="58"/>
      <c r="I81" s="23"/>
      <c r="J81" s="24"/>
      <c r="L81" s="4"/>
      <c r="M81" s="4"/>
      <c r="N81" s="76"/>
      <c r="O81" s="76"/>
      <c r="P81" s="76" t="str">
        <f t="shared" si="7"/>
        <v>,a006010_shushoku_code4</v>
      </c>
      <c r="Q81" s="76" t="str">
        <f t="shared" si="8"/>
        <v>TEXT</v>
      </c>
      <c r="R81" s="76" t="str">
        <f t="shared" si="9"/>
        <v/>
      </c>
      <c r="S81" s="76" t="str">
        <f t="shared" si="10"/>
        <v/>
      </c>
      <c r="T81" s="76" t="str">
        <f t="shared" si="11"/>
        <v>-- 修飾語コード4</v>
      </c>
      <c r="U81" s="4"/>
      <c r="AA81" s="4"/>
      <c r="AB81" s="4"/>
      <c r="AC81" s="4"/>
      <c r="AD81" s="4"/>
      <c r="AE81" s="4"/>
      <c r="AF81" s="4"/>
      <c r="AG81" s="4"/>
      <c r="AH81" s="4"/>
      <c r="AI81" s="4"/>
      <c r="AJ81" s="76" t="str">
        <f>IF(E81="○",IF(COUNTA(E$13:E81)=1,"",",")&amp;D81,"")</f>
        <v/>
      </c>
      <c r="AK81" s="4"/>
      <c r="AL81" s="4"/>
      <c r="AM81" s="4"/>
      <c r="AN81" s="4"/>
      <c r="AO81" s="4"/>
      <c r="AP81" s="4"/>
      <c r="AQ81" s="4"/>
      <c r="AR81" s="4"/>
      <c r="AS81" s="76" t="str">
        <f>"COMMENT ON COLUMN "&amp;エンティティ一覧!$O$2&amp;"."&amp;D$8&amp;"."&amp;D81&amp;" IS '"&amp;C81&amp;"';"</f>
        <v>COMMENT ON COLUMN milscm_2023_009.sny_202310_base_merge_dpc_ff1.a006010_shushoku_code4 IS '修飾語コード4';</v>
      </c>
      <c r="AT81" s="4"/>
      <c r="AU81" s="4"/>
      <c r="AV81" s="4"/>
      <c r="AW81" s="4"/>
      <c r="AX81" s="4"/>
      <c r="AY81" s="4"/>
      <c r="AZ81" s="4"/>
    </row>
    <row r="82" spans="1:52" s="25" customFormat="1" ht="34.799999999999997">
      <c r="A82" s="4"/>
      <c r="B82" s="21">
        <f t="shared" si="2"/>
        <v>70</v>
      </c>
      <c r="C82" s="13" t="s">
        <v>675</v>
      </c>
      <c r="D82" s="13" t="s">
        <v>676</v>
      </c>
      <c r="E82" s="7"/>
      <c r="F82" s="7" t="s">
        <v>317</v>
      </c>
      <c r="G82" s="7" t="str">
        <f t="shared" si="3"/>
        <v>text</v>
      </c>
      <c r="H82" s="58"/>
      <c r="I82" s="23"/>
      <c r="J82" s="24" t="s">
        <v>833</v>
      </c>
      <c r="L82" s="4"/>
      <c r="M82" s="4"/>
      <c r="N82" s="76"/>
      <c r="O82" s="76"/>
      <c r="P82" s="76" t="str">
        <f t="shared" si="7"/>
        <v>,a006010_main_shobyo_name</v>
      </c>
      <c r="Q82" s="76" t="str">
        <f t="shared" si="8"/>
        <v>TEXT</v>
      </c>
      <c r="R82" s="76" t="str">
        <f t="shared" si="9"/>
        <v/>
      </c>
      <c r="S82" s="76" t="str">
        <f t="shared" si="10"/>
        <v/>
      </c>
      <c r="T82" s="76" t="str">
        <f t="shared" si="11"/>
        <v>-- 主傷病名</v>
      </c>
      <c r="U82" s="4"/>
      <c r="AA82" s="4"/>
      <c r="AB82" s="4"/>
      <c r="AC82" s="4"/>
      <c r="AD82" s="4"/>
      <c r="AE82" s="4"/>
      <c r="AF82" s="4"/>
      <c r="AG82" s="4"/>
      <c r="AH82" s="4"/>
      <c r="AI82" s="4"/>
      <c r="AJ82" s="76" t="str">
        <f>IF(E82="○",IF(COUNTA(E$13:E82)=1,"",",")&amp;D82,"")</f>
        <v/>
      </c>
      <c r="AK82" s="4"/>
      <c r="AL82" s="4"/>
      <c r="AM82" s="4"/>
      <c r="AN82" s="4"/>
      <c r="AO82" s="4"/>
      <c r="AP82" s="4"/>
      <c r="AQ82" s="4"/>
      <c r="AR82" s="4"/>
      <c r="AS82" s="76" t="str">
        <f>"COMMENT ON COLUMN "&amp;エンティティ一覧!$O$2&amp;"."&amp;D$8&amp;"."&amp;D82&amp;" IS '"&amp;C82&amp;"';"</f>
        <v>COMMENT ON COLUMN milscm_2023_009.sny_202310_base_merge_dpc_ff1.a006010_main_shobyo_name IS '主傷病名';</v>
      </c>
      <c r="AT82" s="4"/>
      <c r="AU82" s="4"/>
      <c r="AV82" s="4"/>
      <c r="AW82" s="4"/>
      <c r="AX82" s="4"/>
      <c r="AY82" s="4"/>
      <c r="AZ82" s="4"/>
    </row>
    <row r="83" spans="1:52" s="25" customFormat="1">
      <c r="A83" s="4"/>
      <c r="B83" s="21">
        <f t="shared" si="2"/>
        <v>71</v>
      </c>
      <c r="C83" s="13" t="s">
        <v>663</v>
      </c>
      <c r="D83" s="13" t="s">
        <v>677</v>
      </c>
      <c r="E83" s="7"/>
      <c r="F83" s="7" t="s">
        <v>317</v>
      </c>
      <c r="G83" s="7" t="str">
        <f t="shared" si="3"/>
        <v>text</v>
      </c>
      <c r="H83" s="26"/>
      <c r="I83" s="10"/>
      <c r="J83" s="11" t="s">
        <v>834</v>
      </c>
      <c r="L83" s="4"/>
      <c r="M83" s="4"/>
      <c r="N83" s="76"/>
      <c r="O83" s="76"/>
      <c r="P83" s="76" t="str">
        <f t="shared" si="7"/>
        <v>,a006020_icd10_code</v>
      </c>
      <c r="Q83" s="76" t="str">
        <f t="shared" si="8"/>
        <v>TEXT</v>
      </c>
      <c r="R83" s="76" t="str">
        <f t="shared" si="9"/>
        <v/>
      </c>
      <c r="S83" s="76" t="str">
        <f t="shared" si="10"/>
        <v/>
      </c>
      <c r="T83" s="76" t="str">
        <f t="shared" si="11"/>
        <v>-- ICD10コード</v>
      </c>
      <c r="U83" s="4"/>
      <c r="AA83" s="4"/>
      <c r="AB83" s="4"/>
      <c r="AC83" s="4"/>
      <c r="AD83" s="4"/>
      <c r="AE83" s="4"/>
      <c r="AF83" s="4"/>
      <c r="AG83" s="4"/>
      <c r="AH83" s="4"/>
      <c r="AI83" s="4"/>
      <c r="AJ83" s="76" t="str">
        <f>IF(E83="○",IF(COUNTA(E$13:E83)=1,"",",")&amp;D83,"")</f>
        <v/>
      </c>
      <c r="AK83" s="4"/>
      <c r="AL83" s="4"/>
      <c r="AM83" s="4"/>
      <c r="AN83" s="4"/>
      <c r="AO83" s="4"/>
      <c r="AP83" s="4"/>
      <c r="AQ83" s="4"/>
      <c r="AR83" s="4"/>
      <c r="AS83" s="76" t="str">
        <f>"COMMENT ON COLUMN "&amp;エンティティ一覧!$O$2&amp;"."&amp;D$8&amp;"."&amp;D83&amp;" IS '"&amp;C83&amp;"';"</f>
        <v>COMMENT ON COLUMN milscm_2023_009.sny_202310_base_merge_dpc_ff1.a006020_icd10_code IS 'ICD10コード';</v>
      </c>
      <c r="AT83" s="4"/>
      <c r="AU83" s="4"/>
      <c r="AV83" s="4"/>
      <c r="AW83" s="4"/>
      <c r="AX83" s="4"/>
      <c r="AY83" s="4"/>
      <c r="AZ83" s="4"/>
    </row>
    <row r="84" spans="1:52" s="25" customFormat="1">
      <c r="A84" s="4"/>
      <c r="B84" s="21">
        <f t="shared" si="2"/>
        <v>72</v>
      </c>
      <c r="C84" s="6" t="s">
        <v>665</v>
      </c>
      <c r="D84" s="6" t="s">
        <v>678</v>
      </c>
      <c r="E84" s="8"/>
      <c r="F84" s="7" t="s">
        <v>317</v>
      </c>
      <c r="G84" s="7" t="str">
        <f t="shared" si="3"/>
        <v>text</v>
      </c>
      <c r="H84" s="26"/>
      <c r="I84" s="10"/>
      <c r="J84" s="11"/>
      <c r="L84" s="4"/>
      <c r="M84" s="4"/>
      <c r="N84" s="76"/>
      <c r="O84" s="76"/>
      <c r="P84" s="76" t="str">
        <f t="shared" si="7"/>
        <v>,a006020_shobyo_code</v>
      </c>
      <c r="Q84" s="76" t="str">
        <f t="shared" si="8"/>
        <v>TEXT</v>
      </c>
      <c r="R84" s="76" t="str">
        <f t="shared" si="9"/>
        <v/>
      </c>
      <c r="S84" s="76" t="str">
        <f t="shared" si="10"/>
        <v/>
      </c>
      <c r="T84" s="76" t="str">
        <f t="shared" si="11"/>
        <v>-- 傷病名コード</v>
      </c>
      <c r="U84" s="4"/>
      <c r="AA84" s="4"/>
      <c r="AB84" s="4"/>
      <c r="AC84" s="4"/>
      <c r="AD84" s="4"/>
      <c r="AE84" s="4"/>
      <c r="AF84" s="4"/>
      <c r="AG84" s="4"/>
      <c r="AH84" s="4"/>
      <c r="AI84" s="4"/>
      <c r="AJ84" s="76" t="str">
        <f>IF(E84="○",IF(COUNTA(E$13:E84)=1,"",",")&amp;D84,"")</f>
        <v/>
      </c>
      <c r="AK84" s="4"/>
      <c r="AL84" s="4"/>
      <c r="AM84" s="4"/>
      <c r="AN84" s="4"/>
      <c r="AO84" s="4"/>
      <c r="AP84" s="4"/>
      <c r="AQ84" s="4"/>
      <c r="AR84" s="4"/>
      <c r="AS84" s="76" t="str">
        <f>"COMMENT ON COLUMN "&amp;エンティティ一覧!$O$2&amp;"."&amp;D$8&amp;"."&amp;D84&amp;" IS '"&amp;C84&amp;"';"</f>
        <v>COMMENT ON COLUMN milscm_2023_009.sny_202310_base_merge_dpc_ff1.a006020_shobyo_code IS '傷病名コード';</v>
      </c>
      <c r="AT84" s="4"/>
      <c r="AU84" s="4"/>
      <c r="AV84" s="4"/>
      <c r="AW84" s="4"/>
      <c r="AX84" s="4"/>
      <c r="AY84" s="4"/>
      <c r="AZ84" s="4"/>
    </row>
    <row r="85" spans="1:52" s="25" customFormat="1" ht="30">
      <c r="A85" s="4"/>
      <c r="B85" s="21">
        <f t="shared" si="2"/>
        <v>73</v>
      </c>
      <c r="C85" s="13" t="s">
        <v>667</v>
      </c>
      <c r="D85" s="13" t="s">
        <v>679</v>
      </c>
      <c r="E85" s="7"/>
      <c r="F85" s="7" t="s">
        <v>317</v>
      </c>
      <c r="G85" s="7" t="str">
        <f t="shared" si="3"/>
        <v>text</v>
      </c>
      <c r="H85" s="58"/>
      <c r="I85" s="23"/>
      <c r="J85" s="24"/>
      <c r="L85" s="4"/>
      <c r="M85" s="4"/>
      <c r="N85" s="76"/>
      <c r="O85" s="76"/>
      <c r="P85" s="76" t="str">
        <f t="shared" si="7"/>
        <v>,a006020_shushoku_code1</v>
      </c>
      <c r="Q85" s="76" t="str">
        <f t="shared" si="8"/>
        <v>TEXT</v>
      </c>
      <c r="R85" s="76" t="str">
        <f t="shared" si="9"/>
        <v/>
      </c>
      <c r="S85" s="76" t="str">
        <f t="shared" si="10"/>
        <v/>
      </c>
      <c r="T85" s="76" t="str">
        <f t="shared" si="11"/>
        <v>-- 修飾語コード1</v>
      </c>
      <c r="U85" s="4"/>
      <c r="AA85" s="4"/>
      <c r="AB85" s="4"/>
      <c r="AC85" s="4"/>
      <c r="AD85" s="4"/>
      <c r="AE85" s="4"/>
      <c r="AF85" s="4"/>
      <c r="AG85" s="4"/>
      <c r="AH85" s="4"/>
      <c r="AI85" s="4"/>
      <c r="AJ85" s="76" t="str">
        <f>IF(E85="○",IF(COUNTA(E$13:E85)=1,"",",")&amp;D85,"")</f>
        <v/>
      </c>
      <c r="AK85" s="4"/>
      <c r="AL85" s="4"/>
      <c r="AM85" s="4"/>
      <c r="AN85" s="4"/>
      <c r="AO85" s="4"/>
      <c r="AP85" s="4"/>
      <c r="AQ85" s="4"/>
      <c r="AR85" s="4"/>
      <c r="AS85" s="76" t="str">
        <f>"COMMENT ON COLUMN "&amp;エンティティ一覧!$O$2&amp;"."&amp;D$8&amp;"."&amp;D85&amp;" IS '"&amp;C85&amp;"';"</f>
        <v>COMMENT ON COLUMN milscm_2023_009.sny_202310_base_merge_dpc_ff1.a006020_shushoku_code1 IS '修飾語コード1';</v>
      </c>
      <c r="AT85" s="4"/>
      <c r="AU85" s="4"/>
      <c r="AV85" s="4"/>
      <c r="AW85" s="4"/>
      <c r="AX85" s="4"/>
      <c r="AY85" s="4"/>
      <c r="AZ85" s="4"/>
    </row>
    <row r="86" spans="1:52" s="25" customFormat="1" ht="30">
      <c r="A86" s="4"/>
      <c r="B86" s="21">
        <f t="shared" si="2"/>
        <v>74</v>
      </c>
      <c r="C86" s="6" t="s">
        <v>669</v>
      </c>
      <c r="D86" s="6" t="s">
        <v>680</v>
      </c>
      <c r="E86" s="8"/>
      <c r="F86" s="7" t="s">
        <v>317</v>
      </c>
      <c r="G86" s="7" t="str">
        <f t="shared" si="3"/>
        <v>text</v>
      </c>
      <c r="H86" s="26"/>
      <c r="I86" s="10"/>
      <c r="J86" s="11"/>
      <c r="L86" s="4"/>
      <c r="M86" s="4"/>
      <c r="N86" s="76"/>
      <c r="O86" s="76"/>
      <c r="P86" s="76" t="str">
        <f t="shared" si="7"/>
        <v>,a006020_shushoku_code2</v>
      </c>
      <c r="Q86" s="76" t="str">
        <f t="shared" si="8"/>
        <v>TEXT</v>
      </c>
      <c r="R86" s="76" t="str">
        <f t="shared" si="9"/>
        <v/>
      </c>
      <c r="S86" s="76" t="str">
        <f t="shared" si="10"/>
        <v/>
      </c>
      <c r="T86" s="76" t="str">
        <f t="shared" si="11"/>
        <v>-- 修飾語コード2</v>
      </c>
      <c r="U86" s="4"/>
      <c r="AA86" s="4"/>
      <c r="AB86" s="4"/>
      <c r="AC86" s="4"/>
      <c r="AD86" s="4"/>
      <c r="AE86" s="4"/>
      <c r="AF86" s="4"/>
      <c r="AG86" s="4"/>
      <c r="AH86" s="4"/>
      <c r="AI86" s="4"/>
      <c r="AJ86" s="76" t="str">
        <f>IF(E86="○",IF(COUNTA(E$13:E86)=1,"",",")&amp;D86,"")</f>
        <v/>
      </c>
      <c r="AK86" s="4"/>
      <c r="AL86" s="4"/>
      <c r="AM86" s="4"/>
      <c r="AN86" s="4"/>
      <c r="AO86" s="4"/>
      <c r="AP86" s="4"/>
      <c r="AQ86" s="4"/>
      <c r="AR86" s="4"/>
      <c r="AS86" s="76" t="str">
        <f>"COMMENT ON COLUMN "&amp;エンティティ一覧!$O$2&amp;"."&amp;D$8&amp;"."&amp;D86&amp;" IS '"&amp;C86&amp;"';"</f>
        <v>COMMENT ON COLUMN milscm_2023_009.sny_202310_base_merge_dpc_ff1.a006020_shushoku_code2 IS '修飾語コード2';</v>
      </c>
      <c r="AT86" s="4"/>
      <c r="AU86" s="4"/>
      <c r="AV86" s="4"/>
      <c r="AW86" s="4"/>
      <c r="AX86" s="4"/>
      <c r="AY86" s="4"/>
      <c r="AZ86" s="4"/>
    </row>
    <row r="87" spans="1:52" s="25" customFormat="1" ht="30">
      <c r="A87" s="4"/>
      <c r="B87" s="21">
        <f t="shared" si="2"/>
        <v>75</v>
      </c>
      <c r="C87" s="13" t="s">
        <v>671</v>
      </c>
      <c r="D87" s="13" t="s">
        <v>681</v>
      </c>
      <c r="E87" s="7"/>
      <c r="F87" s="7" t="s">
        <v>317</v>
      </c>
      <c r="G87" s="7" t="str">
        <f t="shared" si="3"/>
        <v>text</v>
      </c>
      <c r="H87" s="58"/>
      <c r="I87" s="23"/>
      <c r="J87" s="24"/>
      <c r="L87" s="4"/>
      <c r="M87" s="4"/>
      <c r="N87" s="76"/>
      <c r="O87" s="76"/>
      <c r="P87" s="76" t="str">
        <f t="shared" si="7"/>
        <v>,a006020_shushoku_code3</v>
      </c>
      <c r="Q87" s="76" t="str">
        <f t="shared" si="8"/>
        <v>TEXT</v>
      </c>
      <c r="R87" s="76" t="str">
        <f t="shared" si="9"/>
        <v/>
      </c>
      <c r="S87" s="76" t="str">
        <f t="shared" si="10"/>
        <v/>
      </c>
      <c r="T87" s="76" t="str">
        <f t="shared" si="11"/>
        <v>-- 修飾語コード3</v>
      </c>
      <c r="U87" s="4"/>
      <c r="AA87" s="4"/>
      <c r="AB87" s="4"/>
      <c r="AC87" s="4"/>
      <c r="AD87" s="4"/>
      <c r="AE87" s="4"/>
      <c r="AF87" s="4"/>
      <c r="AG87" s="4"/>
      <c r="AH87" s="4"/>
      <c r="AI87" s="4"/>
      <c r="AJ87" s="76" t="str">
        <f>IF(E87="○",IF(COUNTA(E$13:E87)=1,"",",")&amp;D87,"")</f>
        <v/>
      </c>
      <c r="AK87" s="4"/>
      <c r="AL87" s="4"/>
      <c r="AM87" s="4"/>
      <c r="AN87" s="4"/>
      <c r="AO87" s="4"/>
      <c r="AP87" s="4"/>
      <c r="AQ87" s="4"/>
      <c r="AR87" s="4"/>
      <c r="AS87" s="76" t="str">
        <f>"COMMENT ON COLUMN "&amp;エンティティ一覧!$O$2&amp;"."&amp;D$8&amp;"."&amp;D87&amp;" IS '"&amp;C87&amp;"';"</f>
        <v>COMMENT ON COLUMN milscm_2023_009.sny_202310_base_merge_dpc_ff1.a006020_shushoku_code3 IS '修飾語コード3';</v>
      </c>
      <c r="AT87" s="4"/>
      <c r="AU87" s="4"/>
      <c r="AV87" s="4"/>
      <c r="AW87" s="4"/>
      <c r="AX87" s="4"/>
      <c r="AY87" s="4"/>
      <c r="AZ87" s="4"/>
    </row>
    <row r="88" spans="1:52" s="25" customFormat="1" ht="30">
      <c r="A88" s="4"/>
      <c r="B88" s="21">
        <f t="shared" si="2"/>
        <v>76</v>
      </c>
      <c r="C88" s="6" t="s">
        <v>673</v>
      </c>
      <c r="D88" s="6" t="s">
        <v>682</v>
      </c>
      <c r="E88" s="8"/>
      <c r="F88" s="7" t="s">
        <v>317</v>
      </c>
      <c r="G88" s="7" t="str">
        <f t="shared" si="3"/>
        <v>text</v>
      </c>
      <c r="H88" s="26"/>
      <c r="I88" s="10"/>
      <c r="J88" s="11"/>
      <c r="L88" s="4"/>
      <c r="M88" s="4"/>
      <c r="N88" s="76"/>
      <c r="O88" s="76"/>
      <c r="P88" s="76" t="str">
        <f t="shared" si="7"/>
        <v>,a006020_shushoku_code4</v>
      </c>
      <c r="Q88" s="76" t="str">
        <f t="shared" si="8"/>
        <v>TEXT</v>
      </c>
      <c r="R88" s="76" t="str">
        <f t="shared" si="9"/>
        <v/>
      </c>
      <c r="S88" s="76" t="str">
        <f t="shared" si="10"/>
        <v/>
      </c>
      <c r="T88" s="76" t="str">
        <f t="shared" si="11"/>
        <v>-- 修飾語コード4</v>
      </c>
      <c r="U88" s="4"/>
      <c r="AA88" s="4"/>
      <c r="AB88" s="4"/>
      <c r="AC88" s="4"/>
      <c r="AD88" s="4"/>
      <c r="AE88" s="4"/>
      <c r="AF88" s="4"/>
      <c r="AG88" s="4"/>
      <c r="AH88" s="4"/>
      <c r="AI88" s="4"/>
      <c r="AJ88" s="76" t="str">
        <f>IF(E88="○",IF(COUNTA(E$13:E88)=1,"",",")&amp;D88,"")</f>
        <v/>
      </c>
      <c r="AK88" s="4"/>
      <c r="AL88" s="4"/>
      <c r="AM88" s="4"/>
      <c r="AN88" s="4"/>
      <c r="AO88" s="4"/>
      <c r="AP88" s="4"/>
      <c r="AQ88" s="4"/>
      <c r="AR88" s="4"/>
      <c r="AS88" s="76" t="str">
        <f>"COMMENT ON COLUMN "&amp;エンティティ一覧!$O$2&amp;"."&amp;D$8&amp;"."&amp;D88&amp;" IS '"&amp;C88&amp;"';"</f>
        <v>COMMENT ON COLUMN milscm_2023_009.sny_202310_base_merge_dpc_ff1.a006020_shushoku_code4 IS '修飾語コード4';</v>
      </c>
      <c r="AT88" s="4"/>
      <c r="AU88" s="4"/>
      <c r="AV88" s="4"/>
      <c r="AW88" s="4"/>
      <c r="AX88" s="4"/>
      <c r="AY88" s="4"/>
      <c r="AZ88" s="4"/>
    </row>
    <row r="89" spans="1:52" s="25" customFormat="1" ht="30">
      <c r="A89" s="4"/>
      <c r="B89" s="21">
        <f t="shared" si="2"/>
        <v>77</v>
      </c>
      <c r="C89" s="6" t="s">
        <v>683</v>
      </c>
      <c r="D89" s="6" t="s">
        <v>684</v>
      </c>
      <c r="E89" s="8"/>
      <c r="F89" s="7" t="s">
        <v>317</v>
      </c>
      <c r="G89" s="7" t="str">
        <f t="shared" si="3"/>
        <v>text</v>
      </c>
      <c r="H89" s="58"/>
      <c r="I89" s="23"/>
      <c r="J89" s="24" t="s">
        <v>683</v>
      </c>
      <c r="L89" s="4"/>
      <c r="M89" s="4"/>
      <c r="N89" s="76"/>
      <c r="O89" s="76"/>
      <c r="P89" s="76" t="str">
        <f t="shared" si="7"/>
        <v>,a006020_nyuin_shobyo_name</v>
      </c>
      <c r="Q89" s="76" t="str">
        <f t="shared" si="8"/>
        <v>TEXT</v>
      </c>
      <c r="R89" s="76" t="str">
        <f t="shared" si="9"/>
        <v/>
      </c>
      <c r="S89" s="76" t="str">
        <f t="shared" si="10"/>
        <v/>
      </c>
      <c r="T89" s="76" t="str">
        <f t="shared" si="11"/>
        <v>-- 入院の契機となった傷病名</v>
      </c>
      <c r="U89" s="4"/>
      <c r="AA89" s="4"/>
      <c r="AB89" s="4"/>
      <c r="AC89" s="4"/>
      <c r="AD89" s="4"/>
      <c r="AE89" s="4"/>
      <c r="AF89" s="4"/>
      <c r="AG89" s="4"/>
      <c r="AH89" s="4"/>
      <c r="AI89" s="4"/>
      <c r="AJ89" s="76" t="str">
        <f>IF(E89="○",IF(COUNTA(E$13:E89)=1,"",",")&amp;D89,"")</f>
        <v/>
      </c>
      <c r="AK89" s="4"/>
      <c r="AL89" s="4"/>
      <c r="AM89" s="4"/>
      <c r="AN89" s="4"/>
      <c r="AO89" s="4"/>
      <c r="AP89" s="4"/>
      <c r="AQ89" s="4"/>
      <c r="AR89" s="4"/>
      <c r="AS89" s="76" t="str">
        <f>"COMMENT ON COLUMN "&amp;エンティティ一覧!$O$2&amp;"."&amp;D$8&amp;"."&amp;D89&amp;" IS '"&amp;C89&amp;"';"</f>
        <v>COMMENT ON COLUMN milscm_2023_009.sny_202310_base_merge_dpc_ff1.a006020_nyuin_shobyo_name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663</v>
      </c>
      <c r="D90" s="13" t="s">
        <v>685</v>
      </c>
      <c r="E90" s="7"/>
      <c r="F90" s="7" t="s">
        <v>317</v>
      </c>
      <c r="G90" s="7" t="str">
        <f t="shared" si="3"/>
        <v>text</v>
      </c>
      <c r="H90" s="26"/>
      <c r="I90" s="10"/>
      <c r="J90" s="11" t="s">
        <v>835</v>
      </c>
      <c r="L90" s="4"/>
      <c r="M90" s="4"/>
      <c r="N90" s="76"/>
      <c r="O90" s="76"/>
      <c r="P90" s="76" t="str">
        <f t="shared" si="7"/>
        <v>,a006030_icd10_code</v>
      </c>
      <c r="Q90" s="76" t="str">
        <f t="shared" si="8"/>
        <v>TEXT</v>
      </c>
      <c r="R90" s="76" t="str">
        <f t="shared" si="9"/>
        <v/>
      </c>
      <c r="S90" s="76" t="str">
        <f t="shared" si="10"/>
        <v/>
      </c>
      <c r="T90" s="76" t="str">
        <f t="shared" si="11"/>
        <v>-- ICD10コード</v>
      </c>
      <c r="U90" s="4"/>
      <c r="AA90" s="4"/>
      <c r="AB90" s="4"/>
      <c r="AC90" s="4"/>
      <c r="AD90" s="4"/>
      <c r="AE90" s="4"/>
      <c r="AF90" s="4"/>
      <c r="AG90" s="4"/>
      <c r="AH90" s="4"/>
      <c r="AI90" s="4"/>
      <c r="AJ90" s="76" t="str">
        <f>IF(E90="○",IF(COUNTA(E$13:E90)=1,"",",")&amp;D90,"")</f>
        <v/>
      </c>
      <c r="AK90" s="4"/>
      <c r="AL90" s="4"/>
      <c r="AM90" s="4"/>
      <c r="AN90" s="4"/>
      <c r="AO90" s="4"/>
      <c r="AP90" s="4"/>
      <c r="AQ90" s="4"/>
      <c r="AR90" s="4"/>
      <c r="AS90" s="76" t="str">
        <f>"COMMENT ON COLUMN "&amp;エンティティ一覧!$O$2&amp;"."&amp;D$8&amp;"."&amp;D90&amp;" IS '"&amp;C90&amp;"';"</f>
        <v>COMMENT ON COLUMN milscm_2023_009.sny_202310_base_merge_dpc_ff1.a006030_icd10_code IS 'ICD10コード';</v>
      </c>
      <c r="AT90" s="4"/>
      <c r="AU90" s="4"/>
      <c r="AV90" s="4"/>
      <c r="AW90" s="4"/>
      <c r="AX90" s="4"/>
      <c r="AY90" s="4"/>
      <c r="AZ90" s="4"/>
    </row>
    <row r="91" spans="1:52" s="25" customFormat="1" ht="30">
      <c r="A91" s="4"/>
      <c r="B91" s="21">
        <f t="shared" si="2"/>
        <v>79</v>
      </c>
      <c r="C91" s="6" t="s">
        <v>686</v>
      </c>
      <c r="D91" s="6" t="s">
        <v>687</v>
      </c>
      <c r="E91" s="8"/>
      <c r="F91" s="7" t="s">
        <v>317</v>
      </c>
      <c r="G91" s="7" t="str">
        <f t="shared" si="3"/>
        <v>text</v>
      </c>
      <c r="H91" s="58"/>
      <c r="I91" s="23"/>
      <c r="J91" s="24"/>
      <c r="L91" s="4"/>
      <c r="M91" s="4"/>
      <c r="N91" s="76"/>
      <c r="O91" s="76"/>
      <c r="P91" s="76" t="str">
        <f t="shared" si="7"/>
        <v>,a006030_byomei_fuka_code</v>
      </c>
      <c r="Q91" s="76" t="str">
        <f t="shared" si="8"/>
        <v>TEXT</v>
      </c>
      <c r="R91" s="76" t="str">
        <f t="shared" si="9"/>
        <v/>
      </c>
      <c r="S91" s="76" t="str">
        <f t="shared" si="10"/>
        <v/>
      </c>
      <c r="T91" s="76" t="str">
        <f t="shared" si="11"/>
        <v>-- 病名付加コード</v>
      </c>
      <c r="U91" s="4"/>
      <c r="AA91" s="4"/>
      <c r="AB91" s="4"/>
      <c r="AC91" s="4"/>
      <c r="AD91" s="4"/>
      <c r="AE91" s="4"/>
      <c r="AF91" s="4"/>
      <c r="AG91" s="4"/>
      <c r="AH91" s="4"/>
      <c r="AI91" s="4"/>
      <c r="AJ91" s="76" t="str">
        <f>IF(E91="○",IF(COUNTA(E$13:E91)=1,"",",")&amp;D91,"")</f>
        <v/>
      </c>
      <c r="AK91" s="4"/>
      <c r="AL91" s="4"/>
      <c r="AM91" s="4"/>
      <c r="AN91" s="4"/>
      <c r="AO91" s="4"/>
      <c r="AP91" s="4"/>
      <c r="AQ91" s="4"/>
      <c r="AR91" s="4"/>
      <c r="AS91" s="76" t="str">
        <f>"COMMENT ON COLUMN "&amp;エンティティ一覧!$O$2&amp;"."&amp;D$8&amp;"."&amp;D91&amp;" IS '"&amp;C91&amp;"';"</f>
        <v>COMMENT ON COLUMN milscm_2023_009.sny_202310_base_merge_dpc_ff1.a006030_byomei_fuka_code IS '病名付加コード';</v>
      </c>
      <c r="AT91" s="4"/>
      <c r="AU91" s="4"/>
      <c r="AV91" s="4"/>
      <c r="AW91" s="4"/>
      <c r="AX91" s="4"/>
      <c r="AY91" s="4"/>
      <c r="AZ91" s="4"/>
    </row>
    <row r="92" spans="1:52" s="25" customFormat="1">
      <c r="A92" s="4"/>
      <c r="B92" s="21">
        <f t="shared" si="2"/>
        <v>80</v>
      </c>
      <c r="C92" s="13" t="s">
        <v>665</v>
      </c>
      <c r="D92" s="13" t="s">
        <v>688</v>
      </c>
      <c r="E92" s="7"/>
      <c r="F92" s="7" t="s">
        <v>317</v>
      </c>
      <c r="G92" s="7" t="str">
        <f t="shared" si="3"/>
        <v>text</v>
      </c>
      <c r="H92" s="26"/>
      <c r="I92" s="10"/>
      <c r="J92" s="11"/>
      <c r="L92" s="4"/>
      <c r="M92" s="4"/>
      <c r="N92" s="76"/>
      <c r="O92" s="76"/>
      <c r="P92" s="76" t="str">
        <f t="shared" si="7"/>
        <v>,a006030_shobyo_code</v>
      </c>
      <c r="Q92" s="76" t="str">
        <f t="shared" si="8"/>
        <v>TEXT</v>
      </c>
      <c r="R92" s="76" t="str">
        <f t="shared" si="9"/>
        <v/>
      </c>
      <c r="S92" s="76" t="str">
        <f t="shared" si="10"/>
        <v/>
      </c>
      <c r="T92" s="76" t="str">
        <f t="shared" si="11"/>
        <v>-- 傷病名コード</v>
      </c>
      <c r="U92" s="4"/>
      <c r="AA92" s="4"/>
      <c r="AB92" s="4"/>
      <c r="AC92" s="4"/>
      <c r="AD92" s="4"/>
      <c r="AE92" s="4"/>
      <c r="AF92" s="4"/>
      <c r="AG92" s="4"/>
      <c r="AH92" s="4"/>
      <c r="AI92" s="4"/>
      <c r="AJ92" s="76" t="str">
        <f>IF(E92="○",IF(COUNTA(E$13:E92)=1,"",",")&amp;D92,"")</f>
        <v/>
      </c>
      <c r="AK92" s="4"/>
      <c r="AL92" s="4"/>
      <c r="AM92" s="4"/>
      <c r="AN92" s="4"/>
      <c r="AO92" s="4"/>
      <c r="AP92" s="4"/>
      <c r="AQ92" s="4"/>
      <c r="AR92" s="4"/>
      <c r="AS92" s="76" t="str">
        <f>"COMMENT ON COLUMN "&amp;エンティティ一覧!$O$2&amp;"."&amp;D$8&amp;"."&amp;D92&amp;" IS '"&amp;C92&amp;"';"</f>
        <v>COMMENT ON COLUMN milscm_2023_009.sny_202310_base_merge_dpc_ff1.a006030_shobyo_code IS '傷病名コード';</v>
      </c>
      <c r="AT92" s="4"/>
      <c r="AU92" s="4"/>
      <c r="AV92" s="4"/>
      <c r="AW92" s="4"/>
      <c r="AX92" s="4"/>
      <c r="AY92" s="4"/>
      <c r="AZ92" s="4"/>
    </row>
    <row r="93" spans="1:52" s="25" customFormat="1" ht="30">
      <c r="A93" s="4"/>
      <c r="B93" s="21">
        <f t="shared" si="2"/>
        <v>81</v>
      </c>
      <c r="C93" s="6" t="s">
        <v>667</v>
      </c>
      <c r="D93" s="6" t="s">
        <v>689</v>
      </c>
      <c r="E93" s="8"/>
      <c r="F93" s="7" t="s">
        <v>317</v>
      </c>
      <c r="G93" s="7" t="str">
        <f t="shared" si="3"/>
        <v>text</v>
      </c>
      <c r="H93" s="58"/>
      <c r="I93" s="23"/>
      <c r="J93" s="24"/>
      <c r="L93" s="4"/>
      <c r="M93" s="4"/>
      <c r="N93" s="76"/>
      <c r="O93" s="76"/>
      <c r="P93" s="76" t="str">
        <f t="shared" si="7"/>
        <v>,a006030_shushoku_code1</v>
      </c>
      <c r="Q93" s="76" t="str">
        <f t="shared" si="8"/>
        <v>TEXT</v>
      </c>
      <c r="R93" s="76" t="str">
        <f t="shared" si="9"/>
        <v/>
      </c>
      <c r="S93" s="76" t="str">
        <f t="shared" si="10"/>
        <v/>
      </c>
      <c r="T93" s="76" t="str">
        <f t="shared" si="11"/>
        <v>-- 修飾語コード1</v>
      </c>
      <c r="U93" s="4"/>
      <c r="AA93" s="4"/>
      <c r="AB93" s="4"/>
      <c r="AC93" s="4"/>
      <c r="AD93" s="4"/>
      <c r="AE93" s="4"/>
      <c r="AF93" s="4"/>
      <c r="AG93" s="4"/>
      <c r="AH93" s="4"/>
      <c r="AI93" s="4"/>
      <c r="AJ93" s="76" t="str">
        <f>IF(E93="○",IF(COUNTA(E$13:E93)=1,"",",")&amp;D93,"")</f>
        <v/>
      </c>
      <c r="AK93" s="4"/>
      <c r="AL93" s="4"/>
      <c r="AM93" s="4"/>
      <c r="AN93" s="4"/>
      <c r="AO93" s="4"/>
      <c r="AP93" s="4"/>
      <c r="AQ93" s="4"/>
      <c r="AR93" s="4"/>
      <c r="AS93" s="76" t="str">
        <f>"COMMENT ON COLUMN "&amp;エンティティ一覧!$O$2&amp;"."&amp;D$8&amp;"."&amp;D93&amp;" IS '"&amp;C93&amp;"';"</f>
        <v>COMMENT ON COLUMN milscm_2023_009.sny_202310_base_merge_dpc_ff1.a006030_shushoku_code1 IS '修飾語コード1';</v>
      </c>
      <c r="AT93" s="4"/>
      <c r="AU93" s="4"/>
      <c r="AV93" s="4"/>
      <c r="AW93" s="4"/>
      <c r="AX93" s="4"/>
      <c r="AY93" s="4"/>
      <c r="AZ93" s="4"/>
    </row>
    <row r="94" spans="1:52" s="25" customFormat="1" ht="30">
      <c r="A94" s="4"/>
      <c r="B94" s="21">
        <f t="shared" si="2"/>
        <v>82</v>
      </c>
      <c r="C94" s="13" t="s">
        <v>669</v>
      </c>
      <c r="D94" s="13" t="s">
        <v>690</v>
      </c>
      <c r="E94" s="7"/>
      <c r="F94" s="7" t="s">
        <v>317</v>
      </c>
      <c r="G94" s="7" t="str">
        <f t="shared" si="3"/>
        <v>text</v>
      </c>
      <c r="H94" s="58"/>
      <c r="I94" s="23"/>
      <c r="J94" s="24"/>
      <c r="L94" s="4"/>
      <c r="M94" s="4"/>
      <c r="N94" s="76"/>
      <c r="O94" s="76"/>
      <c r="P94" s="76" t="str">
        <f t="shared" si="7"/>
        <v>,a006030_shushoku_code2</v>
      </c>
      <c r="Q94" s="76" t="str">
        <f t="shared" si="8"/>
        <v>TEXT</v>
      </c>
      <c r="R94" s="76" t="str">
        <f t="shared" si="9"/>
        <v/>
      </c>
      <c r="S94" s="76" t="str">
        <f t="shared" si="10"/>
        <v/>
      </c>
      <c r="T94" s="76" t="str">
        <f t="shared" si="11"/>
        <v>-- 修飾語コード2</v>
      </c>
      <c r="U94" s="4"/>
      <c r="AA94" s="4"/>
      <c r="AB94" s="4"/>
      <c r="AC94" s="4"/>
      <c r="AD94" s="4"/>
      <c r="AE94" s="4"/>
      <c r="AF94" s="4"/>
      <c r="AG94" s="4"/>
      <c r="AH94" s="4"/>
      <c r="AI94" s="4"/>
      <c r="AJ94" s="76" t="str">
        <f>IF(E94="○",IF(COUNTA(E$13:E94)=1,"",",")&amp;D94,"")</f>
        <v/>
      </c>
      <c r="AK94" s="4"/>
      <c r="AL94" s="4"/>
      <c r="AM94" s="4"/>
      <c r="AN94" s="4"/>
      <c r="AO94" s="4"/>
      <c r="AP94" s="4"/>
      <c r="AQ94" s="4"/>
      <c r="AR94" s="4"/>
      <c r="AS94" s="76" t="str">
        <f>"COMMENT ON COLUMN "&amp;エンティティ一覧!$O$2&amp;"."&amp;D$8&amp;"."&amp;D94&amp;" IS '"&amp;C94&amp;"';"</f>
        <v>COMMENT ON COLUMN milscm_2023_009.sny_202310_base_merge_dpc_ff1.a006030_shushoku_code2 IS '修飾語コード2';</v>
      </c>
      <c r="AT94" s="4"/>
      <c r="AU94" s="4"/>
      <c r="AV94" s="4"/>
      <c r="AW94" s="4"/>
      <c r="AX94" s="4"/>
      <c r="AY94" s="4"/>
      <c r="AZ94" s="4"/>
    </row>
    <row r="95" spans="1:52" s="25" customFormat="1" ht="30">
      <c r="A95" s="4"/>
      <c r="B95" s="21">
        <f t="shared" si="2"/>
        <v>83</v>
      </c>
      <c r="C95" s="6" t="s">
        <v>671</v>
      </c>
      <c r="D95" s="6" t="s">
        <v>691</v>
      </c>
      <c r="E95" s="8"/>
      <c r="F95" s="7" t="s">
        <v>317</v>
      </c>
      <c r="G95" s="7" t="str">
        <f t="shared" si="3"/>
        <v>text</v>
      </c>
      <c r="H95" s="26"/>
      <c r="I95" s="10"/>
      <c r="J95" s="11"/>
      <c r="L95" s="4"/>
      <c r="M95" s="4"/>
      <c r="N95" s="76"/>
      <c r="O95" s="76"/>
      <c r="P95" s="76" t="str">
        <f t="shared" ref="P95:P155" si="12">IF(B95&lt;&gt;1,","&amp;D95,D95)</f>
        <v>,a006030_shushoku_code3</v>
      </c>
      <c r="Q95" s="76" t="str">
        <f t="shared" ref="Q95:Q155" si="13">UPPER(G95)</f>
        <v>TEXT</v>
      </c>
      <c r="R95" s="76" t="str">
        <f t="shared" ref="R95:R155" si="14">IF(H95&lt;&gt;"","default "&amp;IF(G95="text","'"&amp;H95&amp;"'",H95),"")</f>
        <v/>
      </c>
      <c r="S95" s="76" t="str">
        <f t="shared" ref="S95:S155" si="15">IF(I95="○","NOT NULL","")</f>
        <v/>
      </c>
      <c r="T95" s="76" t="str">
        <f t="shared" ref="T95:T155" si="16">"-- "&amp;C95</f>
        <v>-- 修飾語コード3</v>
      </c>
      <c r="U95" s="4"/>
      <c r="AA95" s="4"/>
      <c r="AB95" s="4"/>
      <c r="AC95" s="4"/>
      <c r="AD95" s="4"/>
      <c r="AE95" s="4"/>
      <c r="AF95" s="4"/>
      <c r="AG95" s="4"/>
      <c r="AH95" s="4"/>
      <c r="AI95" s="4"/>
      <c r="AJ95" s="76" t="str">
        <f>IF(E95="○",IF(COUNTA(E$13:E95)=1,"",",")&amp;D95,"")</f>
        <v/>
      </c>
      <c r="AK95" s="4"/>
      <c r="AL95" s="4"/>
      <c r="AM95" s="4"/>
      <c r="AN95" s="4"/>
      <c r="AO95" s="4"/>
      <c r="AP95" s="4"/>
      <c r="AQ95" s="4"/>
      <c r="AR95" s="4"/>
      <c r="AS95" s="76" t="str">
        <f>"COMMENT ON COLUMN "&amp;エンティティ一覧!$O$2&amp;"."&amp;D$8&amp;"."&amp;D95&amp;" IS '"&amp;C95&amp;"';"</f>
        <v>COMMENT ON COLUMN milscm_2023_009.sny_202310_base_merge_dpc_ff1.a006030_shushoku_code3 IS '修飾語コード3';</v>
      </c>
      <c r="AT95" s="4"/>
      <c r="AU95" s="4"/>
      <c r="AV95" s="4"/>
      <c r="AW95" s="4"/>
      <c r="AX95" s="4"/>
      <c r="AY95" s="4"/>
      <c r="AZ95" s="4"/>
    </row>
    <row r="96" spans="1:52" s="25" customFormat="1" ht="30">
      <c r="A96" s="4"/>
      <c r="B96" s="21">
        <f t="shared" si="2"/>
        <v>84</v>
      </c>
      <c r="C96" s="13" t="s">
        <v>673</v>
      </c>
      <c r="D96" s="13" t="s">
        <v>692</v>
      </c>
      <c r="E96" s="7"/>
      <c r="F96" s="7" t="s">
        <v>317</v>
      </c>
      <c r="G96" s="7" t="str">
        <f t="shared" si="3"/>
        <v>text</v>
      </c>
      <c r="H96" s="26"/>
      <c r="I96" s="10"/>
      <c r="J96" s="11"/>
      <c r="L96" s="4"/>
      <c r="M96" s="4"/>
      <c r="N96" s="76"/>
      <c r="O96" s="76"/>
      <c r="P96" s="76" t="str">
        <f t="shared" si="12"/>
        <v>,a006030_shushoku_code4</v>
      </c>
      <c r="Q96" s="76" t="str">
        <f t="shared" si="13"/>
        <v>TEXT</v>
      </c>
      <c r="R96" s="76" t="str">
        <f t="shared" si="14"/>
        <v/>
      </c>
      <c r="S96" s="76" t="str">
        <f t="shared" si="15"/>
        <v/>
      </c>
      <c r="T96" s="76" t="str">
        <f t="shared" si="16"/>
        <v>-- 修飾語コード4</v>
      </c>
      <c r="U96" s="4"/>
      <c r="AA96" s="4"/>
      <c r="AB96" s="4"/>
      <c r="AC96" s="4"/>
      <c r="AD96" s="4"/>
      <c r="AE96" s="4"/>
      <c r="AF96" s="4"/>
      <c r="AG96" s="4"/>
      <c r="AH96" s="4"/>
      <c r="AI96" s="4"/>
      <c r="AJ96" s="76" t="str">
        <f>IF(E96="○",IF(COUNTA(E$13:E96)=1,"",",")&amp;D96,"")</f>
        <v/>
      </c>
      <c r="AK96" s="4"/>
      <c r="AL96" s="4"/>
      <c r="AM96" s="4"/>
      <c r="AN96" s="4"/>
      <c r="AO96" s="4"/>
      <c r="AP96" s="4"/>
      <c r="AQ96" s="4"/>
      <c r="AR96" s="4"/>
      <c r="AS96" s="76" t="str">
        <f>"COMMENT ON COLUMN "&amp;エンティティ一覧!$O$2&amp;"."&amp;D$8&amp;"."&amp;D96&amp;" IS '"&amp;C96&amp;"';"</f>
        <v>COMMENT ON COLUMN milscm_2023_009.sny_202310_base_merge_dpc_ff1.a006030_shushoku_code4 IS '修飾語コード4';</v>
      </c>
      <c r="AT96" s="4"/>
      <c r="AU96" s="4"/>
      <c r="AV96" s="4"/>
      <c r="AW96" s="4"/>
      <c r="AX96" s="4"/>
      <c r="AY96" s="4"/>
      <c r="AZ96" s="4"/>
    </row>
    <row r="97" spans="1:52" s="25" customFormat="1" ht="52.2">
      <c r="A97" s="4"/>
      <c r="B97" s="21">
        <f t="shared" si="2"/>
        <v>85</v>
      </c>
      <c r="C97" s="6" t="s">
        <v>693</v>
      </c>
      <c r="D97" s="6" t="s">
        <v>694</v>
      </c>
      <c r="E97" s="8"/>
      <c r="F97" s="7" t="s">
        <v>317</v>
      </c>
      <c r="G97" s="7" t="str">
        <f t="shared" si="3"/>
        <v>text</v>
      </c>
      <c r="H97" s="58"/>
      <c r="I97" s="23"/>
      <c r="J97" s="24" t="s">
        <v>836</v>
      </c>
      <c r="L97" s="4"/>
      <c r="M97" s="4"/>
      <c r="N97" s="76"/>
      <c r="O97" s="76"/>
      <c r="P97" s="76" t="str">
        <f t="shared" si="12"/>
        <v>,a006030_iryo1_shobyo_name</v>
      </c>
      <c r="Q97" s="76" t="str">
        <f t="shared" si="13"/>
        <v>TEXT</v>
      </c>
      <c r="R97" s="76" t="str">
        <f t="shared" si="14"/>
        <v/>
      </c>
      <c r="S97" s="76" t="str">
        <f t="shared" si="15"/>
        <v/>
      </c>
      <c r="T97" s="76" t="str">
        <f t="shared" si="16"/>
        <v>-- 医療資源を最も投入した傷病名</v>
      </c>
      <c r="U97" s="4"/>
      <c r="AA97" s="4"/>
      <c r="AB97" s="4"/>
      <c r="AC97" s="4"/>
      <c r="AD97" s="4"/>
      <c r="AE97" s="4"/>
      <c r="AF97" s="4"/>
      <c r="AG97" s="4"/>
      <c r="AH97" s="4"/>
      <c r="AI97" s="4"/>
      <c r="AJ97" s="76" t="str">
        <f>IF(E97="○",IF(COUNTA(E$13:E97)=1,"",",")&amp;D97,"")</f>
        <v/>
      </c>
      <c r="AK97" s="4"/>
      <c r="AL97" s="4"/>
      <c r="AM97" s="4"/>
      <c r="AN97" s="4"/>
      <c r="AO97" s="4"/>
      <c r="AP97" s="4"/>
      <c r="AQ97" s="4"/>
      <c r="AR97" s="4"/>
      <c r="AS97" s="76" t="str">
        <f>"COMMENT ON COLUMN "&amp;エンティティ一覧!$O$2&amp;"."&amp;D$8&amp;"."&amp;D97&amp;" IS '"&amp;C97&amp;"';"</f>
        <v>COMMENT ON COLUMN milscm_2023_009.sny_202310_base_merge_dpc_ff1.a006030_iryo1_shobyo_name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663</v>
      </c>
      <c r="D98" s="13" t="s">
        <v>695</v>
      </c>
      <c r="E98" s="7"/>
      <c r="F98" s="7" t="s">
        <v>317</v>
      </c>
      <c r="G98" s="7" t="str">
        <f t="shared" si="3"/>
        <v>text</v>
      </c>
      <c r="H98" s="26"/>
      <c r="I98" s="10"/>
      <c r="J98" s="11" t="s">
        <v>837</v>
      </c>
      <c r="L98" s="4"/>
      <c r="M98" s="4"/>
      <c r="N98" s="76"/>
      <c r="O98" s="76"/>
      <c r="P98" s="76" t="str">
        <f t="shared" si="12"/>
        <v>,a006031_icd10_code</v>
      </c>
      <c r="Q98" s="76" t="str">
        <f t="shared" si="13"/>
        <v>TEXT</v>
      </c>
      <c r="R98" s="76" t="str">
        <f t="shared" si="14"/>
        <v/>
      </c>
      <c r="S98" s="76" t="str">
        <f t="shared" si="15"/>
        <v/>
      </c>
      <c r="T98" s="76" t="str">
        <f t="shared" si="16"/>
        <v>-- ICD10コード</v>
      </c>
      <c r="U98" s="4"/>
      <c r="AA98" s="4"/>
      <c r="AB98" s="4"/>
      <c r="AC98" s="4"/>
      <c r="AD98" s="4"/>
      <c r="AE98" s="4"/>
      <c r="AF98" s="4"/>
      <c r="AG98" s="4"/>
      <c r="AH98" s="4"/>
      <c r="AI98" s="4"/>
      <c r="AJ98" s="76" t="str">
        <f>IF(E98="○",IF(COUNTA(E$13:E98)=1,"",",")&amp;D98,"")</f>
        <v/>
      </c>
      <c r="AK98" s="4"/>
      <c r="AL98" s="4"/>
      <c r="AM98" s="4"/>
      <c r="AN98" s="4"/>
      <c r="AO98" s="4"/>
      <c r="AP98" s="4"/>
      <c r="AQ98" s="4"/>
      <c r="AR98" s="4"/>
      <c r="AS98" s="76" t="str">
        <f>"COMMENT ON COLUMN "&amp;エンティティ一覧!$O$2&amp;"."&amp;D$8&amp;"."&amp;D98&amp;" IS '"&amp;C98&amp;"';"</f>
        <v>COMMENT ON COLUMN milscm_2023_009.sny_202310_base_merge_dpc_ff1.a006031_icd10_code IS 'ICD10コード';</v>
      </c>
      <c r="AT98" s="4"/>
      <c r="AU98" s="4"/>
      <c r="AV98" s="4"/>
      <c r="AW98" s="4"/>
      <c r="AX98" s="4"/>
      <c r="AY98" s="4"/>
      <c r="AZ98" s="4"/>
    </row>
    <row r="99" spans="1:52" s="25" customFormat="1">
      <c r="A99" s="4"/>
      <c r="B99" s="21">
        <f t="shared" si="2"/>
        <v>87</v>
      </c>
      <c r="C99" s="13" t="s">
        <v>665</v>
      </c>
      <c r="D99" s="13" t="s">
        <v>696</v>
      </c>
      <c r="E99" s="7"/>
      <c r="F99" s="7" t="s">
        <v>317</v>
      </c>
      <c r="G99" s="7" t="str">
        <f t="shared" si="3"/>
        <v>text</v>
      </c>
      <c r="H99" s="58"/>
      <c r="I99" s="23"/>
      <c r="J99" s="24"/>
      <c r="L99" s="4"/>
      <c r="M99" s="4"/>
      <c r="N99" s="76"/>
      <c r="O99" s="76"/>
      <c r="P99" s="76" t="str">
        <f t="shared" si="12"/>
        <v>,a006031_shobyo_code</v>
      </c>
      <c r="Q99" s="76" t="str">
        <f t="shared" si="13"/>
        <v>TEXT</v>
      </c>
      <c r="R99" s="76" t="str">
        <f t="shared" si="14"/>
        <v/>
      </c>
      <c r="S99" s="76" t="str">
        <f t="shared" si="15"/>
        <v/>
      </c>
      <c r="T99" s="76" t="str">
        <f t="shared" si="16"/>
        <v>-- 傷病名コード</v>
      </c>
      <c r="U99" s="4"/>
      <c r="AA99" s="4"/>
      <c r="AB99" s="4"/>
      <c r="AC99" s="4"/>
      <c r="AD99" s="4"/>
      <c r="AE99" s="4"/>
      <c r="AF99" s="4"/>
      <c r="AG99" s="4"/>
      <c r="AH99" s="4"/>
      <c r="AI99" s="4"/>
      <c r="AJ99" s="76" t="str">
        <f>IF(E99="○",IF(COUNTA(E$13:E99)=1,"",",")&amp;D99,"")</f>
        <v/>
      </c>
      <c r="AK99" s="4"/>
      <c r="AL99" s="4"/>
      <c r="AM99" s="4"/>
      <c r="AN99" s="4"/>
      <c r="AO99" s="4"/>
      <c r="AP99" s="4"/>
      <c r="AQ99" s="4"/>
      <c r="AR99" s="4"/>
      <c r="AS99" s="76" t="str">
        <f>"COMMENT ON COLUMN "&amp;エンティティ一覧!$O$2&amp;"."&amp;D$8&amp;"."&amp;D99&amp;" IS '"&amp;C99&amp;"';"</f>
        <v>COMMENT ON COLUMN milscm_2023_009.sny_202310_base_merge_dpc_ff1.a006031_shobyo_code IS '傷病名コード';</v>
      </c>
      <c r="AT99" s="4"/>
      <c r="AU99" s="4"/>
      <c r="AV99" s="4"/>
      <c r="AW99" s="4"/>
      <c r="AX99" s="4"/>
      <c r="AY99" s="4"/>
      <c r="AZ99" s="4"/>
    </row>
    <row r="100" spans="1:52" s="25" customFormat="1" ht="30">
      <c r="A100" s="4"/>
      <c r="B100" s="21">
        <f t="shared" si="2"/>
        <v>88</v>
      </c>
      <c r="C100" s="13" t="s">
        <v>667</v>
      </c>
      <c r="D100" s="13" t="s">
        <v>697</v>
      </c>
      <c r="E100" s="7"/>
      <c r="F100" s="7" t="s">
        <v>317</v>
      </c>
      <c r="G100" s="7" t="str">
        <f t="shared" si="3"/>
        <v>text</v>
      </c>
      <c r="H100" s="26"/>
      <c r="I100" s="10"/>
      <c r="J100" s="11"/>
      <c r="L100" s="4"/>
      <c r="M100" s="4"/>
      <c r="N100" s="76"/>
      <c r="O100" s="76"/>
      <c r="P100" s="76" t="str">
        <f t="shared" si="12"/>
        <v>,a006031_shushoku_code1</v>
      </c>
      <c r="Q100" s="76" t="str">
        <f t="shared" si="13"/>
        <v>TEXT</v>
      </c>
      <c r="R100" s="76" t="str">
        <f t="shared" si="14"/>
        <v/>
      </c>
      <c r="S100" s="76" t="str">
        <f t="shared" si="15"/>
        <v/>
      </c>
      <c r="T100" s="76" t="str">
        <f t="shared" si="16"/>
        <v>-- 修飾語コード1</v>
      </c>
      <c r="U100" s="4"/>
      <c r="AA100" s="4"/>
      <c r="AB100" s="4"/>
      <c r="AC100" s="4"/>
      <c r="AD100" s="4"/>
      <c r="AE100" s="4"/>
      <c r="AF100" s="4"/>
      <c r="AG100" s="4"/>
      <c r="AH100" s="4"/>
      <c r="AI100" s="4"/>
      <c r="AJ100" s="76" t="str">
        <f>IF(E100="○",IF(COUNTA(E$13:E100)=1,"",",")&amp;D100,"")</f>
        <v/>
      </c>
      <c r="AK100" s="4"/>
      <c r="AL100" s="4"/>
      <c r="AM100" s="4"/>
      <c r="AN100" s="4"/>
      <c r="AO100" s="4"/>
      <c r="AP100" s="4"/>
      <c r="AQ100" s="4"/>
      <c r="AR100" s="4"/>
      <c r="AS100" s="76" t="str">
        <f>"COMMENT ON COLUMN "&amp;エンティティ一覧!$O$2&amp;"."&amp;D$8&amp;"."&amp;D100&amp;" IS '"&amp;C100&amp;"';"</f>
        <v>COMMENT ON COLUMN milscm_2023_009.sny_202310_base_merge_dpc_ff1.a006031_shushoku_code1 IS '修飾語コード1';</v>
      </c>
      <c r="AT100" s="4"/>
      <c r="AU100" s="4"/>
      <c r="AV100" s="4"/>
      <c r="AW100" s="4"/>
      <c r="AX100" s="4"/>
      <c r="AY100" s="4"/>
      <c r="AZ100" s="4"/>
    </row>
    <row r="101" spans="1:52" s="25" customFormat="1" ht="30">
      <c r="A101" s="4"/>
      <c r="B101" s="21">
        <f t="shared" si="2"/>
        <v>89</v>
      </c>
      <c r="C101" s="6" t="s">
        <v>669</v>
      </c>
      <c r="D101" s="6" t="s">
        <v>698</v>
      </c>
      <c r="E101" s="8"/>
      <c r="F101" s="7" t="s">
        <v>317</v>
      </c>
      <c r="G101" s="7" t="str">
        <f t="shared" si="3"/>
        <v>text</v>
      </c>
      <c r="H101" s="58"/>
      <c r="I101" s="23"/>
      <c r="J101" s="24"/>
      <c r="L101" s="4"/>
      <c r="M101" s="4"/>
      <c r="N101" s="76"/>
      <c r="O101" s="76"/>
      <c r="P101" s="76" t="str">
        <f t="shared" si="12"/>
        <v>,a006031_shushoku_code2</v>
      </c>
      <c r="Q101" s="76" t="str">
        <f t="shared" si="13"/>
        <v>TEXT</v>
      </c>
      <c r="R101" s="76" t="str">
        <f t="shared" si="14"/>
        <v/>
      </c>
      <c r="S101" s="76" t="str">
        <f t="shared" si="15"/>
        <v/>
      </c>
      <c r="T101" s="76" t="str">
        <f t="shared" si="16"/>
        <v>-- 修飾語コード2</v>
      </c>
      <c r="U101" s="4"/>
      <c r="AA101" s="4"/>
      <c r="AB101" s="4"/>
      <c r="AC101" s="4"/>
      <c r="AD101" s="4"/>
      <c r="AE101" s="4"/>
      <c r="AF101" s="4"/>
      <c r="AG101" s="4"/>
      <c r="AH101" s="4"/>
      <c r="AI101" s="4"/>
      <c r="AJ101" s="76" t="str">
        <f>IF(E101="○",IF(COUNTA(E$13:E101)=1,"",",")&amp;D101,"")</f>
        <v/>
      </c>
      <c r="AK101" s="4"/>
      <c r="AL101" s="4"/>
      <c r="AM101" s="4"/>
      <c r="AN101" s="4"/>
      <c r="AO101" s="4"/>
      <c r="AP101" s="4"/>
      <c r="AQ101" s="4"/>
      <c r="AR101" s="4"/>
      <c r="AS101" s="76" t="str">
        <f>"COMMENT ON COLUMN "&amp;エンティティ一覧!$O$2&amp;"."&amp;D$8&amp;"."&amp;D101&amp;" IS '"&amp;C101&amp;"';"</f>
        <v>COMMENT ON COLUMN milscm_2023_009.sny_202310_base_merge_dpc_ff1.a006031_shushoku_code2 IS '修飾語コード2';</v>
      </c>
      <c r="AT101" s="4"/>
      <c r="AU101" s="4"/>
      <c r="AV101" s="4"/>
      <c r="AW101" s="4"/>
      <c r="AX101" s="4"/>
      <c r="AY101" s="4"/>
      <c r="AZ101" s="4"/>
    </row>
    <row r="102" spans="1:52" s="25" customFormat="1" ht="30">
      <c r="A102" s="4"/>
      <c r="B102" s="21">
        <f t="shared" si="2"/>
        <v>90</v>
      </c>
      <c r="C102" s="13" t="s">
        <v>671</v>
      </c>
      <c r="D102" s="13" t="s">
        <v>699</v>
      </c>
      <c r="E102" s="7"/>
      <c r="F102" s="7" t="s">
        <v>317</v>
      </c>
      <c r="G102" s="7" t="str">
        <f t="shared" si="3"/>
        <v>text</v>
      </c>
      <c r="H102" s="26"/>
      <c r="I102" s="10"/>
      <c r="J102" s="11"/>
      <c r="L102" s="4"/>
      <c r="M102" s="4"/>
      <c r="N102" s="76"/>
      <c r="O102" s="76"/>
      <c r="P102" s="76" t="str">
        <f t="shared" si="12"/>
        <v>,a006031_shushoku_code3</v>
      </c>
      <c r="Q102" s="76" t="str">
        <f t="shared" si="13"/>
        <v>TEXT</v>
      </c>
      <c r="R102" s="76" t="str">
        <f t="shared" si="14"/>
        <v/>
      </c>
      <c r="S102" s="76" t="str">
        <f t="shared" si="15"/>
        <v/>
      </c>
      <c r="T102" s="76" t="str">
        <f t="shared" si="16"/>
        <v>-- 修飾語コード3</v>
      </c>
      <c r="U102" s="4"/>
      <c r="AA102" s="4"/>
      <c r="AB102" s="4"/>
      <c r="AC102" s="4"/>
      <c r="AD102" s="4"/>
      <c r="AE102" s="4"/>
      <c r="AF102" s="4"/>
      <c r="AG102" s="4"/>
      <c r="AH102" s="4"/>
      <c r="AI102" s="4"/>
      <c r="AJ102" s="76" t="str">
        <f>IF(E102="○",IF(COUNTA(E$13:E102)=1,"",",")&amp;D102,"")</f>
        <v/>
      </c>
      <c r="AK102" s="4"/>
      <c r="AL102" s="4"/>
      <c r="AM102" s="4"/>
      <c r="AN102" s="4"/>
      <c r="AO102" s="4"/>
      <c r="AP102" s="4"/>
      <c r="AQ102" s="4"/>
      <c r="AR102" s="4"/>
      <c r="AS102" s="76" t="str">
        <f>"COMMENT ON COLUMN "&amp;エンティティ一覧!$O$2&amp;"."&amp;D$8&amp;"."&amp;D102&amp;" IS '"&amp;C102&amp;"';"</f>
        <v>COMMENT ON COLUMN milscm_2023_009.sny_202310_base_merge_dpc_ff1.a006031_shushoku_code3 IS '修飾語コード3';</v>
      </c>
      <c r="AT102" s="4"/>
      <c r="AU102" s="4"/>
      <c r="AV102" s="4"/>
      <c r="AW102" s="4"/>
      <c r="AX102" s="4"/>
      <c r="AY102" s="4"/>
      <c r="AZ102" s="4"/>
    </row>
    <row r="103" spans="1:52" s="25" customFormat="1" ht="30">
      <c r="A103" s="4"/>
      <c r="B103" s="21">
        <f t="shared" si="2"/>
        <v>91</v>
      </c>
      <c r="C103" s="6" t="s">
        <v>673</v>
      </c>
      <c r="D103" s="6" t="s">
        <v>700</v>
      </c>
      <c r="E103" s="8"/>
      <c r="F103" s="7" t="s">
        <v>317</v>
      </c>
      <c r="G103" s="7" t="str">
        <f t="shared" si="3"/>
        <v>text</v>
      </c>
      <c r="H103" s="58"/>
      <c r="I103" s="23"/>
      <c r="J103" s="24"/>
      <c r="L103" s="4"/>
      <c r="M103" s="4"/>
      <c r="N103" s="76"/>
      <c r="O103" s="76"/>
      <c r="P103" s="76" t="str">
        <f t="shared" si="12"/>
        <v>,a006031_shushoku_code4</v>
      </c>
      <c r="Q103" s="76" t="str">
        <f t="shared" si="13"/>
        <v>TEXT</v>
      </c>
      <c r="R103" s="76" t="str">
        <f t="shared" si="14"/>
        <v/>
      </c>
      <c r="S103" s="76" t="str">
        <f t="shared" si="15"/>
        <v/>
      </c>
      <c r="T103" s="76" t="str">
        <f t="shared" si="16"/>
        <v>-- 修飾語コード4</v>
      </c>
      <c r="U103" s="4"/>
      <c r="AA103" s="4"/>
      <c r="AB103" s="4"/>
      <c r="AC103" s="4"/>
      <c r="AD103" s="4"/>
      <c r="AE103" s="4"/>
      <c r="AF103" s="4"/>
      <c r="AG103" s="4"/>
      <c r="AH103" s="4"/>
      <c r="AI103" s="4"/>
      <c r="AJ103" s="76" t="str">
        <f>IF(E103="○",IF(COUNTA(E$13:E103)=1,"",",")&amp;D103,"")</f>
        <v/>
      </c>
      <c r="AK103" s="4"/>
      <c r="AL103" s="4"/>
      <c r="AM103" s="4"/>
      <c r="AN103" s="4"/>
      <c r="AO103" s="4"/>
      <c r="AP103" s="4"/>
      <c r="AQ103" s="4"/>
      <c r="AR103" s="4"/>
      <c r="AS103" s="76" t="str">
        <f>"COMMENT ON COLUMN "&amp;エンティティ一覧!$O$2&amp;"."&amp;D$8&amp;"."&amp;D103&amp;" IS '"&amp;C103&amp;"';"</f>
        <v>COMMENT ON COLUMN milscm_2023_009.sny_202310_base_merge_dpc_ff1.a006031_shushoku_code4 IS '修飾語コード4';</v>
      </c>
      <c r="AT103" s="4"/>
      <c r="AU103" s="4"/>
      <c r="AV103" s="4"/>
      <c r="AW103" s="4"/>
      <c r="AX103" s="4"/>
      <c r="AY103" s="4"/>
      <c r="AZ103" s="4"/>
    </row>
    <row r="104" spans="1:52" s="25" customFormat="1" ht="30">
      <c r="A104" s="4"/>
      <c r="B104" s="21">
        <f t="shared" si="2"/>
        <v>92</v>
      </c>
      <c r="C104" s="13" t="s">
        <v>701</v>
      </c>
      <c r="D104" s="13" t="s">
        <v>702</v>
      </c>
      <c r="E104" s="7"/>
      <c r="F104" s="7" t="s">
        <v>317</v>
      </c>
      <c r="G104" s="7" t="str">
        <f t="shared" si="3"/>
        <v>text</v>
      </c>
      <c r="H104" s="26"/>
      <c r="I104" s="10"/>
      <c r="J104" s="11" t="s">
        <v>838</v>
      </c>
      <c r="L104" s="4"/>
      <c r="M104" s="4"/>
      <c r="N104" s="76"/>
      <c r="O104" s="76"/>
      <c r="P104" s="76" t="str">
        <f t="shared" si="12"/>
        <v>,a006031_iryo2_shobyo_name</v>
      </c>
      <c r="Q104" s="76" t="str">
        <f t="shared" si="13"/>
        <v>TEXT</v>
      </c>
      <c r="R104" s="76" t="str">
        <f t="shared" si="14"/>
        <v/>
      </c>
      <c r="S104" s="76" t="str">
        <f t="shared" si="15"/>
        <v/>
      </c>
      <c r="T104" s="76" t="str">
        <f t="shared" si="16"/>
        <v>-- 医療資源を2番目に投入した傷病名</v>
      </c>
      <c r="U104" s="4"/>
      <c r="AA104" s="4"/>
      <c r="AB104" s="4"/>
      <c r="AC104" s="4"/>
      <c r="AD104" s="4"/>
      <c r="AE104" s="4"/>
      <c r="AF104" s="4"/>
      <c r="AG104" s="4"/>
      <c r="AH104" s="4"/>
      <c r="AI104" s="4"/>
      <c r="AJ104" s="76" t="str">
        <f>IF(E104="○",IF(COUNTA(E$13:E104)=1,"",",")&amp;D104,"")</f>
        <v/>
      </c>
      <c r="AK104" s="4"/>
      <c r="AL104" s="4"/>
      <c r="AM104" s="4"/>
      <c r="AN104" s="4"/>
      <c r="AO104" s="4"/>
      <c r="AP104" s="4"/>
      <c r="AQ104" s="4"/>
      <c r="AR104" s="4"/>
      <c r="AS104" s="76" t="str">
        <f>"COMMENT ON COLUMN "&amp;エンティティ一覧!$O$2&amp;"."&amp;D$8&amp;"."&amp;D104&amp;" IS '"&amp;C104&amp;"';"</f>
        <v>COMMENT ON COLUMN milscm_2023_009.sny_202310_base_merge_dpc_ff1.a006031_iryo2_shobyo_name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703</v>
      </c>
      <c r="D105" s="6" t="s">
        <v>704</v>
      </c>
      <c r="E105" s="8"/>
      <c r="F105" s="7" t="s">
        <v>317</v>
      </c>
      <c r="G105" s="7" t="str">
        <f t="shared" si="3"/>
        <v>text</v>
      </c>
      <c r="H105" s="58"/>
      <c r="I105" s="23"/>
      <c r="J105" s="24"/>
      <c r="L105" s="4"/>
      <c r="M105" s="4"/>
      <c r="N105" s="76"/>
      <c r="O105" s="76"/>
      <c r="P105" s="76" t="str">
        <f t="shared" si="12"/>
        <v>,a006060_nanbyo_kokuji_no1</v>
      </c>
      <c r="Q105" s="76" t="str">
        <f t="shared" si="13"/>
        <v>TEXT</v>
      </c>
      <c r="R105" s="76" t="str">
        <f t="shared" si="14"/>
        <v/>
      </c>
      <c r="S105" s="76" t="str">
        <f t="shared" si="15"/>
        <v/>
      </c>
      <c r="T105" s="76" t="str">
        <f t="shared" si="16"/>
        <v>-- 難病の告示番号1</v>
      </c>
      <c r="U105" s="4"/>
      <c r="AA105" s="4"/>
      <c r="AB105" s="4"/>
      <c r="AC105" s="4"/>
      <c r="AD105" s="4"/>
      <c r="AE105" s="4"/>
      <c r="AF105" s="4"/>
      <c r="AG105" s="4"/>
      <c r="AH105" s="4"/>
      <c r="AI105" s="4"/>
      <c r="AJ105" s="76" t="str">
        <f>IF(E105="○",IF(COUNTA(E$13:E105)=1,"",",")&amp;D105,"")</f>
        <v/>
      </c>
      <c r="AK105" s="4"/>
      <c r="AL105" s="4"/>
      <c r="AM105" s="4"/>
      <c r="AN105" s="4"/>
      <c r="AO105" s="4"/>
      <c r="AP105" s="4"/>
      <c r="AQ105" s="4"/>
      <c r="AR105" s="4"/>
      <c r="AS105" s="76" t="str">
        <f>"COMMENT ON COLUMN "&amp;エンティティ一覧!$O$2&amp;"."&amp;D$8&amp;"."&amp;D105&amp;" IS '"&amp;C105&amp;"';"</f>
        <v>COMMENT ON COLUMN milscm_2023_009.sny_202310_base_merge_dpc_ff1.a006060_nanbyo_kokuji_no1 IS '難病の告示番号1';</v>
      </c>
      <c r="AT105" s="4"/>
      <c r="AU105" s="4"/>
      <c r="AV105" s="4"/>
      <c r="AW105" s="4"/>
      <c r="AX105" s="4"/>
      <c r="AY105" s="4"/>
      <c r="AZ105" s="4"/>
    </row>
    <row r="106" spans="1:52" s="25" customFormat="1" ht="30">
      <c r="A106" s="4"/>
      <c r="B106" s="21">
        <f t="shared" si="2"/>
        <v>94</v>
      </c>
      <c r="C106" s="6" t="s">
        <v>705</v>
      </c>
      <c r="D106" s="6" t="s">
        <v>706</v>
      </c>
      <c r="E106" s="8"/>
      <c r="F106" s="7" t="s">
        <v>317</v>
      </c>
      <c r="G106" s="7" t="str">
        <f t="shared" si="3"/>
        <v>text</v>
      </c>
      <c r="H106" s="58"/>
      <c r="I106" s="23"/>
      <c r="J106" s="24" t="s">
        <v>839</v>
      </c>
      <c r="L106" s="4"/>
      <c r="M106" s="4"/>
      <c r="N106" s="76"/>
      <c r="O106" s="76"/>
      <c r="P106" s="76" t="str">
        <f t="shared" si="12"/>
        <v>,a006060_iryohi_josei_flag1</v>
      </c>
      <c r="Q106" s="76" t="str">
        <f t="shared" si="13"/>
        <v>TEXT</v>
      </c>
      <c r="R106" s="76" t="str">
        <f t="shared" si="14"/>
        <v/>
      </c>
      <c r="S106" s="76" t="str">
        <f t="shared" si="15"/>
        <v/>
      </c>
      <c r="T106" s="76" t="str">
        <f t="shared" si="16"/>
        <v>-- 医療費助成の有無1</v>
      </c>
      <c r="U106" s="4"/>
      <c r="AA106" s="4"/>
      <c r="AB106" s="4"/>
      <c r="AC106" s="4"/>
      <c r="AD106" s="4"/>
      <c r="AE106" s="4"/>
      <c r="AF106" s="4"/>
      <c r="AG106" s="4"/>
      <c r="AH106" s="4"/>
      <c r="AI106" s="4"/>
      <c r="AJ106" s="76" t="str">
        <f>IF(E106="○",IF(COUNTA(E$13:E106)=1,"",",")&amp;D106,"")</f>
        <v/>
      </c>
      <c r="AK106" s="4"/>
      <c r="AL106" s="4"/>
      <c r="AM106" s="4"/>
      <c r="AN106" s="4"/>
      <c r="AO106" s="4"/>
      <c r="AP106" s="4"/>
      <c r="AQ106" s="4"/>
      <c r="AR106" s="4"/>
      <c r="AS106" s="76" t="str">
        <f>"COMMENT ON COLUMN "&amp;エンティティ一覧!$O$2&amp;"."&amp;D$8&amp;"."&amp;D106&amp;" IS '"&amp;C106&amp;"';"</f>
        <v>COMMENT ON COLUMN milscm_2023_009.sny_202310_base_merge_dpc_ff1.a006060_iryohi_josei_flag1 IS '医療費助成の有無1';</v>
      </c>
      <c r="AT106" s="4"/>
      <c r="AU106" s="4"/>
      <c r="AV106" s="4"/>
      <c r="AW106" s="4"/>
      <c r="AX106" s="4"/>
      <c r="AY106" s="4"/>
      <c r="AZ106" s="4"/>
    </row>
    <row r="107" spans="1:52" s="25" customFormat="1" ht="30">
      <c r="A107" s="4"/>
      <c r="B107" s="21">
        <f t="shared" si="2"/>
        <v>95</v>
      </c>
      <c r="C107" s="13" t="s">
        <v>707</v>
      </c>
      <c r="D107" s="13" t="s">
        <v>708</v>
      </c>
      <c r="E107" s="7"/>
      <c r="F107" s="7" t="s">
        <v>317</v>
      </c>
      <c r="G107" s="7" t="str">
        <f t="shared" si="3"/>
        <v>text</v>
      </c>
      <c r="H107" s="26"/>
      <c r="I107" s="10"/>
      <c r="J107" s="11"/>
      <c r="L107" s="4"/>
      <c r="M107" s="4"/>
      <c r="N107" s="76"/>
      <c r="O107" s="76"/>
      <c r="P107" s="76" t="str">
        <f t="shared" si="12"/>
        <v>,a006060_nanbyo_kokuji_no2</v>
      </c>
      <c r="Q107" s="76" t="str">
        <f t="shared" si="13"/>
        <v>TEXT</v>
      </c>
      <c r="R107" s="76" t="str">
        <f t="shared" si="14"/>
        <v/>
      </c>
      <c r="S107" s="76" t="str">
        <f t="shared" si="15"/>
        <v/>
      </c>
      <c r="T107" s="76" t="str">
        <f t="shared" si="16"/>
        <v>-- 難病の告示番号2</v>
      </c>
      <c r="U107" s="4"/>
      <c r="AA107" s="4"/>
      <c r="AB107" s="4"/>
      <c r="AC107" s="4"/>
      <c r="AD107" s="4"/>
      <c r="AE107" s="4"/>
      <c r="AF107" s="4"/>
      <c r="AG107" s="4"/>
      <c r="AH107" s="4"/>
      <c r="AI107" s="4"/>
      <c r="AJ107" s="76" t="str">
        <f>IF(E107="○",IF(COUNTA(E$13:E107)=1,"",",")&amp;D107,"")</f>
        <v/>
      </c>
      <c r="AK107" s="4"/>
      <c r="AL107" s="4"/>
      <c r="AM107" s="4"/>
      <c r="AN107" s="4"/>
      <c r="AO107" s="4"/>
      <c r="AP107" s="4"/>
      <c r="AQ107" s="4"/>
      <c r="AR107" s="4"/>
      <c r="AS107" s="76" t="str">
        <f>"COMMENT ON COLUMN "&amp;エンティティ一覧!$O$2&amp;"."&amp;D$8&amp;"."&amp;D107&amp;" IS '"&amp;C107&amp;"';"</f>
        <v>COMMENT ON COLUMN milscm_2023_009.sny_202310_base_merge_dpc_ff1.a006060_nanbyo_kokuji_no2 IS '難病の告示番号2';</v>
      </c>
      <c r="AT107" s="4"/>
      <c r="AU107" s="4"/>
      <c r="AV107" s="4"/>
      <c r="AW107" s="4"/>
      <c r="AX107" s="4"/>
      <c r="AY107" s="4"/>
      <c r="AZ107" s="4"/>
    </row>
    <row r="108" spans="1:52" s="25" customFormat="1" ht="30">
      <c r="A108" s="4"/>
      <c r="B108" s="21">
        <f t="shared" si="2"/>
        <v>96</v>
      </c>
      <c r="C108" s="6" t="s">
        <v>709</v>
      </c>
      <c r="D108" s="6" t="s">
        <v>710</v>
      </c>
      <c r="E108" s="8"/>
      <c r="F108" s="7" t="s">
        <v>317</v>
      </c>
      <c r="G108" s="7" t="str">
        <f t="shared" si="3"/>
        <v>text</v>
      </c>
      <c r="H108" s="26"/>
      <c r="I108" s="10"/>
      <c r="J108" s="11" t="s">
        <v>839</v>
      </c>
      <c r="L108" s="4"/>
      <c r="M108" s="4"/>
      <c r="N108" s="76"/>
      <c r="O108" s="76"/>
      <c r="P108" s="76" t="str">
        <f t="shared" si="12"/>
        <v>,a006060_iryohi_josei_flag2</v>
      </c>
      <c r="Q108" s="76" t="str">
        <f t="shared" si="13"/>
        <v>TEXT</v>
      </c>
      <c r="R108" s="76" t="str">
        <f t="shared" si="14"/>
        <v/>
      </c>
      <c r="S108" s="76" t="str">
        <f t="shared" si="15"/>
        <v/>
      </c>
      <c r="T108" s="76" t="str">
        <f t="shared" si="16"/>
        <v>-- 医療費助成の有無2</v>
      </c>
      <c r="U108" s="4"/>
      <c r="AA108" s="4"/>
      <c r="AB108" s="4"/>
      <c r="AC108" s="4"/>
      <c r="AD108" s="4"/>
      <c r="AE108" s="4"/>
      <c r="AF108" s="4"/>
      <c r="AG108" s="4"/>
      <c r="AH108" s="4"/>
      <c r="AI108" s="4"/>
      <c r="AJ108" s="76" t="str">
        <f>IF(E108="○",IF(COUNTA(E$13:E108)=1,"",",")&amp;D108,"")</f>
        <v/>
      </c>
      <c r="AK108" s="4"/>
      <c r="AL108" s="4"/>
      <c r="AM108" s="4"/>
      <c r="AN108" s="4"/>
      <c r="AO108" s="4"/>
      <c r="AP108" s="4"/>
      <c r="AQ108" s="4"/>
      <c r="AR108" s="4"/>
      <c r="AS108" s="76" t="str">
        <f>"COMMENT ON COLUMN "&amp;エンティティ一覧!$O$2&amp;"."&amp;D$8&amp;"."&amp;D108&amp;" IS '"&amp;C108&amp;"';"</f>
        <v>COMMENT ON COLUMN milscm_2023_009.sny_202310_base_merge_dpc_ff1.a006060_iryohi_josei_flag2 IS '医療費助成の有無2';</v>
      </c>
      <c r="AT108" s="4"/>
      <c r="AU108" s="4"/>
      <c r="AV108" s="4"/>
      <c r="AW108" s="4"/>
      <c r="AX108" s="4"/>
      <c r="AY108" s="4"/>
      <c r="AZ108" s="4"/>
    </row>
    <row r="109" spans="1:52" s="25" customFormat="1">
      <c r="A109" s="4"/>
      <c r="B109" s="21">
        <f t="shared" si="2"/>
        <v>97</v>
      </c>
      <c r="C109" s="13" t="s">
        <v>711</v>
      </c>
      <c r="D109" s="13" t="s">
        <v>712</v>
      </c>
      <c r="E109" s="7"/>
      <c r="F109" s="7" t="s">
        <v>317</v>
      </c>
      <c r="G109" s="7" t="str">
        <f t="shared" si="3"/>
        <v>text</v>
      </c>
      <c r="H109" s="58"/>
      <c r="I109" s="23"/>
      <c r="J109" s="24" t="s">
        <v>840</v>
      </c>
      <c r="L109" s="4"/>
      <c r="M109" s="4"/>
      <c r="N109" s="76"/>
      <c r="O109" s="76"/>
      <c r="P109" s="76" t="str">
        <f t="shared" si="12"/>
        <v>,adl0010_nyuin_adl</v>
      </c>
      <c r="Q109" s="76" t="str">
        <f t="shared" si="13"/>
        <v>TEXT</v>
      </c>
      <c r="R109" s="76" t="str">
        <f t="shared" si="14"/>
        <v/>
      </c>
      <c r="S109" s="76" t="str">
        <f t="shared" si="15"/>
        <v/>
      </c>
      <c r="T109" s="76" t="str">
        <f t="shared" si="16"/>
        <v>-- 入院時のADLスコア</v>
      </c>
      <c r="U109" s="4"/>
      <c r="AA109" s="4"/>
      <c r="AB109" s="4"/>
      <c r="AC109" s="4"/>
      <c r="AD109" s="4"/>
      <c r="AE109" s="4"/>
      <c r="AF109" s="4"/>
      <c r="AG109" s="4"/>
      <c r="AH109" s="4"/>
      <c r="AI109" s="4"/>
      <c r="AJ109" s="76" t="str">
        <f>IF(E109="○",IF(COUNTA(E$13:E109)=1,"",",")&amp;D109,"")</f>
        <v/>
      </c>
      <c r="AK109" s="4"/>
      <c r="AL109" s="4"/>
      <c r="AM109" s="4"/>
      <c r="AN109" s="4"/>
      <c r="AO109" s="4"/>
      <c r="AP109" s="4"/>
      <c r="AQ109" s="4"/>
      <c r="AR109" s="4"/>
      <c r="AS109" s="76" t="str">
        <f>"COMMENT ON COLUMN "&amp;エンティティ一覧!$O$2&amp;"."&amp;D$8&amp;"."&amp;D109&amp;" IS '"&amp;C109&amp;"';"</f>
        <v>COMMENT ON COLUMN milscm_2023_009.sny_202310_base_merge_dpc_ff1.adl0010_nyuin_adl IS '入院時のADLスコア';</v>
      </c>
      <c r="AT109" s="4"/>
      <c r="AU109" s="4"/>
      <c r="AV109" s="4"/>
      <c r="AW109" s="4"/>
      <c r="AX109" s="4"/>
      <c r="AY109" s="4"/>
      <c r="AZ109" s="4"/>
    </row>
    <row r="110" spans="1:52" s="25" customFormat="1">
      <c r="A110" s="4"/>
      <c r="B110" s="21">
        <f t="shared" si="2"/>
        <v>98</v>
      </c>
      <c r="C110" s="6" t="s">
        <v>713</v>
      </c>
      <c r="D110" s="6" t="s">
        <v>714</v>
      </c>
      <c r="E110" s="8"/>
      <c r="F110" s="7" t="s">
        <v>317</v>
      </c>
      <c r="G110" s="7" t="str">
        <f t="shared" si="3"/>
        <v>text</v>
      </c>
      <c r="H110" s="26"/>
      <c r="I110" s="10"/>
      <c r="J110" s="11" t="s">
        <v>840</v>
      </c>
      <c r="L110" s="4"/>
      <c r="M110" s="4"/>
      <c r="N110" s="76"/>
      <c r="O110" s="76"/>
      <c r="P110" s="76" t="str">
        <f t="shared" si="12"/>
        <v>,adl0020_taiin_adl</v>
      </c>
      <c r="Q110" s="76" t="str">
        <f t="shared" si="13"/>
        <v>TEXT</v>
      </c>
      <c r="R110" s="76" t="str">
        <f t="shared" si="14"/>
        <v/>
      </c>
      <c r="S110" s="76" t="str">
        <f t="shared" si="15"/>
        <v/>
      </c>
      <c r="T110" s="76" t="str">
        <f t="shared" si="16"/>
        <v>-- 退院時のADLスコア</v>
      </c>
      <c r="U110" s="4"/>
      <c r="AA110" s="4"/>
      <c r="AB110" s="4"/>
      <c r="AC110" s="4"/>
      <c r="AD110" s="4"/>
      <c r="AE110" s="4"/>
      <c r="AF110" s="4"/>
      <c r="AG110" s="4"/>
      <c r="AH110" s="4"/>
      <c r="AI110" s="4"/>
      <c r="AJ110" s="76" t="str">
        <f>IF(E110="○",IF(COUNTA(E$13:E110)=1,"",",")&amp;D110,"")</f>
        <v/>
      </c>
      <c r="AK110" s="4"/>
      <c r="AL110" s="4"/>
      <c r="AM110" s="4"/>
      <c r="AN110" s="4"/>
      <c r="AO110" s="4"/>
      <c r="AP110" s="4"/>
      <c r="AQ110" s="4"/>
      <c r="AR110" s="4"/>
      <c r="AS110" s="76" t="str">
        <f>"COMMENT ON COLUMN "&amp;エンティティ一覧!$O$2&amp;"."&amp;D$8&amp;"."&amp;D110&amp;" IS '"&amp;C110&amp;"';"</f>
        <v>COMMENT ON COLUMN milscm_2023_009.sny_202310_base_merge_dpc_ff1.adl0020_taiin_adl IS '退院時のADLスコア';</v>
      </c>
      <c r="AT110" s="4"/>
      <c r="AU110" s="4"/>
      <c r="AV110" s="4"/>
      <c r="AW110" s="4"/>
      <c r="AX110" s="4"/>
      <c r="AY110" s="4"/>
      <c r="AZ110" s="4"/>
    </row>
    <row r="111" spans="1:52" s="25" customFormat="1">
      <c r="A111" s="4"/>
      <c r="B111" s="21">
        <f t="shared" si="2"/>
        <v>99</v>
      </c>
      <c r="C111" s="13" t="s">
        <v>715</v>
      </c>
      <c r="D111" s="13" t="s">
        <v>716</v>
      </c>
      <c r="E111" s="7"/>
      <c r="F111" s="7" t="s">
        <v>317</v>
      </c>
      <c r="G111" s="7" t="str">
        <f t="shared" si="3"/>
        <v>text</v>
      </c>
      <c r="H111" s="58"/>
      <c r="I111" s="23"/>
      <c r="J111" s="24" t="s">
        <v>840</v>
      </c>
      <c r="L111" s="4"/>
      <c r="M111" s="4"/>
      <c r="N111" s="76"/>
      <c r="O111" s="76"/>
      <c r="P111" s="76" t="str">
        <f t="shared" si="12"/>
        <v>,adl0030_nyutou_adl</v>
      </c>
      <c r="Q111" s="76" t="str">
        <f t="shared" si="13"/>
        <v>TEXT</v>
      </c>
      <c r="R111" s="76" t="str">
        <f t="shared" si="14"/>
        <v/>
      </c>
      <c r="S111" s="76" t="str">
        <f t="shared" si="15"/>
        <v/>
      </c>
      <c r="T111" s="76" t="str">
        <f t="shared" si="16"/>
        <v>-- 入棟・入室時のADLスコア</v>
      </c>
      <c r="U111" s="4"/>
      <c r="AA111" s="4"/>
      <c r="AB111" s="4"/>
      <c r="AC111" s="4"/>
      <c r="AD111" s="4"/>
      <c r="AE111" s="4"/>
      <c r="AF111" s="4"/>
      <c r="AG111" s="4"/>
      <c r="AH111" s="4"/>
      <c r="AI111" s="4"/>
      <c r="AJ111" s="76" t="str">
        <f>IF(E111="○",IF(COUNTA(E$13:E111)=1,"",",")&amp;D111,"")</f>
        <v/>
      </c>
      <c r="AK111" s="4"/>
      <c r="AL111" s="4"/>
      <c r="AM111" s="4"/>
      <c r="AN111" s="4"/>
      <c r="AO111" s="4"/>
      <c r="AP111" s="4"/>
      <c r="AQ111" s="4"/>
      <c r="AR111" s="4"/>
      <c r="AS111" s="76" t="str">
        <f>"COMMENT ON COLUMN "&amp;エンティティ一覧!$O$2&amp;"."&amp;D$8&amp;"."&amp;D111&amp;" IS '"&amp;C111&amp;"';"</f>
        <v>COMMENT ON COLUMN milscm_2023_009.sny_202310_base_merge_dpc_ff1.adl0030_nyutou_adl IS '入棟・入室時のADLスコア';</v>
      </c>
      <c r="AT111" s="4"/>
      <c r="AU111" s="4"/>
      <c r="AV111" s="4"/>
      <c r="AW111" s="4"/>
      <c r="AX111" s="4"/>
      <c r="AY111" s="4"/>
      <c r="AZ111" s="4"/>
    </row>
    <row r="112" spans="1:52" s="25" customFormat="1">
      <c r="A112" s="4"/>
      <c r="B112" s="21">
        <f t="shared" si="2"/>
        <v>100</v>
      </c>
      <c r="C112" s="6" t="s">
        <v>717</v>
      </c>
      <c r="D112" s="6" t="s">
        <v>718</v>
      </c>
      <c r="E112" s="8"/>
      <c r="F112" s="7" t="s">
        <v>317</v>
      </c>
      <c r="G112" s="7" t="str">
        <f t="shared" si="3"/>
        <v>text</v>
      </c>
      <c r="H112" s="26"/>
      <c r="I112" s="10"/>
      <c r="J112" s="11" t="s">
        <v>840</v>
      </c>
      <c r="L112" s="4"/>
      <c r="M112" s="4"/>
      <c r="N112" s="76"/>
      <c r="O112" s="76"/>
      <c r="P112" s="76" t="str">
        <f t="shared" si="12"/>
        <v>,adl0040_taitou_adl</v>
      </c>
      <c r="Q112" s="76" t="str">
        <f t="shared" si="13"/>
        <v>TEXT</v>
      </c>
      <c r="R112" s="76" t="str">
        <f t="shared" si="14"/>
        <v/>
      </c>
      <c r="S112" s="76" t="str">
        <f t="shared" si="15"/>
        <v/>
      </c>
      <c r="T112" s="76" t="str">
        <f t="shared" si="16"/>
        <v>-- 退棟・退室時のADLスコア</v>
      </c>
      <c r="U112" s="4"/>
      <c r="AA112" s="4"/>
      <c r="AB112" s="4"/>
      <c r="AC112" s="4"/>
      <c r="AD112" s="4"/>
      <c r="AE112" s="4"/>
      <c r="AF112" s="4"/>
      <c r="AG112" s="4"/>
      <c r="AH112" s="4"/>
      <c r="AI112" s="4"/>
      <c r="AJ112" s="76" t="str">
        <f>IF(E112="○",IF(COUNTA(E$13:E112)=1,"",",")&amp;D112,"")</f>
        <v/>
      </c>
      <c r="AK112" s="4"/>
      <c r="AL112" s="4"/>
      <c r="AM112" s="4"/>
      <c r="AN112" s="4"/>
      <c r="AO112" s="4"/>
      <c r="AP112" s="4"/>
      <c r="AQ112" s="4"/>
      <c r="AR112" s="4"/>
      <c r="AS112" s="76" t="str">
        <f>"COMMENT ON COLUMN "&amp;エンティティ一覧!$O$2&amp;"."&amp;D$8&amp;"."&amp;D112&amp;" IS '"&amp;C112&amp;"';"</f>
        <v>COMMENT ON COLUMN milscm_2023_009.sny_202310_base_merge_dpc_ff1.adl0040_taitou_adl IS '退棟・退室時のADLスコア';</v>
      </c>
      <c r="AT112" s="4"/>
      <c r="AU112" s="4"/>
      <c r="AV112" s="4"/>
      <c r="AW112" s="4"/>
      <c r="AX112" s="4"/>
      <c r="AY112" s="4"/>
      <c r="AZ112" s="4"/>
    </row>
    <row r="113" spans="1:52" s="25" customFormat="1">
      <c r="A113" s="4"/>
      <c r="B113" s="21">
        <f t="shared" si="2"/>
        <v>101</v>
      </c>
      <c r="C113" s="13" t="s">
        <v>719</v>
      </c>
      <c r="D113" s="13" t="s">
        <v>720</v>
      </c>
      <c r="E113" s="7"/>
      <c r="F113" s="7" t="s">
        <v>317</v>
      </c>
      <c r="G113" s="7" t="str">
        <f t="shared" si="3"/>
        <v>text</v>
      </c>
      <c r="H113" s="58"/>
      <c r="I113" s="23"/>
      <c r="J113" s="24" t="s">
        <v>841</v>
      </c>
      <c r="L113" s="4"/>
      <c r="M113" s="4"/>
      <c r="N113" s="76"/>
      <c r="O113" s="76"/>
      <c r="P113" s="76" t="str">
        <f t="shared" si="12"/>
        <v>,can0010_gan_shohatsu</v>
      </c>
      <c r="Q113" s="76" t="str">
        <f t="shared" si="13"/>
        <v>TEXT</v>
      </c>
      <c r="R113" s="76" t="str">
        <f t="shared" si="14"/>
        <v/>
      </c>
      <c r="S113" s="76" t="str">
        <f t="shared" si="15"/>
        <v/>
      </c>
      <c r="T113" s="76" t="str">
        <f t="shared" si="16"/>
        <v>-- がんの初発、再発</v>
      </c>
      <c r="U113" s="4"/>
      <c r="AA113" s="4"/>
      <c r="AB113" s="4"/>
      <c r="AC113" s="4"/>
      <c r="AD113" s="4"/>
      <c r="AE113" s="4"/>
      <c r="AF113" s="4"/>
      <c r="AG113" s="4"/>
      <c r="AH113" s="4"/>
      <c r="AI113" s="4"/>
      <c r="AJ113" s="76" t="str">
        <f>IF(E113="○",IF(COUNTA(E$13:E113)=1,"",",")&amp;D113,"")</f>
        <v/>
      </c>
      <c r="AK113" s="4"/>
      <c r="AL113" s="4"/>
      <c r="AM113" s="4"/>
      <c r="AN113" s="4"/>
      <c r="AO113" s="4"/>
      <c r="AP113" s="4"/>
      <c r="AQ113" s="4"/>
      <c r="AR113" s="4"/>
      <c r="AS113" s="76" t="str">
        <f>"COMMENT ON COLUMN "&amp;エンティティ一覧!$O$2&amp;"."&amp;D$8&amp;"."&amp;D113&amp;" IS '"&amp;C113&amp;"';"</f>
        <v>COMMENT ON COLUMN milscm_2023_009.sny_202310_base_merge_dpc_ff1.can0010_gan_shohatsu IS 'がんの初発、再発';</v>
      </c>
      <c r="AT113" s="4"/>
      <c r="AU113" s="4"/>
      <c r="AV113" s="4"/>
      <c r="AW113" s="4"/>
      <c r="AX113" s="4"/>
      <c r="AY113" s="4"/>
      <c r="AZ113" s="4"/>
    </row>
    <row r="114" spans="1:52" s="25" customFormat="1">
      <c r="A114" s="4"/>
      <c r="B114" s="21">
        <f t="shared" si="2"/>
        <v>102</v>
      </c>
      <c r="C114" s="6" t="s">
        <v>721</v>
      </c>
      <c r="D114" s="6" t="s">
        <v>722</v>
      </c>
      <c r="E114" s="8"/>
      <c r="F114" s="7" t="s">
        <v>317</v>
      </c>
      <c r="G114" s="7" t="str">
        <f t="shared" si="3"/>
        <v>text</v>
      </c>
      <c r="H114" s="26"/>
      <c r="I114" s="10"/>
      <c r="J114" s="11"/>
      <c r="L114" s="4"/>
      <c r="M114" s="4"/>
      <c r="N114" s="76"/>
      <c r="O114" s="76"/>
      <c r="P114" s="76" t="str">
        <f t="shared" si="12"/>
        <v>,can0020_uicc_t</v>
      </c>
      <c r="Q114" s="76" t="str">
        <f t="shared" si="13"/>
        <v>TEXT</v>
      </c>
      <c r="R114" s="76" t="str">
        <f t="shared" si="14"/>
        <v/>
      </c>
      <c r="S114" s="76" t="str">
        <f t="shared" si="15"/>
        <v/>
      </c>
      <c r="T114" s="76" t="str">
        <f t="shared" si="16"/>
        <v>-- UICC病期分類（T）</v>
      </c>
      <c r="U114" s="4"/>
      <c r="AA114" s="4"/>
      <c r="AB114" s="4"/>
      <c r="AC114" s="4"/>
      <c r="AD114" s="4"/>
      <c r="AE114" s="4"/>
      <c r="AF114" s="4"/>
      <c r="AG114" s="4"/>
      <c r="AH114" s="4"/>
      <c r="AI114" s="4"/>
      <c r="AJ114" s="76" t="str">
        <f>IF(E114="○",IF(COUNTA(E$13:E114)=1,"",",")&amp;D114,"")</f>
        <v/>
      </c>
      <c r="AK114" s="4"/>
      <c r="AL114" s="4"/>
      <c r="AM114" s="4"/>
      <c r="AN114" s="4"/>
      <c r="AO114" s="4"/>
      <c r="AP114" s="4"/>
      <c r="AQ114" s="4"/>
      <c r="AR114" s="4"/>
      <c r="AS114" s="76" t="str">
        <f>"COMMENT ON COLUMN "&amp;エンティティ一覧!$O$2&amp;"."&amp;D$8&amp;"."&amp;D114&amp;" IS '"&amp;C114&amp;"';"</f>
        <v>COMMENT ON COLUMN milscm_2023_009.sny_202310_base_merge_dpc_ff1.can0020_uicc_t IS 'UICC病期分類（T）';</v>
      </c>
      <c r="AT114" s="4"/>
      <c r="AU114" s="4"/>
      <c r="AV114" s="4"/>
      <c r="AW114" s="4"/>
      <c r="AX114" s="4"/>
      <c r="AY114" s="4"/>
      <c r="AZ114" s="4"/>
    </row>
    <row r="115" spans="1:52" s="25" customFormat="1">
      <c r="A115" s="4"/>
      <c r="B115" s="21">
        <f t="shared" si="2"/>
        <v>103</v>
      </c>
      <c r="C115" s="13" t="s">
        <v>723</v>
      </c>
      <c r="D115" s="13" t="s">
        <v>724</v>
      </c>
      <c r="E115" s="7"/>
      <c r="F115" s="7" t="s">
        <v>317</v>
      </c>
      <c r="G115" s="7" t="str">
        <f t="shared" si="3"/>
        <v>text</v>
      </c>
      <c r="H115" s="58"/>
      <c r="I115" s="23"/>
      <c r="J115" s="24"/>
      <c r="L115" s="4"/>
      <c r="M115" s="4"/>
      <c r="N115" s="76"/>
      <c r="O115" s="76"/>
      <c r="P115" s="76" t="str">
        <f t="shared" si="12"/>
        <v>,can0020_uicc_n</v>
      </c>
      <c r="Q115" s="76" t="str">
        <f t="shared" si="13"/>
        <v>TEXT</v>
      </c>
      <c r="R115" s="76" t="str">
        <f t="shared" si="14"/>
        <v/>
      </c>
      <c r="S115" s="76" t="str">
        <f t="shared" si="15"/>
        <v/>
      </c>
      <c r="T115" s="76" t="str">
        <f t="shared" si="16"/>
        <v>-- UICC病期分類（N）</v>
      </c>
      <c r="U115" s="4"/>
      <c r="AA115" s="4"/>
      <c r="AB115" s="4"/>
      <c r="AC115" s="4"/>
      <c r="AD115" s="4"/>
      <c r="AE115" s="4"/>
      <c r="AF115" s="4"/>
      <c r="AG115" s="4"/>
      <c r="AH115" s="4"/>
      <c r="AI115" s="4"/>
      <c r="AJ115" s="76" t="str">
        <f>IF(E115="○",IF(COUNTA(E$13:E115)=1,"",",")&amp;D115,"")</f>
        <v/>
      </c>
      <c r="AK115" s="4"/>
      <c r="AL115" s="4"/>
      <c r="AM115" s="4"/>
      <c r="AN115" s="4"/>
      <c r="AO115" s="4"/>
      <c r="AP115" s="4"/>
      <c r="AQ115" s="4"/>
      <c r="AR115" s="4"/>
      <c r="AS115" s="76" t="str">
        <f>"COMMENT ON COLUMN "&amp;エンティティ一覧!$O$2&amp;"."&amp;D$8&amp;"."&amp;D115&amp;" IS '"&amp;C115&amp;"';"</f>
        <v>COMMENT ON COLUMN milscm_2023_009.sny_202310_base_merge_dpc_ff1.can0020_uicc_n IS 'UICC病期分類（N）';</v>
      </c>
      <c r="AT115" s="4"/>
      <c r="AU115" s="4"/>
      <c r="AV115" s="4"/>
      <c r="AW115" s="4"/>
      <c r="AX115" s="4"/>
      <c r="AY115" s="4"/>
      <c r="AZ115" s="4"/>
    </row>
    <row r="116" spans="1:52" s="25" customFormat="1">
      <c r="A116" s="4"/>
      <c r="B116" s="21">
        <f t="shared" si="2"/>
        <v>104</v>
      </c>
      <c r="C116" s="13" t="s">
        <v>725</v>
      </c>
      <c r="D116" s="13" t="s">
        <v>726</v>
      </c>
      <c r="E116" s="7"/>
      <c r="F116" s="7" t="s">
        <v>317</v>
      </c>
      <c r="G116" s="7" t="str">
        <f t="shared" si="3"/>
        <v>text</v>
      </c>
      <c r="H116" s="26"/>
      <c r="I116" s="10"/>
      <c r="J116" s="11"/>
      <c r="L116" s="4"/>
      <c r="M116" s="4"/>
      <c r="N116" s="76"/>
      <c r="O116" s="76"/>
      <c r="P116" s="76" t="str">
        <f t="shared" si="12"/>
        <v>,can0020_uicc_m</v>
      </c>
      <c r="Q116" s="76" t="str">
        <f t="shared" si="13"/>
        <v>TEXT</v>
      </c>
      <c r="R116" s="76" t="str">
        <f t="shared" si="14"/>
        <v/>
      </c>
      <c r="S116" s="76" t="str">
        <f t="shared" si="15"/>
        <v/>
      </c>
      <c r="T116" s="76" t="str">
        <f t="shared" si="16"/>
        <v>-- UICC病期分類（M）</v>
      </c>
      <c r="U116" s="4"/>
      <c r="AA116" s="4"/>
      <c r="AB116" s="4"/>
      <c r="AC116" s="4"/>
      <c r="AD116" s="4"/>
      <c r="AE116" s="4"/>
      <c r="AF116" s="4"/>
      <c r="AG116" s="4"/>
      <c r="AH116" s="4"/>
      <c r="AI116" s="4"/>
      <c r="AJ116" s="76" t="str">
        <f>IF(E116="○",IF(COUNTA(E$13:E116)=1,"",",")&amp;D116,"")</f>
        <v/>
      </c>
      <c r="AK116" s="4"/>
      <c r="AL116" s="4"/>
      <c r="AM116" s="4"/>
      <c r="AN116" s="4"/>
      <c r="AO116" s="4"/>
      <c r="AP116" s="4"/>
      <c r="AQ116" s="4"/>
      <c r="AR116" s="4"/>
      <c r="AS116" s="76" t="str">
        <f>"COMMENT ON COLUMN "&amp;エンティティ一覧!$O$2&amp;"."&amp;D$8&amp;"."&amp;D116&amp;" IS '"&amp;C116&amp;"';"</f>
        <v>COMMENT ON COLUMN milscm_2023_009.sny_202310_base_merge_dpc_ff1.can0020_uicc_m IS 'UICC病期分類（M）';</v>
      </c>
      <c r="AT116" s="4"/>
      <c r="AU116" s="4"/>
      <c r="AV116" s="4"/>
      <c r="AW116" s="4"/>
      <c r="AX116" s="4"/>
      <c r="AY116" s="4"/>
      <c r="AZ116" s="4"/>
    </row>
    <row r="117" spans="1:52" s="25" customFormat="1">
      <c r="A117" s="4"/>
      <c r="B117" s="21">
        <f t="shared" si="2"/>
        <v>105</v>
      </c>
      <c r="C117" s="13" t="s">
        <v>727</v>
      </c>
      <c r="D117" s="13" t="s">
        <v>728</v>
      </c>
      <c r="E117" s="7"/>
      <c r="F117" s="7" t="s">
        <v>317</v>
      </c>
      <c r="G117" s="7" t="str">
        <f t="shared" si="3"/>
        <v>text</v>
      </c>
      <c r="H117" s="58"/>
      <c r="I117" s="23"/>
      <c r="J117" s="24" t="s">
        <v>842</v>
      </c>
      <c r="L117" s="4"/>
      <c r="M117" s="4"/>
      <c r="N117" s="76"/>
      <c r="O117" s="76"/>
      <c r="P117" s="76" t="str">
        <f t="shared" si="12"/>
        <v>,can0020_uicc_han</v>
      </c>
      <c r="Q117" s="76" t="str">
        <f t="shared" si="13"/>
        <v>TEXT</v>
      </c>
      <c r="R117" s="76" t="str">
        <f t="shared" si="14"/>
        <v/>
      </c>
      <c r="S117" s="76" t="str">
        <f t="shared" si="15"/>
        <v/>
      </c>
      <c r="T117" s="76" t="str">
        <f t="shared" si="16"/>
        <v>-- UICC病期分類（版）</v>
      </c>
      <c r="U117" s="4"/>
      <c r="AA117" s="4"/>
      <c r="AB117" s="4"/>
      <c r="AC117" s="4"/>
      <c r="AD117" s="4"/>
      <c r="AE117" s="4"/>
      <c r="AF117" s="4"/>
      <c r="AG117" s="4"/>
      <c r="AH117" s="4"/>
      <c r="AI117" s="4"/>
      <c r="AJ117" s="76" t="str">
        <f>IF(E117="○",IF(COUNTA(E$13:E117)=1,"",",")&amp;D117,"")</f>
        <v/>
      </c>
      <c r="AK117" s="4"/>
      <c r="AL117" s="4"/>
      <c r="AM117" s="4"/>
      <c r="AN117" s="4"/>
      <c r="AO117" s="4"/>
      <c r="AP117" s="4"/>
      <c r="AQ117" s="4"/>
      <c r="AR117" s="4"/>
      <c r="AS117" s="76" t="str">
        <f>"COMMENT ON COLUMN "&amp;エンティティ一覧!$O$2&amp;"."&amp;D$8&amp;"."&amp;D117&amp;" IS '"&amp;C117&amp;"';"</f>
        <v>COMMENT ON COLUMN milscm_2023_009.sny_202310_base_merge_dpc_ff1.can0020_uicc_han IS 'UICC病期分類（版）';</v>
      </c>
      <c r="AT117" s="4"/>
      <c r="AU117" s="4"/>
      <c r="AV117" s="4"/>
      <c r="AW117" s="4"/>
      <c r="AX117" s="4"/>
      <c r="AY117" s="4"/>
      <c r="AZ117" s="4"/>
    </row>
    <row r="118" spans="1:52" s="25" customFormat="1" ht="30">
      <c r="A118" s="4"/>
      <c r="B118" s="21">
        <f t="shared" si="2"/>
        <v>106</v>
      </c>
      <c r="C118" s="6" t="s">
        <v>729</v>
      </c>
      <c r="D118" s="6" t="s">
        <v>730</v>
      </c>
      <c r="E118" s="8"/>
      <c r="F118" s="7" t="s">
        <v>317</v>
      </c>
      <c r="G118" s="7" t="str">
        <f t="shared" si="3"/>
        <v>text</v>
      </c>
      <c r="H118" s="58"/>
      <c r="I118" s="23"/>
      <c r="J118" s="24"/>
      <c r="L118" s="4"/>
      <c r="M118" s="4"/>
      <c r="N118" s="76"/>
      <c r="O118" s="76"/>
      <c r="P118" s="76" t="str">
        <f t="shared" si="12"/>
        <v>,can0030_gan_stage</v>
      </c>
      <c r="Q118" s="76" t="str">
        <f t="shared" si="13"/>
        <v>TEXT</v>
      </c>
      <c r="R118" s="76" t="str">
        <f t="shared" si="14"/>
        <v/>
      </c>
      <c r="S118" s="76" t="str">
        <f t="shared" si="15"/>
        <v/>
      </c>
      <c r="T118" s="76" t="str">
        <f t="shared" si="16"/>
        <v>-- 癌取扱い規約に基づくがんのStage分類</v>
      </c>
      <c r="U118" s="4"/>
      <c r="AA118" s="4"/>
      <c r="AB118" s="4"/>
      <c r="AC118" s="4"/>
      <c r="AD118" s="4"/>
      <c r="AE118" s="4"/>
      <c r="AF118" s="4"/>
      <c r="AG118" s="4"/>
      <c r="AH118" s="4"/>
      <c r="AI118" s="4"/>
      <c r="AJ118" s="76" t="str">
        <f>IF(E118="○",IF(COUNTA(E$13:E118)=1,"",",")&amp;D118,"")</f>
        <v/>
      </c>
      <c r="AK118" s="4"/>
      <c r="AL118" s="4"/>
      <c r="AM118" s="4"/>
      <c r="AN118" s="4"/>
      <c r="AO118" s="4"/>
      <c r="AP118" s="4"/>
      <c r="AQ118" s="4"/>
      <c r="AR118" s="4"/>
      <c r="AS118" s="76" t="str">
        <f>"COMMENT ON COLUMN "&amp;エンティティ一覧!$O$2&amp;"."&amp;D$8&amp;"."&amp;D118&amp;" IS '"&amp;C118&amp;"';"</f>
        <v>COMMENT ON COLUMN milscm_2023_009.sny_202310_base_merge_dpc_ff1.can0030_gan_stage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731</v>
      </c>
      <c r="D119" s="13" t="s">
        <v>732</v>
      </c>
      <c r="E119" s="7"/>
      <c r="F119" s="7" t="s">
        <v>317</v>
      </c>
      <c r="G119" s="7" t="str">
        <f t="shared" si="3"/>
        <v>text</v>
      </c>
      <c r="H119" s="26"/>
      <c r="I119" s="10"/>
      <c r="J119" s="11" t="s">
        <v>843</v>
      </c>
      <c r="L119" s="4"/>
      <c r="M119" s="4"/>
      <c r="N119" s="76"/>
      <c r="O119" s="76"/>
      <c r="P119" s="76" t="str">
        <f t="shared" si="12"/>
        <v>,can0040_kagaku_ryoho_flag</v>
      </c>
      <c r="Q119" s="76" t="str">
        <f t="shared" si="13"/>
        <v>TEXT</v>
      </c>
      <c r="R119" s="76" t="str">
        <f t="shared" si="14"/>
        <v/>
      </c>
      <c r="S119" s="76" t="str">
        <f t="shared" si="15"/>
        <v/>
      </c>
      <c r="T119" s="76" t="str">
        <f t="shared" si="16"/>
        <v>-- 化学療法の有無</v>
      </c>
      <c r="U119" s="4"/>
      <c r="AA119" s="4"/>
      <c r="AB119" s="4"/>
      <c r="AC119" s="4"/>
      <c r="AD119" s="4"/>
      <c r="AE119" s="4"/>
      <c r="AF119" s="4"/>
      <c r="AG119" s="4"/>
      <c r="AH119" s="4"/>
      <c r="AI119" s="4"/>
      <c r="AJ119" s="76" t="str">
        <f>IF(E119="○",IF(COUNTA(E$13:E119)=1,"",",")&amp;D119,"")</f>
        <v/>
      </c>
      <c r="AK119" s="4"/>
      <c r="AL119" s="4"/>
      <c r="AM119" s="4"/>
      <c r="AN119" s="4"/>
      <c r="AO119" s="4"/>
      <c r="AP119" s="4"/>
      <c r="AQ119" s="4"/>
      <c r="AR119" s="4"/>
      <c r="AS119" s="76" t="str">
        <f>"COMMENT ON COLUMN "&amp;エンティティ一覧!$O$2&amp;"."&amp;D$8&amp;"."&amp;D119&amp;" IS '"&amp;C119&amp;"';"</f>
        <v>COMMENT ON COLUMN milscm_2023_009.sny_202310_base_merge_dpc_ff1.can0040_kagaku_ryoho_flag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733</v>
      </c>
      <c r="D120" s="6" t="s">
        <v>734</v>
      </c>
      <c r="E120" s="8"/>
      <c r="F120" s="7" t="s">
        <v>317</v>
      </c>
      <c r="G120" s="7" t="str">
        <f t="shared" si="3"/>
        <v>text</v>
      </c>
      <c r="H120" s="26"/>
      <c r="I120" s="10"/>
      <c r="J120" s="11" t="s">
        <v>844</v>
      </c>
      <c r="L120" s="4"/>
      <c r="M120" s="4"/>
      <c r="N120" s="76"/>
      <c r="O120" s="76"/>
      <c r="P120" s="76" t="str">
        <f t="shared" si="12"/>
        <v>,jcs0010_nyuin_jcs</v>
      </c>
      <c r="Q120" s="76" t="str">
        <f t="shared" si="13"/>
        <v>TEXT</v>
      </c>
      <c r="R120" s="76" t="str">
        <f t="shared" si="14"/>
        <v/>
      </c>
      <c r="S120" s="76" t="str">
        <f t="shared" si="15"/>
        <v/>
      </c>
      <c r="T120" s="76" t="str">
        <f t="shared" si="16"/>
        <v>-- 入院時意識障害がある場合のJCS</v>
      </c>
      <c r="U120" s="4"/>
      <c r="AA120" s="4"/>
      <c r="AB120" s="4"/>
      <c r="AC120" s="4"/>
      <c r="AD120" s="4"/>
      <c r="AE120" s="4"/>
      <c r="AF120" s="4"/>
      <c r="AG120" s="4"/>
      <c r="AH120" s="4"/>
      <c r="AI120" s="4"/>
      <c r="AJ120" s="76" t="str">
        <f>IF(E120="○",IF(COUNTA(E$13:E120)=1,"",",")&amp;D120,"")</f>
        <v/>
      </c>
      <c r="AK120" s="4"/>
      <c r="AL120" s="4"/>
      <c r="AM120" s="4"/>
      <c r="AN120" s="4"/>
      <c r="AO120" s="4"/>
      <c r="AP120" s="4"/>
      <c r="AQ120" s="4"/>
      <c r="AR120" s="4"/>
      <c r="AS120" s="76" t="str">
        <f>"COMMENT ON COLUMN "&amp;エンティティ一覧!$O$2&amp;"."&amp;D$8&amp;"."&amp;D120&amp;" IS '"&amp;C120&amp;"';"</f>
        <v>COMMENT ON COLUMN milscm_2023_009.sny_202310_base_merge_dpc_ff1.jcs0010_nyuin_jcs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735</v>
      </c>
      <c r="D121" s="13" t="s">
        <v>736</v>
      </c>
      <c r="E121" s="7"/>
      <c r="F121" s="7" t="s">
        <v>737</v>
      </c>
      <c r="G121" s="7" t="str">
        <f t="shared" si="3"/>
        <v>text</v>
      </c>
      <c r="H121" s="58"/>
      <c r="I121" s="23"/>
      <c r="J121" s="24" t="s">
        <v>845</v>
      </c>
      <c r="L121" s="4"/>
      <c r="M121" s="4"/>
      <c r="N121" s="76"/>
      <c r="O121" s="76"/>
      <c r="P121" s="76" t="str">
        <f t="shared" si="12"/>
        <v>,jcs0010_emergency_jcs</v>
      </c>
      <c r="Q121" s="76" t="str">
        <f t="shared" si="13"/>
        <v>TEXT</v>
      </c>
      <c r="R121" s="76" t="str">
        <f t="shared" si="14"/>
        <v/>
      </c>
      <c r="S121" s="76" t="str">
        <f t="shared" si="15"/>
        <v/>
      </c>
      <c r="T121" s="76" t="str">
        <f t="shared" si="16"/>
        <v>-- 救急受診時意識障害がある場合のJCS</v>
      </c>
      <c r="U121" s="4"/>
      <c r="AA121" s="4"/>
      <c r="AB121" s="4"/>
      <c r="AC121" s="4"/>
      <c r="AD121" s="4"/>
      <c r="AE121" s="4"/>
      <c r="AF121" s="4"/>
      <c r="AG121" s="4"/>
      <c r="AH121" s="4"/>
      <c r="AI121" s="4"/>
      <c r="AJ121" s="76" t="str">
        <f>IF(E121="○",IF(COUNTA(E$13:E121)=1,"",",")&amp;D121,"")</f>
        <v/>
      </c>
      <c r="AK121" s="4"/>
      <c r="AL121" s="4"/>
      <c r="AM121" s="4"/>
      <c r="AN121" s="4"/>
      <c r="AO121" s="4"/>
      <c r="AP121" s="4"/>
      <c r="AQ121" s="4"/>
      <c r="AR121" s="4"/>
      <c r="AS121" s="76" t="str">
        <f>"COMMENT ON COLUMN "&amp;エンティティ一覧!$O$2&amp;"."&amp;D$8&amp;"."&amp;D121&amp;" IS '"&amp;C121&amp;"';"</f>
        <v>COMMENT ON COLUMN milscm_2023_009.sny_202310_base_merge_dpc_ff1.jcs0010_emergency_jcs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738</v>
      </c>
      <c r="D122" s="6" t="s">
        <v>739</v>
      </c>
      <c r="E122" s="8"/>
      <c r="F122" s="7" t="s">
        <v>737</v>
      </c>
      <c r="G122" s="7" t="str">
        <f t="shared" si="3"/>
        <v>text</v>
      </c>
      <c r="H122" s="26"/>
      <c r="I122" s="10"/>
      <c r="J122" s="11" t="s">
        <v>846</v>
      </c>
      <c r="L122" s="4"/>
      <c r="M122" s="4"/>
      <c r="N122" s="76"/>
      <c r="O122" s="76"/>
      <c r="P122" s="76" t="str">
        <f t="shared" si="12"/>
        <v>,jcs0010_nyusitsu_jcs</v>
      </c>
      <c r="Q122" s="76" t="str">
        <f t="shared" si="13"/>
        <v>TEXT</v>
      </c>
      <c r="R122" s="76" t="str">
        <f t="shared" si="14"/>
        <v/>
      </c>
      <c r="S122" s="76" t="str">
        <f t="shared" si="15"/>
        <v/>
      </c>
      <c r="T122" s="76" t="str">
        <f t="shared" si="16"/>
        <v>-- 治療室又は病棟入室時意識障害がある場合のJCS</v>
      </c>
      <c r="U122" s="4"/>
      <c r="AA122" s="4"/>
      <c r="AB122" s="4"/>
      <c r="AC122" s="4"/>
      <c r="AD122" s="4"/>
      <c r="AE122" s="4"/>
      <c r="AF122" s="4"/>
      <c r="AG122" s="4"/>
      <c r="AH122" s="4"/>
      <c r="AI122" s="4"/>
      <c r="AJ122" s="76" t="str">
        <f>IF(E122="○",IF(COUNTA(E$13:E122)=1,"",",")&amp;D122,"")</f>
        <v/>
      </c>
      <c r="AK122" s="4"/>
      <c r="AL122" s="4"/>
      <c r="AM122" s="4"/>
      <c r="AN122" s="4"/>
      <c r="AO122" s="4"/>
      <c r="AP122" s="4"/>
      <c r="AQ122" s="4"/>
      <c r="AR122" s="4"/>
      <c r="AS122" s="76" t="str">
        <f>"COMMENT ON COLUMN "&amp;エンティティ一覧!$O$2&amp;"."&amp;D$8&amp;"."&amp;D122&amp;" IS '"&amp;C122&amp;"';"</f>
        <v>COMMENT ON COLUMN milscm_2023_009.sny_202310_base_merge_dpc_ff1.jcs0010_nyusitsu_jcs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740</v>
      </c>
      <c r="D123" s="13" t="s">
        <v>741</v>
      </c>
      <c r="E123" s="7"/>
      <c r="F123" s="7" t="s">
        <v>317</v>
      </c>
      <c r="G123" s="7" t="str">
        <f t="shared" si="3"/>
        <v>text</v>
      </c>
      <c r="H123" s="58"/>
      <c r="I123" s="23"/>
      <c r="J123" s="24" t="s">
        <v>844</v>
      </c>
      <c r="L123" s="4"/>
      <c r="M123" s="4"/>
      <c r="N123" s="76"/>
      <c r="O123" s="76"/>
      <c r="P123" s="76" t="str">
        <f t="shared" si="12"/>
        <v>,jcs0020_taiin_jcs</v>
      </c>
      <c r="Q123" s="76" t="str">
        <f t="shared" si="13"/>
        <v>TEXT</v>
      </c>
      <c r="R123" s="76" t="str">
        <f t="shared" si="14"/>
        <v/>
      </c>
      <c r="S123" s="76" t="str">
        <f t="shared" si="15"/>
        <v/>
      </c>
      <c r="T123" s="76" t="str">
        <f t="shared" si="16"/>
        <v>-- 退院時意識障害がある場合のJCS</v>
      </c>
      <c r="U123" s="4"/>
      <c r="AA123" s="4"/>
      <c r="AB123" s="4"/>
      <c r="AC123" s="4"/>
      <c r="AD123" s="4"/>
      <c r="AE123" s="4"/>
      <c r="AF123" s="4"/>
      <c r="AG123" s="4"/>
      <c r="AH123" s="4"/>
      <c r="AI123" s="4"/>
      <c r="AJ123" s="76" t="str">
        <f>IF(E123="○",IF(COUNTA(E$13:E123)=1,"",",")&amp;D123,"")</f>
        <v/>
      </c>
      <c r="AK123" s="4"/>
      <c r="AL123" s="4"/>
      <c r="AM123" s="4"/>
      <c r="AN123" s="4"/>
      <c r="AO123" s="4"/>
      <c r="AP123" s="4"/>
      <c r="AQ123" s="4"/>
      <c r="AR123" s="4"/>
      <c r="AS123" s="76" t="str">
        <f>"COMMENT ON COLUMN "&amp;エンティティ一覧!$O$2&amp;"."&amp;D$8&amp;"."&amp;D123&amp;" IS '"&amp;C123&amp;"';"</f>
        <v>COMMENT ON COLUMN milscm_2023_009.sny_202310_base_merge_dpc_ff1.jcs0020_taiin_jcs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742</v>
      </c>
      <c r="D124" s="6" t="s">
        <v>743</v>
      </c>
      <c r="E124" s="8"/>
      <c r="F124" s="7" t="s">
        <v>317</v>
      </c>
      <c r="G124" s="7" t="str">
        <f t="shared" si="3"/>
        <v>text</v>
      </c>
      <c r="H124" s="26"/>
      <c r="I124" s="10"/>
      <c r="J124" s="11"/>
      <c r="L124" s="4"/>
      <c r="M124" s="4"/>
      <c r="N124" s="76"/>
      <c r="O124" s="76"/>
      <c r="P124" s="76" t="str">
        <f t="shared" si="12"/>
        <v>,m010010_before_rankin_scale</v>
      </c>
      <c r="Q124" s="76" t="str">
        <f t="shared" si="13"/>
        <v>TEXT</v>
      </c>
      <c r="R124" s="76" t="str">
        <f t="shared" si="14"/>
        <v/>
      </c>
      <c r="S124" s="76" t="str">
        <f t="shared" si="15"/>
        <v/>
      </c>
      <c r="T124" s="76" t="str">
        <f t="shared" si="16"/>
        <v>-- 発症前RankinScale</v>
      </c>
      <c r="U124" s="4"/>
      <c r="AA124" s="4"/>
      <c r="AB124" s="4"/>
      <c r="AC124" s="4"/>
      <c r="AD124" s="4"/>
      <c r="AE124" s="4"/>
      <c r="AF124" s="4"/>
      <c r="AG124" s="4"/>
      <c r="AH124" s="4"/>
      <c r="AI124" s="4"/>
      <c r="AJ124" s="76" t="str">
        <f>IF(E124="○",IF(COUNTA(E$13:E124)=1,"",",")&amp;D124,"")</f>
        <v/>
      </c>
      <c r="AK124" s="4"/>
      <c r="AL124" s="4"/>
      <c r="AM124" s="4"/>
      <c r="AN124" s="4"/>
      <c r="AO124" s="4"/>
      <c r="AP124" s="4"/>
      <c r="AQ124" s="4"/>
      <c r="AR124" s="4"/>
      <c r="AS124" s="76" t="str">
        <f>"COMMENT ON COLUMN "&amp;エンティティ一覧!$O$2&amp;"."&amp;D$8&amp;"."&amp;D124&amp;" IS '"&amp;C124&amp;"';"</f>
        <v>COMMENT ON COLUMN milscm_2023_009.sny_202310_base_merge_dpc_ff1.m010010_before_rankin_scale IS '発症前RankinScale';</v>
      </c>
      <c r="AT124" s="4"/>
      <c r="AU124" s="4"/>
      <c r="AV124" s="4"/>
      <c r="AW124" s="4"/>
      <c r="AX124" s="4"/>
      <c r="AY124" s="4"/>
      <c r="AZ124" s="4"/>
    </row>
    <row r="125" spans="1:52" s="25" customFormat="1">
      <c r="A125" s="4"/>
      <c r="B125" s="21">
        <f t="shared" si="2"/>
        <v>113</v>
      </c>
      <c r="C125" s="13" t="s">
        <v>744</v>
      </c>
      <c r="D125" s="13" t="s">
        <v>745</v>
      </c>
      <c r="E125" s="7"/>
      <c r="F125" s="7" t="s">
        <v>317</v>
      </c>
      <c r="G125" s="7" t="str">
        <f t="shared" si="3"/>
        <v>text</v>
      </c>
      <c r="H125" s="58"/>
      <c r="I125" s="23"/>
      <c r="J125" s="24"/>
      <c r="L125" s="4"/>
      <c r="M125" s="4"/>
      <c r="N125" s="76"/>
      <c r="O125" s="76"/>
      <c r="P125" s="76" t="str">
        <f t="shared" si="12"/>
        <v>,m010010_stroke</v>
      </c>
      <c r="Q125" s="76" t="str">
        <f t="shared" si="13"/>
        <v>TEXT</v>
      </c>
      <c r="R125" s="76" t="str">
        <f t="shared" si="14"/>
        <v/>
      </c>
      <c r="S125" s="76" t="str">
        <f t="shared" si="15"/>
        <v/>
      </c>
      <c r="T125" s="76" t="str">
        <f t="shared" si="16"/>
        <v>-- 脳卒中の発症時期</v>
      </c>
      <c r="U125" s="4"/>
      <c r="AA125" s="4"/>
      <c r="AB125" s="4"/>
      <c r="AC125" s="4"/>
      <c r="AD125" s="4"/>
      <c r="AE125" s="4"/>
      <c r="AF125" s="4"/>
      <c r="AG125" s="4"/>
      <c r="AH125" s="4"/>
      <c r="AI125" s="4"/>
      <c r="AJ125" s="76" t="str">
        <f>IF(E125="○",IF(COUNTA(E$13:E125)=1,"",",")&amp;D125,"")</f>
        <v/>
      </c>
      <c r="AK125" s="4"/>
      <c r="AL125" s="4"/>
      <c r="AM125" s="4"/>
      <c r="AN125" s="4"/>
      <c r="AO125" s="4"/>
      <c r="AP125" s="4"/>
      <c r="AQ125" s="4"/>
      <c r="AR125" s="4"/>
      <c r="AS125" s="76" t="str">
        <f>"COMMENT ON COLUMN "&amp;エンティティ一覧!$O$2&amp;"."&amp;D$8&amp;"."&amp;D125&amp;" IS '"&amp;C125&amp;"';"</f>
        <v>COMMENT ON COLUMN milscm_2023_009.sny_202310_base_merge_dpc_ff1.m010010_stroke IS '脳卒中の発症時期';</v>
      </c>
      <c r="AT125" s="4"/>
      <c r="AU125" s="4"/>
      <c r="AV125" s="4"/>
      <c r="AW125" s="4"/>
      <c r="AX125" s="4"/>
      <c r="AY125" s="4"/>
      <c r="AZ125" s="4"/>
    </row>
    <row r="126" spans="1:52" s="25" customFormat="1" ht="30">
      <c r="A126" s="4"/>
      <c r="B126" s="21">
        <f t="shared" si="2"/>
        <v>114</v>
      </c>
      <c r="C126" s="13" t="s">
        <v>746</v>
      </c>
      <c r="D126" s="13" t="s">
        <v>747</v>
      </c>
      <c r="E126" s="7"/>
      <c r="F126" s="7" t="s">
        <v>317</v>
      </c>
      <c r="G126" s="7" t="str">
        <f t="shared" si="3"/>
        <v>text</v>
      </c>
      <c r="H126" s="26"/>
      <c r="I126" s="10"/>
      <c r="J126" s="11"/>
      <c r="L126" s="4"/>
      <c r="M126" s="4"/>
      <c r="N126" s="76"/>
      <c r="O126" s="76"/>
      <c r="P126" s="76" t="str">
        <f t="shared" si="12"/>
        <v>,m010020_taiin_modified_rankin</v>
      </c>
      <c r="Q126" s="76" t="str">
        <f t="shared" si="13"/>
        <v>TEXT</v>
      </c>
      <c r="R126" s="76" t="str">
        <f t="shared" si="14"/>
        <v/>
      </c>
      <c r="S126" s="76" t="str">
        <f t="shared" si="15"/>
        <v/>
      </c>
      <c r="T126" s="76" t="str">
        <f t="shared" si="16"/>
        <v>-- 退院時modifiedRankin</v>
      </c>
      <c r="U126" s="4"/>
      <c r="AA126" s="4"/>
      <c r="AB126" s="4"/>
      <c r="AC126" s="4"/>
      <c r="AD126" s="4"/>
      <c r="AE126" s="4"/>
      <c r="AF126" s="4"/>
      <c r="AG126" s="4"/>
      <c r="AH126" s="4"/>
      <c r="AI126" s="4"/>
      <c r="AJ126" s="76" t="str">
        <f>IF(E126="○",IF(COUNTA(E$13:E126)=1,"",",")&amp;D126,"")</f>
        <v/>
      </c>
      <c r="AK126" s="4"/>
      <c r="AL126" s="4"/>
      <c r="AM126" s="4"/>
      <c r="AN126" s="4"/>
      <c r="AO126" s="4"/>
      <c r="AP126" s="4"/>
      <c r="AQ126" s="4"/>
      <c r="AR126" s="4"/>
      <c r="AS126" s="76" t="str">
        <f>"COMMENT ON COLUMN "&amp;エンティティ一覧!$O$2&amp;"."&amp;D$8&amp;"."&amp;D126&amp;" IS '"&amp;C126&amp;"';"</f>
        <v>COMMENT ON COLUMN milscm_2023_009.sny_202310_base_merge_dpc_ff1.m010020_taiin_modified_rankin IS '退院時modifiedRankin';</v>
      </c>
      <c r="AT126" s="4"/>
      <c r="AU126" s="4"/>
      <c r="AV126" s="4"/>
      <c r="AW126" s="4"/>
      <c r="AX126" s="4"/>
      <c r="AY126" s="4"/>
      <c r="AZ126" s="4"/>
    </row>
    <row r="127" spans="1:52" s="25" customFormat="1" ht="30">
      <c r="A127" s="4"/>
      <c r="B127" s="21">
        <f t="shared" si="2"/>
        <v>115</v>
      </c>
      <c r="C127" s="6" t="s">
        <v>748</v>
      </c>
      <c r="D127" s="6" t="s">
        <v>749</v>
      </c>
      <c r="E127" s="8"/>
      <c r="F127" s="7" t="s">
        <v>317</v>
      </c>
      <c r="G127" s="7" t="str">
        <f t="shared" si="3"/>
        <v>text</v>
      </c>
      <c r="H127" s="58"/>
      <c r="I127" s="23"/>
      <c r="J127" s="24" t="s">
        <v>847</v>
      </c>
      <c r="L127" s="4"/>
      <c r="M127" s="4"/>
      <c r="N127" s="76"/>
      <c r="O127" s="76"/>
      <c r="P127" s="76" t="str">
        <f t="shared" si="12"/>
        <v>,m010030_temozolomide_flag</v>
      </c>
      <c r="Q127" s="76" t="str">
        <f t="shared" si="13"/>
        <v>TEXT</v>
      </c>
      <c r="R127" s="76" t="str">
        <f t="shared" si="14"/>
        <v/>
      </c>
      <c r="S127" s="76" t="str">
        <f t="shared" si="15"/>
        <v/>
      </c>
      <c r="T127" s="76" t="str">
        <f t="shared" si="16"/>
        <v>-- テモゾロミド（初回治療）の有無</v>
      </c>
      <c r="U127" s="4"/>
      <c r="AA127" s="4"/>
      <c r="AB127" s="4"/>
      <c r="AC127" s="4"/>
      <c r="AD127" s="4"/>
      <c r="AE127" s="4"/>
      <c r="AF127" s="4"/>
      <c r="AG127" s="4"/>
      <c r="AH127" s="4"/>
      <c r="AI127" s="4"/>
      <c r="AJ127" s="76" t="str">
        <f>IF(E127="○",IF(COUNTA(E$13:E127)=1,"",",")&amp;D127,"")</f>
        <v/>
      </c>
      <c r="AK127" s="4"/>
      <c r="AL127" s="4"/>
      <c r="AM127" s="4"/>
      <c r="AN127" s="4"/>
      <c r="AO127" s="4"/>
      <c r="AP127" s="4"/>
      <c r="AQ127" s="4"/>
      <c r="AR127" s="4"/>
      <c r="AS127" s="76" t="str">
        <f>"COMMENT ON COLUMN "&amp;エンティティ一覧!$O$2&amp;"."&amp;D$8&amp;"."&amp;D127&amp;" IS '"&amp;C127&amp;"';"</f>
        <v>COMMENT ON COLUMN milscm_2023_009.sny_202310_base_merge_dpc_ff1.m010030_temozolomide_flag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750</v>
      </c>
      <c r="D128" s="13" t="s">
        <v>751</v>
      </c>
      <c r="E128" s="7"/>
      <c r="F128" s="7" t="s">
        <v>317</v>
      </c>
      <c r="G128" s="7" t="str">
        <f t="shared" si="3"/>
        <v>text</v>
      </c>
      <c r="H128" s="26"/>
      <c r="I128" s="10"/>
      <c r="J128" s="11"/>
      <c r="L128" s="4"/>
      <c r="M128" s="4"/>
      <c r="N128" s="76"/>
      <c r="O128" s="76"/>
      <c r="P128" s="76" t="str">
        <f t="shared" si="12"/>
        <v>,m040010_hugh_jones</v>
      </c>
      <c r="Q128" s="76" t="str">
        <f t="shared" si="13"/>
        <v>TEXT</v>
      </c>
      <c r="R128" s="76" t="str">
        <f t="shared" si="14"/>
        <v/>
      </c>
      <c r="S128" s="76" t="str">
        <f t="shared" si="15"/>
        <v/>
      </c>
      <c r="T128" s="76" t="str">
        <f t="shared" si="16"/>
        <v>-- Hugh-Jones分類</v>
      </c>
      <c r="U128" s="4"/>
      <c r="AA128" s="4"/>
      <c r="AB128" s="4"/>
      <c r="AC128" s="4"/>
      <c r="AD128" s="4"/>
      <c r="AE128" s="4"/>
      <c r="AF128" s="4"/>
      <c r="AG128" s="4"/>
      <c r="AH128" s="4"/>
      <c r="AI128" s="4"/>
      <c r="AJ128" s="76" t="str">
        <f>IF(E128="○",IF(COUNTA(E$13:E128)=1,"",",")&amp;D128,"")</f>
        <v/>
      </c>
      <c r="AK128" s="4"/>
      <c r="AL128" s="4"/>
      <c r="AM128" s="4"/>
      <c r="AN128" s="4"/>
      <c r="AO128" s="4"/>
      <c r="AP128" s="4"/>
      <c r="AQ128" s="4"/>
      <c r="AR128" s="4"/>
      <c r="AS128" s="76" t="str">
        <f>"COMMENT ON COLUMN "&amp;エンティティ一覧!$O$2&amp;"."&amp;D$8&amp;"."&amp;D128&amp;" IS '"&amp;C128&amp;"';"</f>
        <v>COMMENT ON COLUMN milscm_2023_009.sny_202310_base_merge_dpc_ff1.m040010_hugh_jones IS 'Hugh-Jones分類';</v>
      </c>
      <c r="AT128" s="4"/>
      <c r="AU128" s="4"/>
      <c r="AV128" s="4"/>
      <c r="AW128" s="4"/>
      <c r="AX128" s="4"/>
      <c r="AY128" s="4"/>
      <c r="AZ128" s="4"/>
    </row>
    <row r="129" spans="1:52" s="25" customFormat="1" ht="30">
      <c r="A129" s="4"/>
      <c r="B129" s="21">
        <f t="shared" si="2"/>
        <v>117</v>
      </c>
      <c r="C129" s="13" t="s">
        <v>752</v>
      </c>
      <c r="D129" s="13" t="s">
        <v>753</v>
      </c>
      <c r="E129" s="7"/>
      <c r="F129" s="7" t="s">
        <v>317</v>
      </c>
      <c r="G129" s="7" t="str">
        <f t="shared" si="3"/>
        <v>text</v>
      </c>
      <c r="H129" s="58"/>
      <c r="I129" s="23"/>
      <c r="J129" s="24"/>
      <c r="L129" s="4"/>
      <c r="M129" s="4"/>
      <c r="N129" s="76"/>
      <c r="O129" s="76"/>
      <c r="P129" s="76" t="str">
        <f t="shared" si="12"/>
        <v>,m040020_haien_jushodo</v>
      </c>
      <c r="Q129" s="76" t="str">
        <f t="shared" si="13"/>
        <v>TEXT</v>
      </c>
      <c r="R129" s="76" t="str">
        <f t="shared" si="14"/>
        <v/>
      </c>
      <c r="S129" s="76" t="str">
        <f t="shared" si="15"/>
        <v/>
      </c>
      <c r="T129" s="76" t="str">
        <f t="shared" si="16"/>
        <v>-- 肺炎の重症度分類</v>
      </c>
      <c r="U129" s="4"/>
      <c r="AA129" s="4"/>
      <c r="AB129" s="4"/>
      <c r="AC129" s="4"/>
      <c r="AD129" s="4"/>
      <c r="AE129" s="4"/>
      <c r="AF129" s="4"/>
      <c r="AG129" s="4"/>
      <c r="AH129" s="4"/>
      <c r="AI129" s="4"/>
      <c r="AJ129" s="76" t="str">
        <f>IF(E129="○",IF(COUNTA(E$13:E129)=1,"",",")&amp;D129,"")</f>
        <v/>
      </c>
      <c r="AK129" s="4"/>
      <c r="AL129" s="4"/>
      <c r="AM129" s="4"/>
      <c r="AN129" s="4"/>
      <c r="AO129" s="4"/>
      <c r="AP129" s="4"/>
      <c r="AQ129" s="4"/>
      <c r="AR129" s="4"/>
      <c r="AS129" s="76" t="str">
        <f>"COMMENT ON COLUMN "&amp;エンティティ一覧!$O$2&amp;"."&amp;D$8&amp;"."&amp;D129&amp;" IS '"&amp;C129&amp;"';"</f>
        <v>COMMENT ON COLUMN milscm_2023_009.sny_202310_base_merge_dpc_ff1.m040020_haien_jushodo IS '肺炎の重症度分類';</v>
      </c>
      <c r="AT129" s="4"/>
      <c r="AU129" s="4"/>
      <c r="AV129" s="4"/>
      <c r="AW129" s="4"/>
      <c r="AX129" s="4"/>
      <c r="AY129" s="4"/>
      <c r="AZ129" s="4"/>
    </row>
    <row r="130" spans="1:52" s="25" customFormat="1" ht="30">
      <c r="A130" s="4"/>
      <c r="B130" s="21">
        <f t="shared" si="2"/>
        <v>118</v>
      </c>
      <c r="C130" s="13" t="s">
        <v>754</v>
      </c>
      <c r="D130" s="13" t="s">
        <v>755</v>
      </c>
      <c r="E130" s="7"/>
      <c r="F130" s="7" t="s">
        <v>317</v>
      </c>
      <c r="G130" s="7" t="str">
        <f t="shared" si="3"/>
        <v>text</v>
      </c>
      <c r="H130" s="58"/>
      <c r="I130" s="23"/>
      <c r="J130" s="24" t="s">
        <v>847</v>
      </c>
      <c r="L130" s="4"/>
      <c r="M130" s="4"/>
      <c r="N130" s="76"/>
      <c r="O130" s="76"/>
      <c r="P130" s="76" t="str">
        <f t="shared" si="12"/>
        <v>,m040020_kanren_haien_flag</v>
      </c>
      <c r="Q130" s="76" t="str">
        <f t="shared" si="13"/>
        <v>TEXT</v>
      </c>
      <c r="R130" s="76" t="str">
        <f t="shared" si="14"/>
        <v/>
      </c>
      <c r="S130" s="76" t="str">
        <f t="shared" si="15"/>
        <v/>
      </c>
      <c r="T130" s="76" t="str">
        <f t="shared" si="16"/>
        <v>-- 医療介護関連肺炎に該当の有無</v>
      </c>
      <c r="U130" s="4"/>
      <c r="AA130" s="4"/>
      <c r="AB130" s="4"/>
      <c r="AC130" s="4"/>
      <c r="AD130" s="4"/>
      <c r="AE130" s="4"/>
      <c r="AF130" s="4"/>
      <c r="AG130" s="4"/>
      <c r="AH130" s="4"/>
      <c r="AI130" s="4"/>
      <c r="AJ130" s="76" t="str">
        <f>IF(E130="○",IF(COUNTA(E$13:E130)=1,"",",")&amp;D130,"")</f>
        <v/>
      </c>
      <c r="AK130" s="4"/>
      <c r="AL130" s="4"/>
      <c r="AM130" s="4"/>
      <c r="AN130" s="4"/>
      <c r="AO130" s="4"/>
      <c r="AP130" s="4"/>
      <c r="AQ130" s="4"/>
      <c r="AR130" s="4"/>
      <c r="AS130" s="76" t="str">
        <f>"COMMENT ON COLUMN "&amp;エンティティ一覧!$O$2&amp;"."&amp;D$8&amp;"."&amp;D130&amp;" IS '"&amp;C130&amp;"';"</f>
        <v>COMMENT ON COLUMN milscm_2023_009.sny_202310_base_merge_dpc_ff1.m040020_kanren_haien_flag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756</v>
      </c>
      <c r="D131" s="6" t="s">
        <v>757</v>
      </c>
      <c r="E131" s="8"/>
      <c r="F131" s="7" t="s">
        <v>317</v>
      </c>
      <c r="G131" s="7" t="str">
        <f t="shared" si="3"/>
        <v>text</v>
      </c>
      <c r="H131" s="26"/>
      <c r="I131" s="10"/>
      <c r="J131" s="11" t="s">
        <v>848</v>
      </c>
      <c r="L131" s="4"/>
      <c r="M131" s="4"/>
      <c r="N131" s="76"/>
      <c r="O131" s="76"/>
      <c r="P131" s="76" t="str">
        <f t="shared" si="12"/>
        <v>,m040030_emergency_pf</v>
      </c>
      <c r="Q131" s="76" t="str">
        <f t="shared" si="13"/>
        <v>TEXT</v>
      </c>
      <c r="R131" s="76" t="str">
        <f t="shared" si="14"/>
        <v/>
      </c>
      <c r="S131" s="76" t="str">
        <f t="shared" si="15"/>
        <v/>
      </c>
      <c r="T131" s="76" t="str">
        <f t="shared" si="16"/>
        <v>-- 救急受診時のP/F比</v>
      </c>
      <c r="U131" s="4"/>
      <c r="AA131" s="4"/>
      <c r="AB131" s="4"/>
      <c r="AC131" s="4"/>
      <c r="AD131" s="4"/>
      <c r="AE131" s="4"/>
      <c r="AF131" s="4"/>
      <c r="AG131" s="4"/>
      <c r="AH131" s="4"/>
      <c r="AI131" s="4"/>
      <c r="AJ131" s="76" t="str">
        <f>IF(E131="○",IF(COUNTA(E$13:E131)=1,"",",")&amp;D131,"")</f>
        <v/>
      </c>
      <c r="AK131" s="4"/>
      <c r="AL131" s="4"/>
      <c r="AM131" s="4"/>
      <c r="AN131" s="4"/>
      <c r="AO131" s="4"/>
      <c r="AP131" s="4"/>
      <c r="AQ131" s="4"/>
      <c r="AR131" s="4"/>
      <c r="AS131" s="76" t="str">
        <f>"COMMENT ON COLUMN "&amp;エンティティ一覧!$O$2&amp;"."&amp;D$8&amp;"."&amp;D131&amp;" IS '"&amp;C131&amp;"';"</f>
        <v>COMMENT ON COLUMN milscm_2023_009.sny_202310_base_merge_dpc_ff1.m040030_emergency_pf IS '救急受診時のP/F比';</v>
      </c>
      <c r="AT131" s="4"/>
      <c r="AU131" s="4"/>
      <c r="AV131" s="4"/>
      <c r="AW131" s="4"/>
      <c r="AX131" s="4"/>
      <c r="AY131" s="4"/>
      <c r="AZ131" s="4"/>
    </row>
    <row r="132" spans="1:52" s="25" customFormat="1" ht="30">
      <c r="A132" s="4"/>
      <c r="B132" s="21">
        <f t="shared" si="2"/>
        <v>120</v>
      </c>
      <c r="C132" s="13" t="s">
        <v>758</v>
      </c>
      <c r="D132" s="13" t="s">
        <v>759</v>
      </c>
      <c r="E132" s="7"/>
      <c r="F132" s="7" t="s">
        <v>317</v>
      </c>
      <c r="G132" s="7" t="str">
        <f t="shared" si="3"/>
        <v>text</v>
      </c>
      <c r="H132" s="26"/>
      <c r="I132" s="10"/>
      <c r="J132" s="11" t="s">
        <v>849</v>
      </c>
      <c r="L132" s="4"/>
      <c r="M132" s="4"/>
      <c r="N132" s="76"/>
      <c r="O132" s="76"/>
      <c r="P132" s="76" t="str">
        <f t="shared" si="12"/>
        <v>,m040030_emergency_kokyu</v>
      </c>
      <c r="Q132" s="76" t="str">
        <f t="shared" si="13"/>
        <v>TEXT</v>
      </c>
      <c r="R132" s="76" t="str">
        <f t="shared" si="14"/>
        <v/>
      </c>
      <c r="S132" s="76" t="str">
        <f t="shared" si="15"/>
        <v/>
      </c>
      <c r="T132" s="76" t="str">
        <f t="shared" si="16"/>
        <v>-- 救急受診時の呼吸補助</v>
      </c>
      <c r="U132" s="4"/>
      <c r="AA132" s="4"/>
      <c r="AB132" s="4"/>
      <c r="AC132" s="4"/>
      <c r="AD132" s="4"/>
      <c r="AE132" s="4"/>
      <c r="AF132" s="4"/>
      <c r="AG132" s="4"/>
      <c r="AH132" s="4"/>
      <c r="AI132" s="4"/>
      <c r="AJ132" s="76" t="str">
        <f>IF(E132="○",IF(COUNTA(E$13:E132)=1,"",",")&amp;D132,"")</f>
        <v/>
      </c>
      <c r="AK132" s="4"/>
      <c r="AL132" s="4"/>
      <c r="AM132" s="4"/>
      <c r="AN132" s="4"/>
      <c r="AO132" s="4"/>
      <c r="AP132" s="4"/>
      <c r="AQ132" s="4"/>
      <c r="AR132" s="4"/>
      <c r="AS132" s="76" t="str">
        <f>"COMMENT ON COLUMN "&amp;エンティティ一覧!$O$2&amp;"."&amp;D$8&amp;"."&amp;D132&amp;" IS '"&amp;C132&amp;"';"</f>
        <v>COMMENT ON COLUMN milscm_2023_009.sny_202310_base_merge_dpc_ff1.m040030_emergency_kokyu IS '救急受診時の呼吸補助';</v>
      </c>
      <c r="AT132" s="4"/>
      <c r="AU132" s="4"/>
      <c r="AV132" s="4"/>
      <c r="AW132" s="4"/>
      <c r="AX132" s="4"/>
      <c r="AY132" s="4"/>
      <c r="AZ132" s="4"/>
    </row>
    <row r="133" spans="1:52" s="25" customFormat="1">
      <c r="A133" s="4"/>
      <c r="B133" s="21">
        <f t="shared" si="2"/>
        <v>121</v>
      </c>
      <c r="C133" s="6" t="s">
        <v>760</v>
      </c>
      <c r="D133" s="6" t="s">
        <v>761</v>
      </c>
      <c r="E133" s="8"/>
      <c r="F133" s="7" t="s">
        <v>317</v>
      </c>
      <c r="G133" s="7" t="str">
        <f t="shared" si="3"/>
        <v>text</v>
      </c>
      <c r="H133" s="58"/>
      <c r="I133" s="23"/>
      <c r="J133" s="24" t="s">
        <v>848</v>
      </c>
      <c r="L133" s="4"/>
      <c r="M133" s="4"/>
      <c r="N133" s="76"/>
      <c r="O133" s="76"/>
      <c r="P133" s="76" t="str">
        <f t="shared" si="12"/>
        <v>,m040030_nyusitsu_pf</v>
      </c>
      <c r="Q133" s="76" t="str">
        <f t="shared" si="13"/>
        <v>TEXT</v>
      </c>
      <c r="R133" s="76" t="str">
        <f t="shared" si="14"/>
        <v/>
      </c>
      <c r="S133" s="76" t="str">
        <f t="shared" si="15"/>
        <v/>
      </c>
      <c r="T133" s="76" t="str">
        <f t="shared" si="16"/>
        <v>-- 治療室又は病棟入室時のP/F比</v>
      </c>
      <c r="U133" s="4"/>
      <c r="AA133" s="4"/>
      <c r="AB133" s="4"/>
      <c r="AC133" s="4"/>
      <c r="AD133" s="4"/>
      <c r="AE133" s="4"/>
      <c r="AF133" s="4"/>
      <c r="AG133" s="4"/>
      <c r="AH133" s="4"/>
      <c r="AI133" s="4"/>
      <c r="AJ133" s="76" t="str">
        <f>IF(E133="○",IF(COUNTA(E$13:E133)=1,"",",")&amp;D133,"")</f>
        <v/>
      </c>
      <c r="AK133" s="4"/>
      <c r="AL133" s="4"/>
      <c r="AM133" s="4"/>
      <c r="AN133" s="4"/>
      <c r="AO133" s="4"/>
      <c r="AP133" s="4"/>
      <c r="AQ133" s="4"/>
      <c r="AR133" s="4"/>
      <c r="AS133" s="76" t="str">
        <f>"COMMENT ON COLUMN "&amp;エンティティ一覧!$O$2&amp;"."&amp;D$8&amp;"."&amp;D133&amp;" IS '"&amp;C133&amp;"';"</f>
        <v>COMMENT ON COLUMN milscm_2023_009.sny_202310_base_merge_dpc_ff1.m040030_nyusitsu_pf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762</v>
      </c>
      <c r="D134" s="13" t="s">
        <v>763</v>
      </c>
      <c r="E134" s="7"/>
      <c r="F134" s="7" t="s">
        <v>317</v>
      </c>
      <c r="G134" s="7" t="str">
        <f t="shared" si="3"/>
        <v>text</v>
      </c>
      <c r="H134" s="26"/>
      <c r="I134" s="10"/>
      <c r="J134" s="11" t="s">
        <v>849</v>
      </c>
      <c r="L134" s="4"/>
      <c r="M134" s="4"/>
      <c r="N134" s="76"/>
      <c r="O134" s="76"/>
      <c r="P134" s="76" t="str">
        <f t="shared" si="12"/>
        <v>,m040030_nyusitsu_kokyu</v>
      </c>
      <c r="Q134" s="76" t="str">
        <f t="shared" si="13"/>
        <v>TEXT</v>
      </c>
      <c r="R134" s="76" t="str">
        <f t="shared" si="14"/>
        <v/>
      </c>
      <c r="S134" s="76" t="str">
        <f t="shared" si="15"/>
        <v/>
      </c>
      <c r="T134" s="76" t="str">
        <f t="shared" si="16"/>
        <v>-- 治療室又は病棟入室時の呼吸補助</v>
      </c>
      <c r="U134" s="4"/>
      <c r="AA134" s="4"/>
      <c r="AB134" s="4"/>
      <c r="AC134" s="4"/>
      <c r="AD134" s="4"/>
      <c r="AE134" s="4"/>
      <c r="AF134" s="4"/>
      <c r="AG134" s="4"/>
      <c r="AH134" s="4"/>
      <c r="AI134" s="4"/>
      <c r="AJ134" s="76" t="str">
        <f>IF(E134="○",IF(COUNTA(E$13:E134)=1,"",",")&amp;D134,"")</f>
        <v/>
      </c>
      <c r="AK134" s="4"/>
      <c r="AL134" s="4"/>
      <c r="AM134" s="4"/>
      <c r="AN134" s="4"/>
      <c r="AO134" s="4"/>
      <c r="AP134" s="4"/>
      <c r="AQ134" s="4"/>
      <c r="AR134" s="4"/>
      <c r="AS134" s="76" t="str">
        <f>"COMMENT ON COLUMN "&amp;エンティティ一覧!$O$2&amp;"."&amp;D$8&amp;"."&amp;D134&amp;" IS '"&amp;C134&amp;"';"</f>
        <v>COMMENT ON COLUMN milscm_2023_009.sny_202310_base_merge_dpc_ff1.m040030_nyusitsu_kokyu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764</v>
      </c>
      <c r="D135" s="6" t="s">
        <v>765</v>
      </c>
      <c r="E135" s="8"/>
      <c r="F135" s="7" t="s">
        <v>317</v>
      </c>
      <c r="G135" s="7" t="str">
        <f t="shared" si="3"/>
        <v>text</v>
      </c>
      <c r="H135" s="58"/>
      <c r="I135" s="23"/>
      <c r="J135" s="24" t="s">
        <v>850</v>
      </c>
      <c r="L135" s="4"/>
      <c r="M135" s="4"/>
      <c r="N135" s="76"/>
      <c r="O135" s="76"/>
      <c r="P135" s="76" t="str">
        <f t="shared" si="12"/>
        <v>,m050010_nyha</v>
      </c>
      <c r="Q135" s="76" t="str">
        <f t="shared" si="13"/>
        <v>TEXT</v>
      </c>
      <c r="R135" s="76" t="str">
        <f t="shared" si="14"/>
        <v/>
      </c>
      <c r="S135" s="76" t="str">
        <f t="shared" si="15"/>
        <v/>
      </c>
      <c r="T135" s="76" t="str">
        <f t="shared" si="16"/>
        <v>-- NYHA心機能分類</v>
      </c>
      <c r="U135" s="4"/>
      <c r="AA135" s="4"/>
      <c r="AB135" s="4"/>
      <c r="AC135" s="4"/>
      <c r="AD135" s="4"/>
      <c r="AE135" s="4"/>
      <c r="AF135" s="4"/>
      <c r="AG135" s="4"/>
      <c r="AH135" s="4"/>
      <c r="AI135" s="4"/>
      <c r="AJ135" s="76" t="str">
        <f>IF(E135="○",IF(COUNTA(E$13:E135)=1,"",",")&amp;D135,"")</f>
        <v/>
      </c>
      <c r="AK135" s="4"/>
      <c r="AL135" s="4"/>
      <c r="AM135" s="4"/>
      <c r="AN135" s="4"/>
      <c r="AO135" s="4"/>
      <c r="AP135" s="4"/>
      <c r="AQ135" s="4"/>
      <c r="AR135" s="4"/>
      <c r="AS135" s="76" t="str">
        <f>"COMMENT ON COLUMN "&amp;エンティティ一覧!$O$2&amp;"."&amp;D$8&amp;"."&amp;D135&amp;" IS '"&amp;C135&amp;"';"</f>
        <v>COMMENT ON COLUMN milscm_2023_009.sny_202310_base_merge_dpc_ff1.m050010_nyha IS 'NYHA心機能分類';</v>
      </c>
      <c r="AT135" s="4"/>
      <c r="AU135" s="4"/>
      <c r="AV135" s="4"/>
      <c r="AW135" s="4"/>
      <c r="AX135" s="4"/>
      <c r="AY135" s="4"/>
      <c r="AZ135" s="4"/>
    </row>
    <row r="136" spans="1:52" s="25" customFormat="1" ht="87">
      <c r="A136" s="4"/>
      <c r="B136" s="21">
        <f t="shared" si="2"/>
        <v>124</v>
      </c>
      <c r="C136" s="13" t="s">
        <v>766</v>
      </c>
      <c r="D136" s="13" t="s">
        <v>767</v>
      </c>
      <c r="E136" s="7"/>
      <c r="F136" s="7" t="s">
        <v>317</v>
      </c>
      <c r="G136" s="7" t="str">
        <f t="shared" si="3"/>
        <v>text</v>
      </c>
      <c r="H136" s="26"/>
      <c r="I136" s="10"/>
      <c r="J136" s="11" t="s">
        <v>851</v>
      </c>
      <c r="L136" s="4"/>
      <c r="M136" s="4"/>
      <c r="N136" s="76"/>
      <c r="O136" s="76"/>
      <c r="P136" s="76" t="str">
        <f t="shared" si="12"/>
        <v>,m050010_emergency_nyha</v>
      </c>
      <c r="Q136" s="76" t="str">
        <f t="shared" si="13"/>
        <v>TEXT</v>
      </c>
      <c r="R136" s="76" t="str">
        <f t="shared" si="14"/>
        <v/>
      </c>
      <c r="S136" s="76" t="str">
        <f t="shared" si="15"/>
        <v/>
      </c>
      <c r="T136" s="76" t="str">
        <f t="shared" si="16"/>
        <v>-- 救急受診時のNYHA心機能分類</v>
      </c>
      <c r="U136" s="4"/>
      <c r="AA136" s="4"/>
      <c r="AB136" s="4"/>
      <c r="AC136" s="4"/>
      <c r="AD136" s="4"/>
      <c r="AE136" s="4"/>
      <c r="AF136" s="4"/>
      <c r="AG136" s="4"/>
      <c r="AH136" s="4"/>
      <c r="AI136" s="4"/>
      <c r="AJ136" s="76" t="str">
        <f>IF(E136="○",IF(COUNTA(E$13:E136)=1,"",",")&amp;D136,"")</f>
        <v/>
      </c>
      <c r="AK136" s="4"/>
      <c r="AL136" s="4"/>
      <c r="AM136" s="4"/>
      <c r="AN136" s="4"/>
      <c r="AO136" s="4"/>
      <c r="AP136" s="4"/>
      <c r="AQ136" s="4"/>
      <c r="AR136" s="4"/>
      <c r="AS136" s="76" t="str">
        <f>"COMMENT ON COLUMN "&amp;エンティティ一覧!$O$2&amp;"."&amp;D$8&amp;"."&amp;D136&amp;" IS '"&amp;C136&amp;"';"</f>
        <v>COMMENT ON COLUMN milscm_2023_009.sny_202310_base_merge_dpc_ff1.m050010_emergency_nyha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768</v>
      </c>
      <c r="D137" s="6" t="s">
        <v>769</v>
      </c>
      <c r="E137" s="8"/>
      <c r="F137" s="7" t="s">
        <v>317</v>
      </c>
      <c r="G137" s="7" t="str">
        <f t="shared" si="3"/>
        <v>text</v>
      </c>
      <c r="H137" s="58"/>
      <c r="I137" s="23"/>
      <c r="J137" s="24" t="s">
        <v>852</v>
      </c>
      <c r="L137" s="4"/>
      <c r="M137" s="4"/>
      <c r="N137" s="76"/>
      <c r="O137" s="76"/>
      <c r="P137" s="76" t="str">
        <f t="shared" si="12"/>
        <v>,m050010_nyusitsu_nyha</v>
      </c>
      <c r="Q137" s="76" t="str">
        <f t="shared" si="13"/>
        <v>TEXT</v>
      </c>
      <c r="R137" s="76" t="str">
        <f t="shared" si="14"/>
        <v/>
      </c>
      <c r="S137" s="76" t="str">
        <f t="shared" si="15"/>
        <v/>
      </c>
      <c r="T137" s="76" t="str">
        <f t="shared" si="16"/>
        <v>-- 治療室又は病棟入室時のNYHA 心機能分類</v>
      </c>
      <c r="U137" s="4"/>
      <c r="AA137" s="4"/>
      <c r="AB137" s="4"/>
      <c r="AC137" s="4"/>
      <c r="AD137" s="4"/>
      <c r="AE137" s="4"/>
      <c r="AF137" s="4"/>
      <c r="AG137" s="4"/>
      <c r="AH137" s="4"/>
      <c r="AI137" s="4"/>
      <c r="AJ137" s="76" t="str">
        <f>IF(E137="○",IF(COUNTA(E$13:E137)=1,"",",")&amp;D137,"")</f>
        <v/>
      </c>
      <c r="AK137" s="4"/>
      <c r="AL137" s="4"/>
      <c r="AM137" s="4"/>
      <c r="AN137" s="4"/>
      <c r="AO137" s="4"/>
      <c r="AP137" s="4"/>
      <c r="AQ137" s="4"/>
      <c r="AR137" s="4"/>
      <c r="AS137" s="76" t="str">
        <f>"COMMENT ON COLUMN "&amp;エンティティ一覧!$O$2&amp;"."&amp;D$8&amp;"."&amp;D137&amp;" IS '"&amp;C137&amp;"';"</f>
        <v>COMMENT ON COLUMN milscm_2023_009.sny_202310_base_merge_dpc_ff1.m050010_nyusitsu_nyha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770</v>
      </c>
      <c r="D138" s="13" t="s">
        <v>771</v>
      </c>
      <c r="E138" s="7"/>
      <c r="F138" s="7" t="s">
        <v>317</v>
      </c>
      <c r="G138" s="7" t="str">
        <f t="shared" si="3"/>
        <v>text</v>
      </c>
      <c r="H138" s="26"/>
      <c r="I138" s="10"/>
      <c r="J138" s="11"/>
      <c r="L138" s="4"/>
      <c r="M138" s="4"/>
      <c r="N138" s="76"/>
      <c r="O138" s="76"/>
      <c r="P138" s="76" t="str">
        <f t="shared" si="12"/>
        <v>,m050020_ccs</v>
      </c>
      <c r="Q138" s="76" t="str">
        <f t="shared" si="13"/>
        <v>TEXT</v>
      </c>
      <c r="R138" s="76" t="str">
        <f t="shared" si="14"/>
        <v/>
      </c>
      <c r="S138" s="76" t="str">
        <f t="shared" si="15"/>
        <v/>
      </c>
      <c r="T138" s="76" t="str">
        <f t="shared" si="16"/>
        <v>-- CCS分類</v>
      </c>
      <c r="U138" s="4"/>
      <c r="AA138" s="4"/>
      <c r="AB138" s="4"/>
      <c r="AC138" s="4"/>
      <c r="AD138" s="4"/>
      <c r="AE138" s="4"/>
      <c r="AF138" s="4"/>
      <c r="AG138" s="4"/>
      <c r="AH138" s="4"/>
      <c r="AI138" s="4"/>
      <c r="AJ138" s="76" t="str">
        <f>IF(E138="○",IF(COUNTA(E$13:E138)=1,"",",")&amp;D138,"")</f>
        <v/>
      </c>
      <c r="AK138" s="4"/>
      <c r="AL138" s="4"/>
      <c r="AM138" s="4"/>
      <c r="AN138" s="4"/>
      <c r="AO138" s="4"/>
      <c r="AP138" s="4"/>
      <c r="AQ138" s="4"/>
      <c r="AR138" s="4"/>
      <c r="AS138" s="76" t="str">
        <f>"COMMENT ON COLUMN "&amp;エンティティ一覧!$O$2&amp;"."&amp;D$8&amp;"."&amp;D138&amp;" IS '"&amp;C138&amp;"';"</f>
        <v>COMMENT ON COLUMN milscm_2023_009.sny_202310_base_merge_dpc_ff1.m050020_ccs IS 'CCS分類';</v>
      </c>
      <c r="AT138" s="4"/>
      <c r="AU138" s="4"/>
      <c r="AV138" s="4"/>
      <c r="AW138" s="4"/>
      <c r="AX138" s="4"/>
      <c r="AY138" s="4"/>
      <c r="AZ138" s="4"/>
    </row>
    <row r="139" spans="1:52" s="25" customFormat="1">
      <c r="A139" s="4"/>
      <c r="B139" s="21">
        <f t="shared" si="2"/>
        <v>127</v>
      </c>
      <c r="C139" s="13" t="s">
        <v>772</v>
      </c>
      <c r="D139" s="13" t="s">
        <v>773</v>
      </c>
      <c r="E139" s="7"/>
      <c r="F139" s="7" t="s">
        <v>317</v>
      </c>
      <c r="G139" s="7" t="str">
        <f t="shared" si="3"/>
        <v>text</v>
      </c>
      <c r="H139" s="58"/>
      <c r="I139" s="23"/>
      <c r="J139" s="24"/>
      <c r="L139" s="4"/>
      <c r="M139" s="4"/>
      <c r="N139" s="76"/>
      <c r="O139" s="76"/>
      <c r="P139" s="76" t="str">
        <f t="shared" si="12"/>
        <v>,m050030_killip</v>
      </c>
      <c r="Q139" s="76" t="str">
        <f t="shared" si="13"/>
        <v>TEXT</v>
      </c>
      <c r="R139" s="76" t="str">
        <f t="shared" si="14"/>
        <v/>
      </c>
      <c r="S139" s="76" t="str">
        <f t="shared" si="15"/>
        <v/>
      </c>
      <c r="T139" s="76" t="str">
        <f t="shared" si="16"/>
        <v>-- Killip分類</v>
      </c>
      <c r="U139" s="4"/>
      <c r="AA139" s="4"/>
      <c r="AB139" s="4"/>
      <c r="AC139" s="4"/>
      <c r="AD139" s="4"/>
      <c r="AE139" s="4"/>
      <c r="AF139" s="4"/>
      <c r="AG139" s="4"/>
      <c r="AH139" s="4"/>
      <c r="AI139" s="4"/>
      <c r="AJ139" s="76" t="str">
        <f>IF(E139="○",IF(COUNTA(E$13:E139)=1,"",",")&amp;D139,"")</f>
        <v/>
      </c>
      <c r="AK139" s="4"/>
      <c r="AL139" s="4"/>
      <c r="AM139" s="4"/>
      <c r="AN139" s="4"/>
      <c r="AO139" s="4"/>
      <c r="AP139" s="4"/>
      <c r="AQ139" s="4"/>
      <c r="AR139" s="4"/>
      <c r="AS139" s="76" t="str">
        <f>"COMMENT ON COLUMN "&amp;エンティティ一覧!$O$2&amp;"."&amp;D$8&amp;"."&amp;D139&amp;" IS '"&amp;C139&amp;"';"</f>
        <v>COMMENT ON COLUMN milscm_2023_009.sny_202310_base_merge_dpc_ff1.m050030_killip IS 'Killip分類';</v>
      </c>
      <c r="AT139" s="4"/>
      <c r="AU139" s="4"/>
      <c r="AV139" s="4"/>
      <c r="AW139" s="4"/>
      <c r="AX139" s="4"/>
      <c r="AY139" s="4"/>
      <c r="AZ139" s="4"/>
    </row>
    <row r="140" spans="1:52" s="25" customFormat="1" ht="34.799999999999997">
      <c r="A140" s="4"/>
      <c r="B140" s="21">
        <f t="shared" si="2"/>
        <v>128</v>
      </c>
      <c r="C140" s="6" t="s">
        <v>774</v>
      </c>
      <c r="D140" s="6" t="s">
        <v>775</v>
      </c>
      <c r="E140" s="8"/>
      <c r="F140" s="7" t="s">
        <v>317</v>
      </c>
      <c r="G140" s="7" t="str">
        <f t="shared" si="3"/>
        <v>text</v>
      </c>
      <c r="H140" s="26"/>
      <c r="I140" s="10"/>
      <c r="J140" s="11" t="s">
        <v>853</v>
      </c>
      <c r="L140" s="4"/>
      <c r="M140" s="4"/>
      <c r="N140" s="76"/>
      <c r="O140" s="76"/>
      <c r="P140" s="76" t="str">
        <f t="shared" si="12"/>
        <v>,m050040_ketsuatsu</v>
      </c>
      <c r="Q140" s="76" t="str">
        <f t="shared" si="13"/>
        <v>TEXT</v>
      </c>
      <c r="R140" s="76" t="str">
        <f t="shared" si="14"/>
        <v/>
      </c>
      <c r="S140" s="76" t="str">
        <f t="shared" si="15"/>
        <v/>
      </c>
      <c r="T140" s="76" t="str">
        <f t="shared" si="16"/>
        <v>-- 収縮期血圧</v>
      </c>
      <c r="U140" s="4"/>
      <c r="AA140" s="4"/>
      <c r="AB140" s="4"/>
      <c r="AC140" s="4"/>
      <c r="AD140" s="4"/>
      <c r="AE140" s="4"/>
      <c r="AF140" s="4"/>
      <c r="AG140" s="4"/>
      <c r="AH140" s="4"/>
      <c r="AI140" s="4"/>
      <c r="AJ140" s="76" t="str">
        <f>IF(E140="○",IF(COUNTA(E$13:E140)=1,"",",")&amp;D140,"")</f>
        <v/>
      </c>
      <c r="AK140" s="4"/>
      <c r="AL140" s="4"/>
      <c r="AM140" s="4"/>
      <c r="AN140" s="4"/>
      <c r="AO140" s="4"/>
      <c r="AP140" s="4"/>
      <c r="AQ140" s="4"/>
      <c r="AR140" s="4"/>
      <c r="AS140" s="76" t="str">
        <f>"COMMENT ON COLUMN "&amp;エンティティ一覧!$O$2&amp;"."&amp;D$8&amp;"."&amp;D140&amp;" IS '"&amp;C140&amp;"';"</f>
        <v>COMMENT ON COLUMN milscm_2023_009.sny_202310_base_merge_dpc_ff1.m050040_ketsuatsu IS '収縮期血圧';</v>
      </c>
      <c r="AT140" s="4"/>
      <c r="AU140" s="4"/>
      <c r="AV140" s="4"/>
      <c r="AW140" s="4"/>
      <c r="AX140" s="4"/>
      <c r="AY140" s="4"/>
      <c r="AZ140" s="4"/>
    </row>
    <row r="141" spans="1:52" s="25" customFormat="1" ht="69.599999999999994">
      <c r="A141" s="4"/>
      <c r="B141" s="21">
        <f t="shared" si="2"/>
        <v>129</v>
      </c>
      <c r="C141" s="13" t="s">
        <v>776</v>
      </c>
      <c r="D141" s="13" t="s">
        <v>777</v>
      </c>
      <c r="E141" s="7"/>
      <c r="F141" s="7" t="s">
        <v>317</v>
      </c>
      <c r="G141" s="7" t="str">
        <f t="shared" si="3"/>
        <v>text</v>
      </c>
      <c r="H141" s="58"/>
      <c r="I141" s="23"/>
      <c r="J141" s="24" t="s">
        <v>854</v>
      </c>
      <c r="L141" s="4"/>
      <c r="M141" s="4"/>
      <c r="N141" s="76"/>
      <c r="O141" s="76"/>
      <c r="P141" s="76" t="str">
        <f t="shared" si="12"/>
        <v>,m050050_acuteMI</v>
      </c>
      <c r="Q141" s="76" t="str">
        <f t="shared" si="13"/>
        <v>TEXT</v>
      </c>
      <c r="R141" s="76" t="str">
        <f t="shared" si="14"/>
        <v/>
      </c>
      <c r="S141" s="76" t="str">
        <f t="shared" si="15"/>
        <v/>
      </c>
      <c r="T141" s="76" t="str">
        <f t="shared" si="16"/>
        <v>-- 急性心筋梗塞の発症時期</v>
      </c>
      <c r="U141" s="4"/>
      <c r="AA141" s="4"/>
      <c r="AB141" s="4"/>
      <c r="AC141" s="4"/>
      <c r="AD141" s="4"/>
      <c r="AE141" s="4"/>
      <c r="AF141" s="4"/>
      <c r="AG141" s="4"/>
      <c r="AH141" s="4"/>
      <c r="AI141" s="4"/>
      <c r="AJ141" s="76" t="str">
        <f>IF(E141="○",IF(COUNTA(E$13:E141)=1,"",",")&amp;D141,"")</f>
        <v/>
      </c>
      <c r="AK141" s="4"/>
      <c r="AL141" s="4"/>
      <c r="AM141" s="4"/>
      <c r="AN141" s="4"/>
      <c r="AO141" s="4"/>
      <c r="AP141" s="4"/>
      <c r="AQ141" s="4"/>
      <c r="AR141" s="4"/>
      <c r="AS141" s="76" t="str">
        <f>"COMMENT ON COLUMN "&amp;エンティティ一覧!$O$2&amp;"."&amp;D$8&amp;"."&amp;D141&amp;" IS '"&amp;C141&amp;"';"</f>
        <v>COMMENT ON COLUMN milscm_2023_009.sny_202310_base_merge_dpc_ff1.m050050_acuteMI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778</v>
      </c>
      <c r="D142" s="13" t="s">
        <v>779</v>
      </c>
      <c r="E142" s="7"/>
      <c r="F142" s="7" t="s">
        <v>317</v>
      </c>
      <c r="G142" s="7" t="str">
        <f t="shared" si="3"/>
        <v>text</v>
      </c>
      <c r="H142" s="58"/>
      <c r="I142" s="23"/>
      <c r="J142" s="24" t="s">
        <v>855</v>
      </c>
      <c r="L142" s="4"/>
      <c r="M142" s="4"/>
      <c r="N142" s="76"/>
      <c r="O142" s="76"/>
      <c r="P142" s="76" t="str">
        <f t="shared" si="12"/>
        <v>,m050060_nyuin_kusyutsuritsu</v>
      </c>
      <c r="Q142" s="76" t="str">
        <f t="shared" si="13"/>
        <v>TEXT</v>
      </c>
      <c r="R142" s="76" t="str">
        <f t="shared" si="14"/>
        <v/>
      </c>
      <c r="S142" s="76" t="str">
        <f t="shared" si="15"/>
        <v/>
      </c>
      <c r="T142" s="76" t="str">
        <f t="shared" si="16"/>
        <v>-- 入院時左室駆出率</v>
      </c>
      <c r="U142" s="4"/>
      <c r="AA142" s="4"/>
      <c r="AB142" s="4"/>
      <c r="AC142" s="4"/>
      <c r="AD142" s="4"/>
      <c r="AE142" s="4"/>
      <c r="AF142" s="4"/>
      <c r="AG142" s="4"/>
      <c r="AH142" s="4"/>
      <c r="AI142" s="4"/>
      <c r="AJ142" s="76" t="str">
        <f>IF(E142="○",IF(COUNTA(E$13:E142)=1,"",",")&amp;D142,"")</f>
        <v/>
      </c>
      <c r="AK142" s="4"/>
      <c r="AL142" s="4"/>
      <c r="AM142" s="4"/>
      <c r="AN142" s="4"/>
      <c r="AO142" s="4"/>
      <c r="AP142" s="4"/>
      <c r="AQ142" s="4"/>
      <c r="AR142" s="4"/>
      <c r="AS142" s="76" t="str">
        <f>"COMMENT ON COLUMN "&amp;エンティティ一覧!$O$2&amp;"."&amp;D$8&amp;"."&amp;D142&amp;" IS '"&amp;C142&amp;"';"</f>
        <v>COMMENT ON COLUMN milscm_2023_009.sny_202310_base_merge_dpc_ff1.m050060_nyuin_kusyutsuritsu IS '入院時左室駆出率';</v>
      </c>
      <c r="AT142" s="4"/>
      <c r="AU142" s="4"/>
      <c r="AV142" s="4"/>
      <c r="AW142" s="4"/>
      <c r="AX142" s="4"/>
      <c r="AY142" s="4"/>
      <c r="AZ142" s="4"/>
    </row>
    <row r="143" spans="1:52" s="25" customFormat="1" ht="52.2">
      <c r="A143" s="4"/>
      <c r="B143" s="21">
        <f t="shared" si="2"/>
        <v>131</v>
      </c>
      <c r="C143" s="13" t="s">
        <v>780</v>
      </c>
      <c r="D143" s="13" t="s">
        <v>781</v>
      </c>
      <c r="E143" s="7"/>
      <c r="F143" s="7" t="s">
        <v>317</v>
      </c>
      <c r="G143" s="7" t="str">
        <f t="shared" si="3"/>
        <v>text</v>
      </c>
      <c r="H143" s="58"/>
      <c r="I143" s="23"/>
      <c r="J143" s="24" t="s">
        <v>856</v>
      </c>
      <c r="L143" s="4"/>
      <c r="M143" s="4"/>
      <c r="N143" s="76"/>
      <c r="O143" s="76"/>
      <c r="P143" s="76" t="str">
        <f t="shared" si="12"/>
        <v>,m050070_stanford_ab</v>
      </c>
      <c r="Q143" s="76" t="str">
        <f t="shared" si="13"/>
        <v>TEXT</v>
      </c>
      <c r="R143" s="76" t="str">
        <f t="shared" si="14"/>
        <v/>
      </c>
      <c r="S143" s="76" t="str">
        <f t="shared" si="15"/>
        <v/>
      </c>
      <c r="T143" s="76" t="str">
        <f t="shared" si="16"/>
        <v>-- Stanford A/B型</v>
      </c>
      <c r="U143" s="4"/>
      <c r="AA143" s="4"/>
      <c r="AB143" s="4"/>
      <c r="AC143" s="4"/>
      <c r="AD143" s="4"/>
      <c r="AE143" s="4"/>
      <c r="AF143" s="4"/>
      <c r="AG143" s="4"/>
      <c r="AH143" s="4"/>
      <c r="AI143" s="4"/>
      <c r="AJ143" s="76" t="str">
        <f>IF(E143="○",IF(COUNTA(E$13:E143)=1,"",",")&amp;D143,"")</f>
        <v/>
      </c>
      <c r="AK143" s="4"/>
      <c r="AL143" s="4"/>
      <c r="AM143" s="4"/>
      <c r="AN143" s="4"/>
      <c r="AO143" s="4"/>
      <c r="AP143" s="4"/>
      <c r="AQ143" s="4"/>
      <c r="AR143" s="4"/>
      <c r="AS143" s="76" t="str">
        <f>"COMMENT ON COLUMN "&amp;エンティティ一覧!$O$2&amp;"."&amp;D$8&amp;"."&amp;D143&amp;" IS '"&amp;C143&amp;"';"</f>
        <v>COMMENT ON COLUMN milscm_2023_009.sny_202310_base_merge_dpc_ff1.m050070_stanford_ab IS 'Stanford A/B型';</v>
      </c>
      <c r="AT143" s="4"/>
      <c r="AU143" s="4"/>
      <c r="AV143" s="4"/>
      <c r="AW143" s="4"/>
      <c r="AX143" s="4"/>
      <c r="AY143" s="4"/>
      <c r="AZ143" s="4"/>
    </row>
    <row r="144" spans="1:52" s="25" customFormat="1" ht="34.799999999999997">
      <c r="A144" s="4"/>
      <c r="B144" s="21">
        <f t="shared" si="2"/>
        <v>132</v>
      </c>
      <c r="C144" s="6" t="s">
        <v>782</v>
      </c>
      <c r="D144" s="6" t="s">
        <v>783</v>
      </c>
      <c r="E144" s="8"/>
      <c r="F144" s="7" t="s">
        <v>317</v>
      </c>
      <c r="G144" s="7" t="str">
        <f t="shared" si="3"/>
        <v>text</v>
      </c>
      <c r="H144" s="26"/>
      <c r="I144" s="10"/>
      <c r="J144" s="11" t="s">
        <v>857</v>
      </c>
      <c r="L144" s="4"/>
      <c r="M144" s="4"/>
      <c r="N144" s="76"/>
      <c r="O144" s="76"/>
      <c r="P144" s="76" t="str">
        <f t="shared" si="12"/>
        <v>,m060010_kankohen_child_pugh</v>
      </c>
      <c r="Q144" s="76" t="str">
        <f t="shared" si="13"/>
        <v>TEXT</v>
      </c>
      <c r="R144" s="76" t="str">
        <f t="shared" si="14"/>
        <v/>
      </c>
      <c r="S144" s="76" t="str">
        <f t="shared" si="15"/>
        <v/>
      </c>
      <c r="T144" s="76" t="str">
        <f t="shared" si="16"/>
        <v>-- 肝硬変のChild-Pugh分類</v>
      </c>
      <c r="U144" s="4"/>
      <c r="AA144" s="4"/>
      <c r="AB144" s="4"/>
      <c r="AC144" s="4"/>
      <c r="AD144" s="4"/>
      <c r="AE144" s="4"/>
      <c r="AF144" s="4"/>
      <c r="AG144" s="4"/>
      <c r="AH144" s="4"/>
      <c r="AI144" s="4"/>
      <c r="AJ144" s="76" t="str">
        <f>IF(E144="○",IF(COUNTA(E$13:E144)=1,"",",")&amp;D144,"")</f>
        <v/>
      </c>
      <c r="AK144" s="4"/>
      <c r="AL144" s="4"/>
      <c r="AM144" s="4"/>
      <c r="AN144" s="4"/>
      <c r="AO144" s="4"/>
      <c r="AP144" s="4"/>
      <c r="AQ144" s="4"/>
      <c r="AR144" s="4"/>
      <c r="AS144" s="76" t="str">
        <f>"COMMENT ON COLUMN "&amp;エンティティ一覧!$O$2&amp;"."&amp;D$8&amp;"."&amp;D144&amp;" IS '"&amp;C144&amp;"';"</f>
        <v>COMMENT ON COLUMN milscm_2023_009.sny_202310_base_merge_dpc_ff1.m060010_kankohen_child_pugh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784</v>
      </c>
      <c r="D145" s="13" t="s">
        <v>785</v>
      </c>
      <c r="E145" s="7"/>
      <c r="F145" s="7" t="s">
        <v>317</v>
      </c>
      <c r="G145" s="7" t="str">
        <f t="shared" si="3"/>
        <v>text</v>
      </c>
      <c r="H145" s="26"/>
      <c r="I145" s="10"/>
      <c r="J145" s="11"/>
      <c r="L145" s="4"/>
      <c r="M145" s="4"/>
      <c r="N145" s="76"/>
      <c r="O145" s="76"/>
      <c r="P145" s="76" t="str">
        <f t="shared" si="12"/>
        <v>,m060020_kyuseisuien_jushodo</v>
      </c>
      <c r="Q145" s="76" t="str">
        <f t="shared" si="13"/>
        <v>TEXT</v>
      </c>
      <c r="R145" s="76" t="str">
        <f t="shared" si="14"/>
        <v/>
      </c>
      <c r="S145" s="76" t="str">
        <f t="shared" si="15"/>
        <v/>
      </c>
      <c r="T145" s="76" t="str">
        <f t="shared" si="16"/>
        <v>-- 急性膵炎の重症度分類</v>
      </c>
      <c r="U145" s="4"/>
      <c r="AA145" s="4"/>
      <c r="AB145" s="4"/>
      <c r="AC145" s="4"/>
      <c r="AD145" s="4"/>
      <c r="AE145" s="4"/>
      <c r="AF145" s="4"/>
      <c r="AG145" s="4"/>
      <c r="AH145" s="4"/>
      <c r="AI145" s="4"/>
      <c r="AJ145" s="76" t="str">
        <f>IF(E145="○",IF(COUNTA(E$13:E145)=1,"",",")&amp;D145,"")</f>
        <v/>
      </c>
      <c r="AK145" s="4"/>
      <c r="AL145" s="4"/>
      <c r="AM145" s="4"/>
      <c r="AN145" s="4"/>
      <c r="AO145" s="4"/>
      <c r="AP145" s="4"/>
      <c r="AQ145" s="4"/>
      <c r="AR145" s="4"/>
      <c r="AS145" s="76" t="str">
        <f>"COMMENT ON COLUMN "&amp;エンティティ一覧!$O$2&amp;"."&amp;D$8&amp;"."&amp;D145&amp;" IS '"&amp;C145&amp;"';"</f>
        <v>COMMENT ON COLUMN milscm_2023_009.sny_202310_base_merge_dpc_ff1.m060020_kyuseisuien_jushodo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786</v>
      </c>
      <c r="D146" s="6" t="s">
        <v>787</v>
      </c>
      <c r="E146" s="8"/>
      <c r="F146" s="7" t="s">
        <v>317</v>
      </c>
      <c r="G146" s="7" t="str">
        <f t="shared" si="3"/>
        <v>text</v>
      </c>
      <c r="H146" s="58"/>
      <c r="I146" s="23"/>
      <c r="J146" s="24" t="s">
        <v>847</v>
      </c>
      <c r="L146" s="4"/>
      <c r="M146" s="4"/>
      <c r="N146" s="76"/>
      <c r="O146" s="76"/>
      <c r="P146" s="76" t="str">
        <f t="shared" si="12"/>
        <v>,m070010_riumachi_flag</v>
      </c>
      <c r="Q146" s="76" t="str">
        <f t="shared" si="13"/>
        <v>TEXT</v>
      </c>
      <c r="R146" s="76" t="str">
        <f t="shared" si="14"/>
        <v/>
      </c>
      <c r="S146" s="76" t="str">
        <f t="shared" si="15"/>
        <v/>
      </c>
      <c r="T146" s="76" t="str">
        <f t="shared" si="16"/>
        <v>-- 抗リウマチ分子標的薬の初回導入治療の有無</v>
      </c>
      <c r="U146" s="4"/>
      <c r="AA146" s="4"/>
      <c r="AB146" s="4"/>
      <c r="AC146" s="4"/>
      <c r="AD146" s="4"/>
      <c r="AE146" s="4"/>
      <c r="AF146" s="4"/>
      <c r="AG146" s="4"/>
      <c r="AH146" s="4"/>
      <c r="AI146" s="4"/>
      <c r="AJ146" s="76" t="str">
        <f>IF(E146="○",IF(COUNTA(E$13:E146)=1,"",",")&amp;D146,"")</f>
        <v/>
      </c>
      <c r="AK146" s="4"/>
      <c r="AL146" s="4"/>
      <c r="AM146" s="4"/>
      <c r="AN146" s="4"/>
      <c r="AO146" s="4"/>
      <c r="AP146" s="4"/>
      <c r="AQ146" s="4"/>
      <c r="AR146" s="4"/>
      <c r="AS146" s="76" t="str">
        <f>"COMMENT ON COLUMN "&amp;エンティティ一覧!$O$2&amp;"."&amp;D$8&amp;"."&amp;D146&amp;" IS '"&amp;C146&amp;"';"</f>
        <v>COMMENT ON COLUMN milscm_2023_009.sny_202310_base_merge_dpc_ff1.m070010_riumachi_flag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788</v>
      </c>
      <c r="D147" s="13" t="s">
        <v>789</v>
      </c>
      <c r="E147" s="7"/>
      <c r="F147" s="7" t="s">
        <v>317</v>
      </c>
      <c r="G147" s="7" t="str">
        <f t="shared" si="3"/>
        <v>text</v>
      </c>
      <c r="H147" s="26"/>
      <c r="I147" s="10"/>
      <c r="J147" s="11" t="s">
        <v>858</v>
      </c>
      <c r="L147" s="4"/>
      <c r="M147" s="4"/>
      <c r="N147" s="76"/>
      <c r="O147" s="76"/>
      <c r="P147" s="76" t="str">
        <f t="shared" si="12"/>
        <v>,m120010_nyuin_bunben_flag</v>
      </c>
      <c r="Q147" s="76" t="str">
        <f t="shared" si="13"/>
        <v>TEXT</v>
      </c>
      <c r="R147" s="76" t="str">
        <f t="shared" si="14"/>
        <v/>
      </c>
      <c r="S147" s="76" t="str">
        <f t="shared" si="15"/>
        <v/>
      </c>
      <c r="T147" s="76" t="str">
        <f t="shared" si="16"/>
        <v>-- 入院周辺の分娩の有無</v>
      </c>
      <c r="U147" s="4"/>
      <c r="AA147" s="4"/>
      <c r="AB147" s="4"/>
      <c r="AC147" s="4"/>
      <c r="AD147" s="4"/>
      <c r="AE147" s="4"/>
      <c r="AF147" s="4"/>
      <c r="AG147" s="4"/>
      <c r="AH147" s="4"/>
      <c r="AI147" s="4"/>
      <c r="AJ147" s="76" t="str">
        <f>IF(E147="○",IF(COUNTA(E$13:E147)=1,"",",")&amp;D147,"")</f>
        <v/>
      </c>
      <c r="AK147" s="4"/>
      <c r="AL147" s="4"/>
      <c r="AM147" s="4"/>
      <c r="AN147" s="4"/>
      <c r="AO147" s="4"/>
      <c r="AP147" s="4"/>
      <c r="AQ147" s="4"/>
      <c r="AR147" s="4"/>
      <c r="AS147" s="76" t="str">
        <f>"COMMENT ON COLUMN "&amp;エンティティ一覧!$O$2&amp;"."&amp;D$8&amp;"."&amp;D147&amp;" IS '"&amp;C147&amp;"';"</f>
        <v>COMMENT ON COLUMN milscm_2023_009.sny_202310_base_merge_dpc_ff1.m120010_nyuin_bunben_flag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790</v>
      </c>
      <c r="D148" s="6" t="s">
        <v>791</v>
      </c>
      <c r="E148" s="8"/>
      <c r="F148" s="7" t="s">
        <v>317</v>
      </c>
      <c r="G148" s="7" t="str">
        <f t="shared" si="3"/>
        <v>text</v>
      </c>
      <c r="H148" s="58"/>
      <c r="I148" s="23"/>
      <c r="J148" s="24" t="s">
        <v>859</v>
      </c>
      <c r="L148" s="4"/>
      <c r="M148" s="4"/>
      <c r="N148" s="76"/>
      <c r="O148" s="76"/>
      <c r="P148" s="76" t="str">
        <f t="shared" si="12"/>
        <v>,m120010_bunben_shukketsuryo</v>
      </c>
      <c r="Q148" s="76" t="str">
        <f t="shared" si="13"/>
        <v>TEXT</v>
      </c>
      <c r="R148" s="76" t="str">
        <f t="shared" si="14"/>
        <v/>
      </c>
      <c r="S148" s="76" t="str">
        <f t="shared" si="15"/>
        <v/>
      </c>
      <c r="T148" s="76" t="str">
        <f t="shared" si="16"/>
        <v>-- 分娩時出血量</v>
      </c>
      <c r="U148" s="4"/>
      <c r="AA148" s="4"/>
      <c r="AB148" s="4"/>
      <c r="AC148" s="4"/>
      <c r="AD148" s="4"/>
      <c r="AE148" s="4"/>
      <c r="AF148" s="4"/>
      <c r="AG148" s="4"/>
      <c r="AH148" s="4"/>
      <c r="AI148" s="4"/>
      <c r="AJ148" s="76" t="str">
        <f>IF(E148="○",IF(COUNTA(E$13:E148)=1,"",",")&amp;D148,"")</f>
        <v/>
      </c>
      <c r="AK148" s="4"/>
      <c r="AL148" s="4"/>
      <c r="AM148" s="4"/>
      <c r="AN148" s="4"/>
      <c r="AO148" s="4"/>
      <c r="AP148" s="4"/>
      <c r="AQ148" s="4"/>
      <c r="AR148" s="4"/>
      <c r="AS148" s="76" t="str">
        <f>"COMMENT ON COLUMN "&amp;エンティティ一覧!$O$2&amp;"."&amp;D$8&amp;"."&amp;D148&amp;" IS '"&amp;C148&amp;"';"</f>
        <v>COMMENT ON COLUMN milscm_2023_009.sny_202310_base_merge_dpc_ff1.m120010_bunben_shukketsuryo IS '分娩時出血量';</v>
      </c>
      <c r="AT148" s="4"/>
      <c r="AU148" s="4"/>
      <c r="AV148" s="4"/>
      <c r="AW148" s="4"/>
      <c r="AX148" s="4"/>
      <c r="AY148" s="4"/>
      <c r="AZ148" s="4"/>
    </row>
    <row r="149" spans="1:52" s="25" customFormat="1">
      <c r="A149" s="4"/>
      <c r="B149" s="21">
        <f t="shared" si="2"/>
        <v>137</v>
      </c>
      <c r="C149" s="13" t="s">
        <v>792</v>
      </c>
      <c r="D149" s="13" t="s">
        <v>793</v>
      </c>
      <c r="E149" s="7"/>
      <c r="F149" s="7" t="s">
        <v>317</v>
      </c>
      <c r="G149" s="7" t="str">
        <f t="shared" si="3"/>
        <v>text</v>
      </c>
      <c r="H149" s="26"/>
      <c r="I149" s="10"/>
      <c r="J149" s="11" t="s">
        <v>860</v>
      </c>
      <c r="L149" s="4"/>
      <c r="M149" s="4"/>
      <c r="N149" s="76"/>
      <c r="O149" s="76"/>
      <c r="P149" s="76" t="str">
        <f t="shared" si="12"/>
        <v>,m160010_burnindex</v>
      </c>
      <c r="Q149" s="76" t="str">
        <f t="shared" si="13"/>
        <v>TEXT</v>
      </c>
      <c r="R149" s="76" t="str">
        <f t="shared" si="14"/>
        <v/>
      </c>
      <c r="S149" s="76" t="str">
        <f t="shared" si="15"/>
        <v/>
      </c>
      <c r="T149" s="76" t="str">
        <f t="shared" si="16"/>
        <v>-- BurnIndex</v>
      </c>
      <c r="U149" s="4"/>
      <c r="AA149" s="4"/>
      <c r="AB149" s="4"/>
      <c r="AC149" s="4"/>
      <c r="AD149" s="4"/>
      <c r="AE149" s="4"/>
      <c r="AF149" s="4"/>
      <c r="AG149" s="4"/>
      <c r="AH149" s="4"/>
      <c r="AI149" s="4"/>
      <c r="AJ149" s="76" t="str">
        <f>IF(E149="○",IF(COUNTA(E$13:E149)=1,"",",")&amp;D149,"")</f>
        <v/>
      </c>
      <c r="AK149" s="4"/>
      <c r="AL149" s="4"/>
      <c r="AM149" s="4"/>
      <c r="AN149" s="4"/>
      <c r="AO149" s="4"/>
      <c r="AP149" s="4"/>
      <c r="AQ149" s="4"/>
      <c r="AR149" s="4"/>
      <c r="AS149" s="76" t="str">
        <f>"COMMENT ON COLUMN "&amp;エンティティ一覧!$O$2&amp;"."&amp;D$8&amp;"."&amp;D149&amp;" IS '"&amp;C149&amp;"';"</f>
        <v>COMMENT ON COLUMN milscm_2023_009.sny_202310_base_merge_dpc_ff1.m160010_burnindex IS 'BurnIndex';</v>
      </c>
      <c r="AT149" s="4"/>
      <c r="AU149" s="4"/>
      <c r="AV149" s="4"/>
      <c r="AW149" s="4"/>
      <c r="AX149" s="4"/>
      <c r="AY149" s="4"/>
      <c r="AZ149" s="4"/>
    </row>
    <row r="150" spans="1:52" s="25" customFormat="1">
      <c r="A150" s="4"/>
      <c r="B150" s="21">
        <f t="shared" si="2"/>
        <v>138</v>
      </c>
      <c r="C150" s="6" t="s">
        <v>794</v>
      </c>
      <c r="D150" s="6" t="s">
        <v>795</v>
      </c>
      <c r="E150" s="8"/>
      <c r="F150" s="7" t="s">
        <v>317</v>
      </c>
      <c r="G150" s="7" t="str">
        <f t="shared" si="3"/>
        <v>text</v>
      </c>
      <c r="H150" s="58"/>
      <c r="I150" s="23"/>
      <c r="J150" s="24"/>
      <c r="L150" s="4"/>
      <c r="M150" s="4"/>
      <c r="N150" s="76"/>
      <c r="O150" s="76"/>
      <c r="P150" s="76" t="str">
        <f t="shared" si="12"/>
        <v>,m170010_nyuin_gaf</v>
      </c>
      <c r="Q150" s="76" t="str">
        <f t="shared" si="13"/>
        <v>TEXT</v>
      </c>
      <c r="R150" s="76" t="str">
        <f t="shared" si="14"/>
        <v/>
      </c>
      <c r="S150" s="76" t="str">
        <f t="shared" si="15"/>
        <v/>
      </c>
      <c r="T150" s="76" t="str">
        <f t="shared" si="16"/>
        <v>-- 入院時GAF尺度</v>
      </c>
      <c r="U150" s="4"/>
      <c r="AA150" s="4"/>
      <c r="AB150" s="4"/>
      <c r="AC150" s="4"/>
      <c r="AD150" s="4"/>
      <c r="AE150" s="4"/>
      <c r="AF150" s="4"/>
      <c r="AG150" s="4"/>
      <c r="AH150" s="4"/>
      <c r="AI150" s="4"/>
      <c r="AJ150" s="76" t="str">
        <f>IF(E150="○",IF(COUNTA(E$13:E150)=1,"",",")&amp;D150,"")</f>
        <v/>
      </c>
      <c r="AK150" s="4"/>
      <c r="AL150" s="4"/>
      <c r="AM150" s="4"/>
      <c r="AN150" s="4"/>
      <c r="AO150" s="4"/>
      <c r="AP150" s="4"/>
      <c r="AQ150" s="4"/>
      <c r="AR150" s="4"/>
      <c r="AS150" s="76" t="str">
        <f>"COMMENT ON COLUMN "&amp;エンティティ一覧!$O$2&amp;"."&amp;D$8&amp;"."&amp;D150&amp;" IS '"&amp;C150&amp;"';"</f>
        <v>COMMENT ON COLUMN milscm_2023_009.sny_202310_base_merge_dpc_ff1.m170010_nyuin_gaf IS '入院時GAF尺度';</v>
      </c>
      <c r="AT150" s="4"/>
      <c r="AU150" s="4"/>
      <c r="AV150" s="4"/>
      <c r="AW150" s="4"/>
      <c r="AX150" s="4"/>
      <c r="AY150" s="4"/>
      <c r="AZ150" s="4"/>
    </row>
    <row r="151" spans="1:52" s="25" customFormat="1" ht="34.799999999999997">
      <c r="A151" s="4"/>
      <c r="B151" s="21">
        <f t="shared" si="2"/>
        <v>139</v>
      </c>
      <c r="C151" s="13" t="s">
        <v>796</v>
      </c>
      <c r="D151" s="13" t="s">
        <v>797</v>
      </c>
      <c r="E151" s="7"/>
      <c r="F151" s="7" t="s">
        <v>317</v>
      </c>
      <c r="G151" s="7" t="str">
        <f t="shared" si="3"/>
        <v>text</v>
      </c>
      <c r="H151" s="26"/>
      <c r="I151" s="10"/>
      <c r="J151" s="11" t="s">
        <v>861</v>
      </c>
      <c r="L151" s="4"/>
      <c r="M151" s="4"/>
      <c r="N151" s="76"/>
      <c r="O151" s="76"/>
      <c r="P151" s="76" t="str">
        <f t="shared" si="12"/>
        <v>,m170020_mental_nyuin_keitai</v>
      </c>
      <c r="Q151" s="76" t="str">
        <f t="shared" si="13"/>
        <v>TEXT</v>
      </c>
      <c r="R151" s="76" t="str">
        <f t="shared" si="14"/>
        <v/>
      </c>
      <c r="S151" s="76" t="str">
        <f t="shared" si="15"/>
        <v/>
      </c>
      <c r="T151" s="76" t="str">
        <f t="shared" si="16"/>
        <v>-- 精神保健福祉法における入院形態</v>
      </c>
      <c r="U151" s="4"/>
      <c r="AA151" s="4"/>
      <c r="AB151" s="4"/>
      <c r="AC151" s="4"/>
      <c r="AD151" s="4"/>
      <c r="AE151" s="4"/>
      <c r="AF151" s="4"/>
      <c r="AG151" s="4"/>
      <c r="AH151" s="4"/>
      <c r="AI151" s="4"/>
      <c r="AJ151" s="76" t="str">
        <f>IF(E151="○",IF(COUNTA(E$13:E151)=1,"",",")&amp;D151,"")</f>
        <v/>
      </c>
      <c r="AK151" s="4"/>
      <c r="AL151" s="4"/>
      <c r="AM151" s="4"/>
      <c r="AN151" s="4"/>
      <c r="AO151" s="4"/>
      <c r="AP151" s="4"/>
      <c r="AQ151" s="4"/>
      <c r="AR151" s="4"/>
      <c r="AS151" s="76" t="str">
        <f>"COMMENT ON COLUMN "&amp;エンティティ一覧!$O$2&amp;"."&amp;D$8&amp;"."&amp;D151&amp;" IS '"&amp;C151&amp;"';"</f>
        <v>COMMENT ON COLUMN milscm_2023_009.sny_202310_base_merge_dpc_ff1.m170020_mental_nyuin_keitai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798</v>
      </c>
      <c r="D152" s="13" t="s">
        <v>799</v>
      </c>
      <c r="E152" s="7"/>
      <c r="F152" s="7" t="s">
        <v>317</v>
      </c>
      <c r="G152" s="7" t="str">
        <f t="shared" si="3"/>
        <v>text</v>
      </c>
      <c r="H152" s="58"/>
      <c r="I152" s="23"/>
      <c r="J152" s="24" t="s">
        <v>862</v>
      </c>
      <c r="L152" s="4"/>
      <c r="M152" s="4"/>
      <c r="N152" s="76"/>
      <c r="O152" s="76"/>
      <c r="P152" s="76" t="str">
        <f t="shared" si="12"/>
        <v>,m170020_mental_kakuri_days</v>
      </c>
      <c r="Q152" s="76" t="str">
        <f t="shared" si="13"/>
        <v>TEXT</v>
      </c>
      <c r="R152" s="76" t="str">
        <f t="shared" si="14"/>
        <v/>
      </c>
      <c r="S152" s="76" t="str">
        <f t="shared" si="15"/>
        <v/>
      </c>
      <c r="T152" s="76" t="str">
        <f t="shared" si="16"/>
        <v>-- 精神保健福祉法に基づく隔離日数</v>
      </c>
      <c r="U152" s="4"/>
      <c r="AA152" s="4"/>
      <c r="AB152" s="4"/>
      <c r="AC152" s="4"/>
      <c r="AD152" s="4"/>
      <c r="AE152" s="4"/>
      <c r="AF152" s="4"/>
      <c r="AG152" s="4"/>
      <c r="AH152" s="4"/>
      <c r="AI152" s="4"/>
      <c r="AJ152" s="76" t="str">
        <f>IF(E152="○",IF(COUNTA(E$13:E152)=1,"",",")&amp;D152,"")</f>
        <v/>
      </c>
      <c r="AK152" s="4"/>
      <c r="AL152" s="4"/>
      <c r="AM152" s="4"/>
      <c r="AN152" s="4"/>
      <c r="AO152" s="4"/>
      <c r="AP152" s="4"/>
      <c r="AQ152" s="4"/>
      <c r="AR152" s="4"/>
      <c r="AS152" s="76" t="str">
        <f>"COMMENT ON COLUMN "&amp;エンティティ一覧!$O$2&amp;"."&amp;D$8&amp;"."&amp;D152&amp;" IS '"&amp;C152&amp;"';"</f>
        <v>COMMENT ON COLUMN milscm_2023_009.sny_202310_base_merge_dpc_ff1.m170020_mental_kakuri_days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800</v>
      </c>
      <c r="D153" s="13" t="s">
        <v>801</v>
      </c>
      <c r="E153" s="7"/>
      <c r="F153" s="7" t="s">
        <v>317</v>
      </c>
      <c r="G153" s="7" t="str">
        <f t="shared" si="3"/>
        <v>text</v>
      </c>
      <c r="H153" s="26"/>
      <c r="I153" s="10"/>
      <c r="J153" s="11" t="s">
        <v>862</v>
      </c>
      <c r="L153" s="4"/>
      <c r="M153" s="4"/>
      <c r="N153" s="76"/>
      <c r="O153" s="76"/>
      <c r="P153" s="76" t="str">
        <f t="shared" si="12"/>
        <v>,m170020_mental_kosoku_days</v>
      </c>
      <c r="Q153" s="76" t="str">
        <f t="shared" si="13"/>
        <v>TEXT</v>
      </c>
      <c r="R153" s="76" t="str">
        <f t="shared" si="14"/>
        <v/>
      </c>
      <c r="S153" s="76" t="str">
        <f t="shared" si="15"/>
        <v/>
      </c>
      <c r="T153" s="76" t="str">
        <f t="shared" si="16"/>
        <v>-- 精神保健福祉法に基づく身体拘束日数</v>
      </c>
      <c r="U153" s="4"/>
      <c r="AA153" s="4"/>
      <c r="AB153" s="4"/>
      <c r="AC153" s="4"/>
      <c r="AD153" s="4"/>
      <c r="AE153" s="4"/>
      <c r="AF153" s="4"/>
      <c r="AG153" s="4"/>
      <c r="AH153" s="4"/>
      <c r="AI153" s="4"/>
      <c r="AJ153" s="76" t="str">
        <f>IF(E153="○",IF(COUNTA(E$13:E153)=1,"",",")&amp;D153,"")</f>
        <v/>
      </c>
      <c r="AK153" s="4"/>
      <c r="AL153" s="4"/>
      <c r="AM153" s="4"/>
      <c r="AN153" s="4"/>
      <c r="AO153" s="4"/>
      <c r="AP153" s="4"/>
      <c r="AQ153" s="4"/>
      <c r="AR153" s="4"/>
      <c r="AS153" s="76" t="str">
        <f>"COMMENT ON COLUMN "&amp;エンティティ一覧!$O$2&amp;"."&amp;D$8&amp;"."&amp;D153&amp;" IS '"&amp;C153&amp;"';"</f>
        <v>COMMENT ON COLUMN milscm_2023_009.sny_202310_base_merge_dpc_ff1.m170020_mental_kosoku_days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802</v>
      </c>
      <c r="D154" s="13" t="s">
        <v>803</v>
      </c>
      <c r="E154" s="7"/>
      <c r="F154" s="7" t="s">
        <v>317</v>
      </c>
      <c r="G154" s="7" t="str">
        <f t="shared" si="3"/>
        <v>text</v>
      </c>
      <c r="H154" s="58"/>
      <c r="I154" s="23"/>
      <c r="J154" s="24" t="s">
        <v>863</v>
      </c>
      <c r="L154" s="4"/>
      <c r="M154" s="4"/>
      <c r="N154" s="76"/>
      <c r="O154" s="76"/>
      <c r="P154" s="76" t="str">
        <f t="shared" si="12"/>
        <v>,mzz0010_other_jusho_no</v>
      </c>
      <c r="Q154" s="76" t="str">
        <f t="shared" si="13"/>
        <v>TEXT</v>
      </c>
      <c r="R154" s="76" t="str">
        <f t="shared" si="14"/>
        <v/>
      </c>
      <c r="S154" s="76" t="str">
        <f t="shared" si="15"/>
        <v/>
      </c>
      <c r="T154" s="76" t="str">
        <f t="shared" si="16"/>
        <v>-- その他の重症度分類・分類番号または記号</v>
      </c>
      <c r="U154" s="4"/>
      <c r="AA154" s="4"/>
      <c r="AB154" s="4"/>
      <c r="AC154" s="4"/>
      <c r="AD154" s="4"/>
      <c r="AE154" s="4"/>
      <c r="AF154" s="4"/>
      <c r="AG154" s="4"/>
      <c r="AH154" s="4"/>
      <c r="AI154" s="4"/>
      <c r="AJ154" s="76" t="str">
        <f>IF(E154="○",IF(COUNTA(E$13:E154)=1,"",",")&amp;D154,"")</f>
        <v/>
      </c>
      <c r="AK154" s="4"/>
      <c r="AL154" s="4"/>
      <c r="AM154" s="4"/>
      <c r="AN154" s="4"/>
      <c r="AO154" s="4"/>
      <c r="AP154" s="4"/>
      <c r="AQ154" s="4"/>
      <c r="AR154" s="4"/>
      <c r="AS154" s="76" t="str">
        <f>"COMMENT ON COLUMN "&amp;エンティティ一覧!$O$2&amp;"."&amp;D$8&amp;"."&amp;D154&amp;" IS '"&amp;C154&amp;"';"</f>
        <v>COMMENT ON COLUMN milscm_2023_009.sny_202310_base_merge_dpc_ff1.mzz0010_other_jusho_no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804</v>
      </c>
      <c r="D155" s="57" t="s">
        <v>805</v>
      </c>
      <c r="E155" s="56"/>
      <c r="F155" s="56" t="s">
        <v>317</v>
      </c>
      <c r="G155" s="56" t="str">
        <f t="shared" si="3"/>
        <v>text</v>
      </c>
      <c r="H155" s="59"/>
      <c r="I155" s="60"/>
      <c r="J155" s="61" t="s">
        <v>863</v>
      </c>
      <c r="L155" s="4"/>
      <c r="M155" s="4"/>
      <c r="N155" s="76"/>
      <c r="O155" s="76"/>
      <c r="P155" s="76" t="str">
        <f t="shared" si="12"/>
        <v>,mzz0010_other_jusho_name</v>
      </c>
      <c r="Q155" s="76" t="str">
        <f t="shared" si="13"/>
        <v>TEXT</v>
      </c>
      <c r="R155" s="76" t="str">
        <f t="shared" si="14"/>
        <v/>
      </c>
      <c r="S155" s="76" t="str">
        <f t="shared" si="15"/>
        <v/>
      </c>
      <c r="T155" s="76" t="str">
        <f t="shared" si="16"/>
        <v>-- その他の重症度分類・名称</v>
      </c>
      <c r="U155" s="4"/>
      <c r="AA155" s="4"/>
      <c r="AB155" s="4"/>
      <c r="AC155" s="4"/>
      <c r="AD155" s="4"/>
      <c r="AE155" s="4"/>
      <c r="AF155" s="4"/>
      <c r="AG155" s="4"/>
      <c r="AH155" s="4"/>
      <c r="AI155" s="4"/>
      <c r="AJ155" s="76" t="str">
        <f>IF(E155="○",IF(COUNTA(E$13:E155)=1,"",",")&amp;D155,"")</f>
        <v/>
      </c>
      <c r="AK155" s="4"/>
      <c r="AL155" s="4"/>
      <c r="AM155" s="4"/>
      <c r="AN155" s="4"/>
      <c r="AO155" s="4"/>
      <c r="AP155" s="4"/>
      <c r="AQ155" s="4"/>
      <c r="AR155" s="4"/>
      <c r="AS155" s="76" t="str">
        <f>"COMMENT ON COLUMN "&amp;エンティティ一覧!$O$2&amp;"."&amp;D$8&amp;"."&amp;D155&amp;" IS '"&amp;C155&amp;"';"</f>
        <v>COMMENT ON COLUMN milscm_2023_009.sny_202310_base_merge_dpc_ff1.mzz0010_other_jusho_name IS 'その他の重症度分類・名称';</v>
      </c>
      <c r="AT155" s="4"/>
      <c r="AU155" s="4"/>
      <c r="AV155" s="4"/>
      <c r="AW155" s="4"/>
      <c r="AX155" s="4"/>
      <c r="AY155" s="4"/>
      <c r="AZ155" s="4"/>
    </row>
    <row r="156" spans="1:52">
      <c r="N156" s="76" t="s">
        <v>142</v>
      </c>
      <c r="O156" s="76"/>
      <c r="P156" s="76"/>
      <c r="Q156" s="76"/>
      <c r="R156" s="76"/>
      <c r="S156" s="76"/>
      <c r="T156" s="76"/>
      <c r="V156" s="25"/>
      <c r="W156" s="25"/>
      <c r="X156" s="25"/>
      <c r="Y156" s="25"/>
      <c r="Z156" s="25"/>
      <c r="AJ156" s="76"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ENT_31_C1-07</v>
      </c>
      <c r="E6" s="234"/>
      <c r="F6" s="234"/>
      <c r="G6" s="234"/>
      <c r="H6" s="234"/>
      <c r="I6" s="234"/>
      <c r="J6" s="235"/>
    </row>
    <row r="7" spans="1:45">
      <c r="B7" s="223" t="s">
        <v>115</v>
      </c>
      <c r="C7" s="224"/>
      <c r="D7" s="225" t="s">
        <v>312</v>
      </c>
      <c r="E7" s="226"/>
      <c r="F7" s="226"/>
      <c r="G7" s="226"/>
      <c r="H7" s="226"/>
      <c r="I7" s="226"/>
      <c r="J7" s="227"/>
    </row>
    <row r="8" spans="1:45">
      <c r="B8" s="223" t="s">
        <v>116</v>
      </c>
      <c r="C8" s="224"/>
      <c r="D8" s="225" t="str">
        <f>エンティティ一覧!AE2&amp;"_"&amp;D5&amp;"_merge_dpc_ff1_a006040"</f>
        <v>sny_202310_base_merge_dpc_ff1_a006040</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milscm_2023_009.sny_202310_base_merge_dpc_ff1_a006040;</v>
      </c>
      <c r="O10" s="76"/>
      <c r="P10" s="76"/>
      <c r="Q10" s="76"/>
      <c r="R10" s="76"/>
      <c r="S10" s="76"/>
      <c r="T10" s="76"/>
      <c r="AJ10" s="76" t="str">
        <f>"ALTER TABLE ONLY "&amp;エンティティ一覧!$O$2&amp;"."&amp;D$8</f>
        <v>ALTER TABLE ONLY milscm_2023_009.sny_202310_base_merge_dpc_ff1_a006040</v>
      </c>
      <c r="AS10" s="76" t="str">
        <f>"ALTER TABLE "&amp;エンティティ一覧!$O$2&amp;"."&amp;D$8&amp;" OWNER TO pgmisgrp1;"</f>
        <v>ALTER TABLE milscm_2023_009.sny_202310_base_merge_dpc_ff1_a006040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milscm_2023_009.sny_202310_base_merge_dpc_ff1_a006040</v>
      </c>
      <c r="O11" s="76"/>
      <c r="P11" s="76"/>
      <c r="Q11" s="76"/>
      <c r="R11" s="76"/>
      <c r="S11" s="76"/>
      <c r="T11" s="76"/>
      <c r="AJ11" s="76" t="str">
        <f>"ADD CONSTRAINT "&amp;D$8&amp;"_pkey PRIMARY KEY"</f>
        <v>ADD CONSTRAINT sny_202310_base_merge_dpc_ff1_a006040_pkey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milscm_2023_009.sny_202310_base_merge_dpc_ff1_a006040 IS 'ベース_DPC調査データ_様式1_診断情報_併存症';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milscm_2023_009.sny_202310_base_merge_dpc_ff1_a006040.torikomi_ym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milscm_2023_009.sny_202310_base_merge_dpc_ff1_a006040.mil_karute_id IS '千年カルテID';</v>
      </c>
    </row>
    <row r="15" spans="1:45" s="25" customFormat="1" ht="34.799999999999997">
      <c r="A15" s="4"/>
      <c r="B15" s="21">
        <f t="shared" si="2"/>
        <v>3</v>
      </c>
      <c r="C15" s="13" t="s">
        <v>137</v>
      </c>
      <c r="D15" s="13" t="s">
        <v>128</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milscm_2023_009.sny_202310_base_merge_dpc_ff1_a006040.facility_id IS '施設ID';</v>
      </c>
    </row>
    <row r="16" spans="1:45" s="25" customFormat="1" ht="87">
      <c r="B16" s="21">
        <f t="shared" si="2"/>
        <v>4</v>
      </c>
      <c r="C16" s="6" t="s">
        <v>866</v>
      </c>
      <c r="D16" s="6" t="s">
        <v>206</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milscm_2023_009.sny_202310_base_merge_dpc_ff1_a006040.shinryo_ym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milscm_2023_009.sny_202310_base_merge_dpc_ff1_a006040.data_type IS 'データ種別';</v>
      </c>
    </row>
    <row r="18" spans="1:52" s="25" customFormat="1">
      <c r="B18" s="21">
        <f t="shared" si="2"/>
        <v>6</v>
      </c>
      <c r="C18" s="6" t="s">
        <v>867</v>
      </c>
      <c r="D18" s="6" t="s">
        <v>210</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milscm_2023_009.sny_202310_base_merge_dpc_ff1_a006040.shikibetsu_no IS 'データ識別番号';</v>
      </c>
    </row>
    <row r="19" spans="1:52" s="25" customFormat="1">
      <c r="B19" s="21">
        <f t="shared" si="2"/>
        <v>7</v>
      </c>
      <c r="C19" s="13" t="s">
        <v>868</v>
      </c>
      <c r="D19" s="13" t="s">
        <v>156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milscm_2023_009.sny_202310_base_merge_dpc_ff1_a006040.nyuin_ymd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milscm_2023_009.sny_202310_base_merge_dpc_ff1_a006040.times_no IS '回数管理番号';</v>
      </c>
    </row>
    <row r="21" spans="1:52" s="25" customFormat="1">
      <c r="A21" s="4"/>
      <c r="B21" s="21">
        <f t="shared" si="2"/>
        <v>9</v>
      </c>
      <c r="C21" s="13" t="s">
        <v>565</v>
      </c>
      <c r="D21" s="13" t="s">
        <v>566</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milscm_2023_009.sny_202310_base_merge_dpc_ff1_a006040.sokatsu_shinryo_no IS '統括診療情報番号';</v>
      </c>
    </row>
    <row r="22" spans="1:52" s="25" customFormat="1">
      <c r="A22" s="4"/>
      <c r="B22" s="21">
        <f t="shared" si="2"/>
        <v>10</v>
      </c>
      <c r="C22" s="6" t="s">
        <v>358</v>
      </c>
      <c r="D22" s="6" t="s">
        <v>359</v>
      </c>
      <c r="E22" s="8" t="s">
        <v>127</v>
      </c>
      <c r="F22" s="7" t="s">
        <v>865</v>
      </c>
      <c r="G22" s="7" t="str">
        <f t="shared" si="3"/>
        <v>text</v>
      </c>
      <c r="H22" s="26" t="s">
        <v>879</v>
      </c>
      <c r="I22" s="10" t="s">
        <v>127</v>
      </c>
      <c r="J22" s="11" t="s">
        <v>880</v>
      </c>
      <c r="N22" s="76"/>
      <c r="O22" s="76"/>
      <c r="P22" s="76" t="str">
        <f t="shared" si="4"/>
        <v>,code</v>
      </c>
      <c r="Q22" s="76" t="str">
        <f t="shared" si="0"/>
        <v>TEXT</v>
      </c>
      <c r="R22" s="76" t="str">
        <f t="shared" si="1"/>
        <v>default 'A006040'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milscm_2023_009.sny_202310_base_merge_dpc_ff1_a006040.code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milscm_2023_009.sny_202310_base_merge_dpc_ff1_a006040.version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milscm_2023_009.sny_202310_base_merge_dpc_ff1_a006040.number IS '連番';</v>
      </c>
    </row>
    <row r="25" spans="1:52" s="25" customFormat="1">
      <c r="A25" s="4"/>
      <c r="B25" s="21">
        <f t="shared" si="2"/>
        <v>13</v>
      </c>
      <c r="C25" s="13" t="s">
        <v>663</v>
      </c>
      <c r="D25" s="13" t="s">
        <v>871</v>
      </c>
      <c r="E25" s="7"/>
      <c r="F25" s="7" t="s">
        <v>865</v>
      </c>
      <c r="G25" s="7" t="str">
        <f t="shared" si="3"/>
        <v>text</v>
      </c>
      <c r="H25" s="58"/>
      <c r="I25" s="23"/>
      <c r="J25" s="24" t="s">
        <v>881</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milscm_2023_009.sny_202310_base_merge_dpc_ff1_a006040.icd10_code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milscm_2023_009.sny_202310_base_merge_dpc_ff1_a006040.shobyo_code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milscm_2023_009.sny_202310_base_merge_dpc_ff1_a006040.shushoku_code1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milscm_2023_009.sny_202310_base_merge_dpc_ff1_a006040.shushoku_code2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milscm_2023_009.sny_202310_base_merge_dpc_ff1_a006040.shushoku_code3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milscm_2023_009.sny_202310_base_merge_dpc_ff1_a006040.shushoku_code4 IS '修飾語コード4';</v>
      </c>
    </row>
    <row r="31" spans="1:52" s="25" customFormat="1" ht="18" thickBot="1">
      <c r="A31" s="4"/>
      <c r="B31" s="27">
        <f>ROW()-12</f>
        <v>19</v>
      </c>
      <c r="C31" s="57" t="s">
        <v>877</v>
      </c>
      <c r="D31" s="57" t="s">
        <v>878</v>
      </c>
      <c r="E31" s="56"/>
      <c r="F31" s="56" t="s">
        <v>865</v>
      </c>
      <c r="G31" s="56" t="str">
        <f t="shared" si="3"/>
        <v>text</v>
      </c>
      <c r="H31" s="59"/>
      <c r="I31" s="60"/>
      <c r="J31" s="64" t="s">
        <v>882</v>
      </c>
      <c r="N31" s="76"/>
      <c r="O31" s="76"/>
      <c r="P31" s="76" t="str">
        <f t="shared" ref="P31" si="7">IF(B31&lt;&gt;1,","&amp;D31,D31)</f>
        <v>,nyuin_heizonsho_name</v>
      </c>
      <c r="Q31" s="76" t="str">
        <f t="shared" ref="Q31" si="8">UPPER(G31)</f>
        <v>TEXT</v>
      </c>
      <c r="R31" s="76" t="str">
        <f t="shared" ref="R31" si="9">IF(H31&lt;&gt;"","default "&amp;IF(G31="text","'"&amp;H31&amp;"'",H31),"")</f>
        <v/>
      </c>
      <c r="S31" s="76" t="str">
        <f t="shared" ref="S31" si="10">IF(I31="○","NOT NULL","")</f>
        <v/>
      </c>
      <c r="T31" s="76" t="str">
        <f t="shared" ref="T31" si="11">"-- "&amp;C31</f>
        <v>-- 入院時併存症名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milscm_2023_009.sny_202310_base_merge_dpc_ff1_a006040.nyuin_heizonsho_name IS '入院時併存症名';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ENT_31_C1-08</v>
      </c>
      <c r="E6" s="234"/>
      <c r="F6" s="234"/>
      <c r="G6" s="234"/>
      <c r="H6" s="234"/>
      <c r="I6" s="234"/>
      <c r="J6" s="235"/>
    </row>
    <row r="7" spans="1:45">
      <c r="B7" s="223" t="s">
        <v>115</v>
      </c>
      <c r="C7" s="224"/>
      <c r="D7" s="225" t="s">
        <v>313</v>
      </c>
      <c r="E7" s="226"/>
      <c r="F7" s="226"/>
      <c r="G7" s="226"/>
      <c r="H7" s="226"/>
      <c r="I7" s="226"/>
      <c r="J7" s="227"/>
    </row>
    <row r="8" spans="1:45">
      <c r="B8" s="223" t="s">
        <v>116</v>
      </c>
      <c r="C8" s="224"/>
      <c r="D8" s="225" t="str">
        <f>エンティティ一覧!AE2&amp;"_"&amp;D5&amp;"_merge_dpc_ff1_a006050"</f>
        <v>sny_202310_base_merge_dpc_ff1_a006050</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milscm_2023_009.sny_202310_base_merge_dpc_ff1_a006050;</v>
      </c>
      <c r="O10" s="76"/>
      <c r="P10" s="76"/>
      <c r="Q10" s="76"/>
      <c r="R10" s="76"/>
      <c r="S10" s="76"/>
      <c r="T10" s="76"/>
      <c r="AJ10" s="76" t="str">
        <f>"ALTER TABLE ONLY "&amp;エンティティ一覧!$O$2&amp;"."&amp;D$8</f>
        <v>ALTER TABLE ONLY milscm_2023_009.sny_202310_base_merge_dpc_ff1_a006050</v>
      </c>
      <c r="AS10" s="76" t="str">
        <f>"ALTER TABLE "&amp;エンティティ一覧!$O$2&amp;"."&amp;D$8&amp;" OWNER TO pgmisgrp1;"</f>
        <v>ALTER TABLE milscm_2023_009.sny_202310_base_merge_dpc_ff1_a006050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milscm_2023_009.sny_202310_base_merge_dpc_ff1_a006050</v>
      </c>
      <c r="O11" s="76"/>
      <c r="P11" s="76"/>
      <c r="Q11" s="76"/>
      <c r="R11" s="76"/>
      <c r="S11" s="76"/>
      <c r="T11" s="76"/>
      <c r="AJ11" s="76" t="str">
        <f>"ADD CONSTRAINT "&amp;D$8&amp;"_pkey PRIMARY KEY"</f>
        <v>ADD CONSTRAINT sny_202310_base_merge_dpc_ff1_a006050_pkey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milscm_2023_009.sny_202310_base_merge_dpc_ff1_a006050 IS 'ベース_DPC調査データ_様式1_診断情報_続発症';</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0" si="0">UPPER(G13)</f>
        <v>TEXT</v>
      </c>
      <c r="R13" s="76" t="str">
        <f t="shared" ref="R13:R3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milscm_2023_009.sny_202310_base_merge_dpc_ff1_a006050.torikomi_ym IS '取込年月';</v>
      </c>
    </row>
    <row r="14" spans="1:45" s="25" customFormat="1">
      <c r="A14" s="4"/>
      <c r="B14" s="21">
        <f t="shared" ref="B14:B30" si="2">ROW()-12</f>
        <v>2</v>
      </c>
      <c r="C14" s="6" t="s">
        <v>202</v>
      </c>
      <c r="D14" s="6" t="s">
        <v>203</v>
      </c>
      <c r="E14" s="8"/>
      <c r="F14" s="7" t="s">
        <v>204</v>
      </c>
      <c r="G14" s="7" t="str">
        <f t="shared" ref="G14:G31" si="3">IF(F14="フラグ","boolean",IF(F14="文字列","text",IF(F14="整数","integer",IF(F14="実数","numeric",""))))</f>
        <v>integer</v>
      </c>
      <c r="H14" s="26"/>
      <c r="I14" s="10"/>
      <c r="J14" s="11" t="s">
        <v>257</v>
      </c>
      <c r="M14" s="4"/>
      <c r="N14" s="76"/>
      <c r="O14" s="76"/>
      <c r="P14" s="76" t="str">
        <f t="shared" ref="P14:P3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milscm_2023_009.sny_202310_base_merge_dpc_ff1_a006050.mil_karute_id IS '千年カルテID';</v>
      </c>
    </row>
    <row r="15" spans="1:45" s="25" customFormat="1" ht="34.799999999999997">
      <c r="A15" s="4"/>
      <c r="B15" s="21">
        <f t="shared" si="2"/>
        <v>3</v>
      </c>
      <c r="C15" s="13" t="s">
        <v>137</v>
      </c>
      <c r="D15" s="13" t="s">
        <v>883</v>
      </c>
      <c r="E15" s="7" t="s">
        <v>127</v>
      </c>
      <c r="F15" s="7" t="s">
        <v>865</v>
      </c>
      <c r="G15" s="7" t="str">
        <f t="shared" si="3"/>
        <v>text</v>
      </c>
      <c r="H15" s="58"/>
      <c r="I15" s="23" t="s">
        <v>127</v>
      </c>
      <c r="J15" s="24" t="s">
        <v>807</v>
      </c>
      <c r="M15" s="4"/>
      <c r="N15" s="76"/>
      <c r="O15" s="76"/>
      <c r="P15" s="76" t="str">
        <f t="shared" si="4"/>
        <v>,facility_id</v>
      </c>
      <c r="Q15" s="76" t="str">
        <f t="shared" si="0"/>
        <v>TEXT</v>
      </c>
      <c r="R15" s="76" t="str">
        <f t="shared" si="1"/>
        <v/>
      </c>
      <c r="S15" s="76" t="str">
        <f>IF(I15="○","NOT NULL","")</f>
        <v>NOT NULL</v>
      </c>
      <c r="T15" s="76" t="str">
        <f>"--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milscm_2023_009.sny_202310_base_merge_dpc_ff1_a006050.facility_id IS '施設ID';</v>
      </c>
    </row>
    <row r="16" spans="1:45" s="25" customFormat="1" ht="87">
      <c r="B16" s="21">
        <f t="shared" si="2"/>
        <v>4</v>
      </c>
      <c r="C16" s="6" t="s">
        <v>866</v>
      </c>
      <c r="D16" s="6" t="s">
        <v>884</v>
      </c>
      <c r="E16" s="8" t="s">
        <v>127</v>
      </c>
      <c r="F16" s="7" t="s">
        <v>865</v>
      </c>
      <c r="G16" s="7" t="str">
        <f t="shared" si="3"/>
        <v>text</v>
      </c>
      <c r="H16" s="26"/>
      <c r="I16" s="10" t="s">
        <v>127</v>
      </c>
      <c r="J16" s="53" t="s">
        <v>902</v>
      </c>
      <c r="M16" s="4"/>
      <c r="N16" s="76"/>
      <c r="O16" s="76"/>
      <c r="P16" s="76" t="str">
        <f t="shared" si="4"/>
        <v>,shinryo_ym</v>
      </c>
      <c r="Q16" s="76" t="str">
        <f t="shared" si="0"/>
        <v>TEXT</v>
      </c>
      <c r="R16" s="76" t="str">
        <f t="shared" si="1"/>
        <v/>
      </c>
      <c r="S16" s="76" t="str">
        <f t="shared" ref="S16:S30" si="5">IF(I16="○","NOT NULL","")</f>
        <v>NOT NULL</v>
      </c>
      <c r="T16" s="76" t="str">
        <f t="shared" ref="T16:T30" si="6">"-- "&amp;C16</f>
        <v>-- 診療年月</v>
      </c>
      <c r="U16" s="4"/>
      <c r="AA16" s="4"/>
      <c r="AB16" s="4"/>
      <c r="AC16" s="4"/>
      <c r="AD16" s="4"/>
      <c r="AE16" s="4"/>
      <c r="AF16" s="4"/>
      <c r="AG16" s="4"/>
      <c r="AH16" s="4"/>
      <c r="AI16" s="4"/>
      <c r="AJ16" s="76" t="str">
        <f>IF(E16="○",IF(COUNTA(E$13:E16)=1,"",",")&amp;D16,"")</f>
        <v>,shinryo_ym</v>
      </c>
      <c r="AK16" s="4"/>
      <c r="AL16" s="4"/>
      <c r="AM16" s="4"/>
      <c r="AN16" s="4"/>
      <c r="AO16" s="4"/>
      <c r="AP16" s="4"/>
      <c r="AQ16" s="4"/>
      <c r="AR16" s="4"/>
      <c r="AS16" s="76" t="str">
        <f>"COMMENT ON COLUMN "&amp;エンティティ一覧!$O$2&amp;"."&amp;D$8&amp;"."&amp;D16&amp;" IS '"&amp;C16&amp;"';"</f>
        <v>COMMENT ON COLUMN milscm_2023_009.sny_202310_base_merge_dpc_ff1_a006050.shinryo_ym IS '診療年月';</v>
      </c>
    </row>
    <row r="17" spans="1:52" s="25" customFormat="1">
      <c r="B17" s="21">
        <f t="shared" si="2"/>
        <v>5</v>
      </c>
      <c r="C17" s="13" t="s">
        <v>319</v>
      </c>
      <c r="D17" s="13" t="s">
        <v>208</v>
      </c>
      <c r="E17" s="7"/>
      <c r="F17" s="7" t="s">
        <v>865</v>
      </c>
      <c r="G17" s="7" t="str">
        <f t="shared" si="3"/>
        <v>text</v>
      </c>
      <c r="H17" s="58" t="s">
        <v>259</v>
      </c>
      <c r="I17" s="23" t="s">
        <v>127</v>
      </c>
      <c r="J17" s="24" t="s">
        <v>808</v>
      </c>
      <c r="N17" s="76"/>
      <c r="O17" s="76"/>
      <c r="P17" s="76" t="str">
        <f t="shared" si="4"/>
        <v>,data_type</v>
      </c>
      <c r="Q17" s="76" t="str">
        <f t="shared" si="0"/>
        <v>TEXT</v>
      </c>
      <c r="R17" s="76" t="str">
        <f t="shared" si="1"/>
        <v>default 'DPC'</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milscm_2023_009.sny_202310_base_merge_dpc_ff1_a006050.data_type IS 'データ種別';</v>
      </c>
    </row>
    <row r="18" spans="1:52" s="25" customFormat="1">
      <c r="B18" s="21">
        <f t="shared" si="2"/>
        <v>6</v>
      </c>
      <c r="C18" s="6" t="s">
        <v>867</v>
      </c>
      <c r="D18" s="6" t="s">
        <v>885</v>
      </c>
      <c r="E18" s="8" t="s">
        <v>127</v>
      </c>
      <c r="F18" s="7" t="s">
        <v>865</v>
      </c>
      <c r="G18" s="7" t="str">
        <f t="shared" si="3"/>
        <v>text</v>
      </c>
      <c r="H18" s="26"/>
      <c r="I18" s="10" t="s">
        <v>127</v>
      </c>
      <c r="J18" s="11"/>
      <c r="N18" s="76"/>
      <c r="O18" s="76"/>
      <c r="P18" s="76" t="str">
        <f t="shared" si="4"/>
        <v>,shikibetsu_no</v>
      </c>
      <c r="Q18" s="76" t="str">
        <f t="shared" si="0"/>
        <v>TEXT</v>
      </c>
      <c r="R18" s="76" t="str">
        <f t="shared" si="1"/>
        <v/>
      </c>
      <c r="S18" s="76" t="str">
        <f t="shared" si="5"/>
        <v>NOT NULL</v>
      </c>
      <c r="T18" s="76" t="str">
        <f t="shared" si="6"/>
        <v>-- データ識別番号</v>
      </c>
      <c r="U18" s="4"/>
      <c r="AA18" s="4"/>
      <c r="AB18" s="4"/>
      <c r="AC18" s="4"/>
      <c r="AD18" s="4"/>
      <c r="AE18" s="4"/>
      <c r="AF18" s="4"/>
      <c r="AG18" s="4"/>
      <c r="AH18" s="4"/>
      <c r="AI18" s="4"/>
      <c r="AJ18" s="76" t="str">
        <f>IF(E18="○",IF(COUNTA(E$13:E18)=1,"",",")&amp;D18,"")</f>
        <v>,shikibetsu_no</v>
      </c>
      <c r="AK18" s="4"/>
      <c r="AL18" s="4"/>
      <c r="AM18" s="4"/>
      <c r="AN18" s="4"/>
      <c r="AO18" s="4"/>
      <c r="AP18" s="4"/>
      <c r="AQ18" s="4"/>
      <c r="AR18" s="4"/>
      <c r="AS18" s="76" t="str">
        <f>"COMMENT ON COLUMN "&amp;エンティティ一覧!$O$2&amp;"."&amp;D$8&amp;"."&amp;D18&amp;" IS '"&amp;C18&amp;"';"</f>
        <v>COMMENT ON COLUMN milscm_2023_009.sny_202310_base_merge_dpc_ff1_a006050.shikibetsu_no IS 'データ識別番号';</v>
      </c>
    </row>
    <row r="19" spans="1:52" s="25" customFormat="1">
      <c r="B19" s="21">
        <f t="shared" si="2"/>
        <v>7</v>
      </c>
      <c r="C19" s="13" t="s">
        <v>868</v>
      </c>
      <c r="D19" s="13" t="s">
        <v>886</v>
      </c>
      <c r="E19" s="7" t="s">
        <v>127</v>
      </c>
      <c r="F19" s="7" t="s">
        <v>865</v>
      </c>
      <c r="G19" s="7" t="str">
        <f t="shared" si="3"/>
        <v>text</v>
      </c>
      <c r="H19" s="58"/>
      <c r="I19" s="23" t="s">
        <v>127</v>
      </c>
      <c r="J19" s="24" t="s">
        <v>144</v>
      </c>
      <c r="N19" s="76"/>
      <c r="O19" s="76"/>
      <c r="P19" s="76" t="str">
        <f t="shared" si="4"/>
        <v>,nyuin_ymd</v>
      </c>
      <c r="Q19" s="76" t="str">
        <f t="shared" si="0"/>
        <v>TEXT</v>
      </c>
      <c r="R19" s="76" t="str">
        <f t="shared" si="1"/>
        <v/>
      </c>
      <c r="S19" s="76" t="str">
        <f t="shared" si="5"/>
        <v>NOT NULL</v>
      </c>
      <c r="T19" s="76" t="str">
        <f t="shared" si="6"/>
        <v>-- 入院年月日</v>
      </c>
      <c r="U19" s="4"/>
      <c r="AA19" s="4"/>
      <c r="AB19" s="4"/>
      <c r="AC19" s="4"/>
      <c r="AD19" s="4"/>
      <c r="AE19" s="4"/>
      <c r="AF19" s="4"/>
      <c r="AG19" s="4"/>
      <c r="AH19" s="4"/>
      <c r="AI19" s="4"/>
      <c r="AJ19" s="76" t="str">
        <f>IF(E19="○",IF(COUNTA(E$13:E19)=1,"",",")&amp;D19,"")</f>
        <v>,nyuin_ymd</v>
      </c>
      <c r="AK19" s="4"/>
      <c r="AL19" s="4"/>
      <c r="AM19" s="4"/>
      <c r="AN19" s="4"/>
      <c r="AO19" s="4"/>
      <c r="AP19" s="4"/>
      <c r="AQ19" s="4"/>
      <c r="AR19" s="4"/>
      <c r="AS19" s="76" t="str">
        <f>"COMMENT ON COLUMN "&amp;エンティティ一覧!$O$2&amp;"."&amp;D$8&amp;"."&amp;D19&amp;" IS '"&amp;C19&amp;"';"</f>
        <v>COMMENT ON COLUMN milscm_2023_009.sny_202310_base_merge_dpc_ff1_a006050.nyuin_ymd IS '入院年月日';</v>
      </c>
    </row>
    <row r="20" spans="1:52" s="25" customFormat="1">
      <c r="B20" s="21">
        <f t="shared" si="2"/>
        <v>8</v>
      </c>
      <c r="C20" s="6" t="s">
        <v>869</v>
      </c>
      <c r="D20" s="6" t="s">
        <v>564</v>
      </c>
      <c r="E20" s="8" t="s">
        <v>127</v>
      </c>
      <c r="F20" s="7" t="s">
        <v>865</v>
      </c>
      <c r="G20" s="7" t="str">
        <f t="shared" si="3"/>
        <v>text</v>
      </c>
      <c r="H20" s="26"/>
      <c r="I20" s="10" t="s">
        <v>127</v>
      </c>
      <c r="J20" s="11"/>
      <c r="N20" s="76"/>
      <c r="O20" s="76"/>
      <c r="P20" s="76" t="str">
        <f t="shared" si="4"/>
        <v>,times_no</v>
      </c>
      <c r="Q20" s="76" t="str">
        <f t="shared" si="0"/>
        <v>TEXT</v>
      </c>
      <c r="R20" s="76" t="str">
        <f t="shared" si="1"/>
        <v/>
      </c>
      <c r="S20" s="76" t="str">
        <f t="shared" si="5"/>
        <v>NOT NULL</v>
      </c>
      <c r="T20" s="76" t="str">
        <f t="shared" si="6"/>
        <v>-- 回数管理番号</v>
      </c>
      <c r="U20" s="4"/>
      <c r="AA20" s="4"/>
      <c r="AB20" s="4"/>
      <c r="AC20" s="4"/>
      <c r="AD20" s="4"/>
      <c r="AE20" s="4"/>
      <c r="AF20" s="4"/>
      <c r="AG20" s="4"/>
      <c r="AH20" s="4"/>
      <c r="AI20" s="4"/>
      <c r="AJ20" s="76" t="str">
        <f>IF(E20="○",IF(COUNTA(E$13:E20)=1,"",",")&amp;D20,"")</f>
        <v>,times_no</v>
      </c>
      <c r="AK20" s="4"/>
      <c r="AL20" s="4"/>
      <c r="AM20" s="4"/>
      <c r="AN20" s="4"/>
      <c r="AO20" s="4"/>
      <c r="AP20" s="4"/>
      <c r="AQ20" s="4"/>
      <c r="AR20" s="4"/>
      <c r="AS20" s="76" t="str">
        <f>"COMMENT ON COLUMN "&amp;エンティティ一覧!$O$2&amp;"."&amp;D$8&amp;"."&amp;D20&amp;" IS '"&amp;C20&amp;"';"</f>
        <v>COMMENT ON COLUMN milscm_2023_009.sny_202310_base_merge_dpc_ff1_a006050.times_no IS '回数管理番号';</v>
      </c>
    </row>
    <row r="21" spans="1:52" s="25" customFormat="1">
      <c r="A21" s="4"/>
      <c r="B21" s="21">
        <f t="shared" si="2"/>
        <v>9</v>
      </c>
      <c r="C21" s="13" t="s">
        <v>565</v>
      </c>
      <c r="D21" s="13" t="s">
        <v>887</v>
      </c>
      <c r="E21" s="7" t="s">
        <v>127</v>
      </c>
      <c r="F21" s="7" t="s">
        <v>865</v>
      </c>
      <c r="G21" s="7" t="str">
        <f t="shared" si="3"/>
        <v>text</v>
      </c>
      <c r="H21" s="58"/>
      <c r="I21" s="23" t="s">
        <v>127</v>
      </c>
      <c r="J21" s="24"/>
      <c r="N21" s="76"/>
      <c r="O21" s="76"/>
      <c r="P21" s="76" t="str">
        <f t="shared" si="4"/>
        <v>,sokatsu_shinryo_no</v>
      </c>
      <c r="Q21" s="76" t="str">
        <f t="shared" si="0"/>
        <v>TEXT</v>
      </c>
      <c r="R21" s="76" t="str">
        <f t="shared" si="1"/>
        <v/>
      </c>
      <c r="S21" s="76" t="str">
        <f t="shared" si="5"/>
        <v>NOT NULL</v>
      </c>
      <c r="T21" s="76" t="str">
        <f t="shared" si="6"/>
        <v>-- 統括診療情報番号</v>
      </c>
      <c r="U21" s="4"/>
      <c r="AA21" s="4"/>
      <c r="AB21" s="4"/>
      <c r="AC21" s="4"/>
      <c r="AD21" s="4"/>
      <c r="AE21" s="4"/>
      <c r="AF21" s="4"/>
      <c r="AG21" s="4"/>
      <c r="AH21" s="4"/>
      <c r="AI21" s="4"/>
      <c r="AJ21" s="76" t="str">
        <f>IF(E21="○",IF(COUNTA(E$13:E21)=1,"",",")&amp;D21,"")</f>
        <v>,sokatsu_shinryo_no</v>
      </c>
      <c r="AK21" s="4"/>
      <c r="AL21" s="4"/>
      <c r="AM21" s="4"/>
      <c r="AN21" s="4"/>
      <c r="AO21" s="4"/>
      <c r="AP21" s="4"/>
      <c r="AQ21" s="4"/>
      <c r="AR21" s="4"/>
      <c r="AS21" s="76" t="str">
        <f>"COMMENT ON COLUMN "&amp;エンティティ一覧!$O$2&amp;"."&amp;D$8&amp;"."&amp;D21&amp;" IS '"&amp;C21&amp;"';"</f>
        <v>COMMENT ON COLUMN milscm_2023_009.sny_202310_base_merge_dpc_ff1_a006050.sokatsu_shinryo_no IS '統括診療情報番号';</v>
      </c>
    </row>
    <row r="22" spans="1:52" s="25" customFormat="1">
      <c r="A22" s="4"/>
      <c r="B22" s="21">
        <f t="shared" si="2"/>
        <v>10</v>
      </c>
      <c r="C22" s="6" t="s">
        <v>358</v>
      </c>
      <c r="D22" s="6" t="s">
        <v>359</v>
      </c>
      <c r="E22" s="8" t="s">
        <v>127</v>
      </c>
      <c r="F22" s="7" t="s">
        <v>865</v>
      </c>
      <c r="G22" s="7" t="str">
        <f t="shared" si="3"/>
        <v>text</v>
      </c>
      <c r="H22" s="26" t="s">
        <v>890</v>
      </c>
      <c r="I22" s="10" t="s">
        <v>127</v>
      </c>
      <c r="J22" s="11" t="s">
        <v>891</v>
      </c>
      <c r="N22" s="76"/>
      <c r="O22" s="76"/>
      <c r="P22" s="76" t="str">
        <f t="shared" si="4"/>
        <v>,code</v>
      </c>
      <c r="Q22" s="76" t="str">
        <f t="shared" si="0"/>
        <v>TEXT</v>
      </c>
      <c r="R22" s="76" t="str">
        <f t="shared" si="1"/>
        <v>default 'A006050'</v>
      </c>
      <c r="S22" s="76" t="str">
        <f t="shared" si="5"/>
        <v>NOT NULL</v>
      </c>
      <c r="T22" s="76" t="str">
        <f t="shared" si="6"/>
        <v>-- コード</v>
      </c>
      <c r="U22" s="4"/>
      <c r="AA22" s="4"/>
      <c r="AB22" s="4"/>
      <c r="AC22" s="4"/>
      <c r="AD22" s="4"/>
      <c r="AE22" s="4"/>
      <c r="AF22" s="4"/>
      <c r="AG22" s="4"/>
      <c r="AH22" s="4"/>
      <c r="AI22" s="4"/>
      <c r="AJ22" s="76" t="str">
        <f>IF(E22="○",IF(COUNTA(E$13:E22)=1,"",",")&amp;D22,"")</f>
        <v>,code</v>
      </c>
      <c r="AK22" s="4"/>
      <c r="AL22" s="4"/>
      <c r="AM22" s="4"/>
      <c r="AN22" s="4"/>
      <c r="AO22" s="4"/>
      <c r="AP22" s="4"/>
      <c r="AQ22" s="4"/>
      <c r="AR22" s="4"/>
      <c r="AS22" s="76" t="str">
        <f>"COMMENT ON COLUMN "&amp;エンティティ一覧!$O$2&amp;"."&amp;D$8&amp;"."&amp;D22&amp;" IS '"&amp;C22&amp;"';"</f>
        <v>COMMENT ON COLUMN milscm_2023_009.sny_202310_base_merge_dpc_ff1_a006050.code IS 'コード';</v>
      </c>
    </row>
    <row r="23" spans="1:52" s="25" customFormat="1">
      <c r="A23" s="4"/>
      <c r="B23" s="21">
        <f t="shared" si="2"/>
        <v>11</v>
      </c>
      <c r="C23" s="13" t="s">
        <v>360</v>
      </c>
      <c r="D23" s="13" t="s">
        <v>361</v>
      </c>
      <c r="E23" s="7" t="s">
        <v>127</v>
      </c>
      <c r="F23" s="7" t="s">
        <v>865</v>
      </c>
      <c r="G23" s="7" t="str">
        <f t="shared" si="3"/>
        <v>text</v>
      </c>
      <c r="H23" s="58">
        <v>20140401</v>
      </c>
      <c r="I23" s="23" t="s">
        <v>127</v>
      </c>
      <c r="J23" s="24" t="s">
        <v>811</v>
      </c>
      <c r="N23" s="76"/>
      <c r="O23" s="76"/>
      <c r="P23" s="76" t="str">
        <f t="shared" si="4"/>
        <v>,version</v>
      </c>
      <c r="Q23" s="76" t="str">
        <f t="shared" si="0"/>
        <v>TEXT</v>
      </c>
      <c r="R23" s="76" t="str">
        <f t="shared" si="1"/>
        <v>default '20140401'</v>
      </c>
      <c r="S23" s="76" t="str">
        <f t="shared" si="5"/>
        <v>NOT NULL</v>
      </c>
      <c r="T23" s="76" t="str">
        <f t="shared" si="6"/>
        <v>-- バージョン</v>
      </c>
      <c r="U23" s="4"/>
      <c r="AA23" s="4"/>
      <c r="AB23" s="4"/>
      <c r="AC23" s="4"/>
      <c r="AD23" s="4"/>
      <c r="AE23" s="4"/>
      <c r="AF23" s="4"/>
      <c r="AG23" s="4"/>
      <c r="AH23" s="4"/>
      <c r="AI23" s="4"/>
      <c r="AJ23" s="76" t="str">
        <f>IF(E23="○",IF(COUNTA(E$13:E23)=1,"",",")&amp;D23,"")</f>
        <v>,version</v>
      </c>
      <c r="AK23" s="4"/>
      <c r="AL23" s="4"/>
      <c r="AM23" s="4"/>
      <c r="AN23" s="4"/>
      <c r="AO23" s="4"/>
      <c r="AP23" s="4"/>
      <c r="AQ23" s="4"/>
      <c r="AR23" s="4"/>
      <c r="AS23" s="76" t="str">
        <f>"COMMENT ON COLUMN "&amp;エンティティ一覧!$O$2&amp;"."&amp;D$8&amp;"."&amp;D23&amp;" IS '"&amp;C23&amp;"';"</f>
        <v>COMMENT ON COLUMN milscm_2023_009.sny_202310_base_merge_dpc_ff1_a006050.version IS 'バージョン';</v>
      </c>
    </row>
    <row r="24" spans="1:52" s="25" customFormat="1">
      <c r="A24" s="4"/>
      <c r="B24" s="21">
        <f t="shared" si="2"/>
        <v>12</v>
      </c>
      <c r="C24" s="6" t="s">
        <v>870</v>
      </c>
      <c r="D24" s="6" t="s">
        <v>363</v>
      </c>
      <c r="E24" s="8" t="s">
        <v>127</v>
      </c>
      <c r="F24" s="7" t="s">
        <v>865</v>
      </c>
      <c r="G24" s="7" t="str">
        <f t="shared" si="3"/>
        <v>text</v>
      </c>
      <c r="H24" s="26"/>
      <c r="I24" s="10" t="s">
        <v>127</v>
      </c>
      <c r="J24" s="11"/>
      <c r="N24" s="76"/>
      <c r="O24" s="76"/>
      <c r="P24" s="76" t="str">
        <f t="shared" si="4"/>
        <v>,number</v>
      </c>
      <c r="Q24" s="76" t="str">
        <f t="shared" si="0"/>
        <v>TEXT</v>
      </c>
      <c r="R24" s="76" t="str">
        <f t="shared" si="1"/>
        <v/>
      </c>
      <c r="S24" s="76" t="str">
        <f t="shared" si="5"/>
        <v>NOT NULL</v>
      </c>
      <c r="T24" s="76" t="str">
        <f t="shared" si="6"/>
        <v>-- 連番</v>
      </c>
      <c r="U24" s="4"/>
      <c r="AA24" s="4"/>
      <c r="AB24" s="4"/>
      <c r="AC24" s="4"/>
      <c r="AD24" s="4"/>
      <c r="AE24" s="4"/>
      <c r="AF24" s="4"/>
      <c r="AG24" s="4"/>
      <c r="AH24" s="4"/>
      <c r="AI24" s="4"/>
      <c r="AJ24" s="76" t="str">
        <f>IF(E24="○",IF(COUNTA(E$13:E24)=1,"",",")&amp;D24,"")</f>
        <v>,number</v>
      </c>
      <c r="AK24" s="4"/>
      <c r="AL24" s="4"/>
      <c r="AM24" s="4"/>
      <c r="AN24" s="4"/>
      <c r="AO24" s="4"/>
      <c r="AP24" s="4"/>
      <c r="AQ24" s="4"/>
      <c r="AR24" s="4"/>
      <c r="AS24" s="76" t="str">
        <f>"COMMENT ON COLUMN "&amp;エンティティ一覧!$O$2&amp;"."&amp;D$8&amp;"."&amp;D24&amp;" IS '"&amp;C24&amp;"';"</f>
        <v>COMMENT ON COLUMN milscm_2023_009.sny_202310_base_merge_dpc_ff1_a006050.number IS '連番';</v>
      </c>
    </row>
    <row r="25" spans="1:52" s="25" customFormat="1">
      <c r="A25" s="4"/>
      <c r="B25" s="21">
        <f t="shared" si="2"/>
        <v>13</v>
      </c>
      <c r="C25" s="13" t="s">
        <v>663</v>
      </c>
      <c r="D25" s="13" t="s">
        <v>871</v>
      </c>
      <c r="E25" s="7"/>
      <c r="F25" s="7" t="s">
        <v>865</v>
      </c>
      <c r="G25" s="7" t="str">
        <f t="shared" si="3"/>
        <v>text</v>
      </c>
      <c r="H25" s="58"/>
      <c r="I25" s="23"/>
      <c r="J25" s="24" t="s">
        <v>892</v>
      </c>
      <c r="N25" s="76"/>
      <c r="O25" s="76"/>
      <c r="P25" s="76" t="str">
        <f t="shared" si="4"/>
        <v>,icd10_code</v>
      </c>
      <c r="Q25" s="76" t="str">
        <f t="shared" si="0"/>
        <v>TEXT</v>
      </c>
      <c r="R25" s="76" t="str">
        <f t="shared" si="1"/>
        <v/>
      </c>
      <c r="S25" s="76" t="str">
        <f t="shared" si="5"/>
        <v/>
      </c>
      <c r="T25" s="76" t="str">
        <f t="shared" si="6"/>
        <v>-- ICD10コード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milscm_2023_009.sny_202310_base_merge_dpc_ff1_a006050.icd10_code IS 'ICD10コード';</v>
      </c>
    </row>
    <row r="26" spans="1:52" s="25" customFormat="1">
      <c r="A26" s="4"/>
      <c r="B26" s="21">
        <f t="shared" si="2"/>
        <v>14</v>
      </c>
      <c r="C26" s="6" t="s">
        <v>665</v>
      </c>
      <c r="D26" s="6" t="s">
        <v>872</v>
      </c>
      <c r="E26" s="8"/>
      <c r="F26" s="7" t="s">
        <v>865</v>
      </c>
      <c r="G26" s="7" t="str">
        <f t="shared" si="3"/>
        <v>text</v>
      </c>
      <c r="H26" s="26"/>
      <c r="I26" s="10"/>
      <c r="J26" s="11"/>
      <c r="N26" s="76"/>
      <c r="O26" s="76"/>
      <c r="P26" s="76" t="str">
        <f t="shared" si="4"/>
        <v>,shobyo_code</v>
      </c>
      <c r="Q26" s="76" t="str">
        <f t="shared" si="0"/>
        <v>TEXT</v>
      </c>
      <c r="R26" s="76" t="str">
        <f t="shared" si="1"/>
        <v/>
      </c>
      <c r="S26" s="76" t="str">
        <f t="shared" si="5"/>
        <v/>
      </c>
      <c r="T26" s="76" t="str">
        <f t="shared" si="6"/>
        <v>-- 傷病名コード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milscm_2023_009.sny_202310_base_merge_dpc_ff1_a006050.shobyo_code IS '傷病名コード';</v>
      </c>
    </row>
    <row r="27" spans="1:52" s="25" customFormat="1">
      <c r="A27" s="4"/>
      <c r="B27" s="21">
        <f t="shared" si="2"/>
        <v>15</v>
      </c>
      <c r="C27" s="6" t="s">
        <v>667</v>
      </c>
      <c r="D27" s="6" t="s">
        <v>873</v>
      </c>
      <c r="E27" s="8"/>
      <c r="F27" s="7" t="s">
        <v>865</v>
      </c>
      <c r="G27" s="7" t="str">
        <f t="shared" si="3"/>
        <v>text</v>
      </c>
      <c r="H27" s="26"/>
      <c r="I27" s="10"/>
      <c r="J27" s="11"/>
      <c r="N27" s="76"/>
      <c r="O27" s="76"/>
      <c r="P27" s="76" t="str">
        <f t="shared" si="4"/>
        <v>,shushoku_code1</v>
      </c>
      <c r="Q27" s="76" t="str">
        <f t="shared" si="0"/>
        <v>TEXT</v>
      </c>
      <c r="R27" s="76" t="str">
        <f t="shared" si="1"/>
        <v/>
      </c>
      <c r="S27" s="76" t="str">
        <f t="shared" si="5"/>
        <v/>
      </c>
      <c r="T27" s="76" t="str">
        <f t="shared" si="6"/>
        <v>-- 修飾語コード1</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milscm_2023_009.sny_202310_base_merge_dpc_ff1_a006050.shushoku_code1 IS '修飾語コード1';</v>
      </c>
    </row>
    <row r="28" spans="1:52" s="25" customFormat="1">
      <c r="A28" s="4"/>
      <c r="B28" s="21">
        <f t="shared" si="2"/>
        <v>16</v>
      </c>
      <c r="C28" s="13" t="s">
        <v>669</v>
      </c>
      <c r="D28" s="13" t="s">
        <v>874</v>
      </c>
      <c r="E28" s="7"/>
      <c r="F28" s="7" t="s">
        <v>865</v>
      </c>
      <c r="G28" s="7" t="str">
        <f t="shared" si="3"/>
        <v>text</v>
      </c>
      <c r="H28" s="58"/>
      <c r="I28" s="23"/>
      <c r="J28" s="24"/>
      <c r="N28" s="76"/>
      <c r="O28" s="76"/>
      <c r="P28" s="76" t="str">
        <f t="shared" si="4"/>
        <v>,shushoku_code2</v>
      </c>
      <c r="Q28" s="76" t="str">
        <f t="shared" si="0"/>
        <v>TEXT</v>
      </c>
      <c r="R28" s="76" t="str">
        <f t="shared" si="1"/>
        <v/>
      </c>
      <c r="S28" s="76" t="str">
        <f t="shared" si="5"/>
        <v/>
      </c>
      <c r="T28" s="76" t="str">
        <f t="shared" si="6"/>
        <v>-- 修飾語コード2</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milscm_2023_009.sny_202310_base_merge_dpc_ff1_a006050.shushoku_code2 IS '修飾語コード2';</v>
      </c>
    </row>
    <row r="29" spans="1:52" s="25" customFormat="1">
      <c r="A29" s="4"/>
      <c r="B29" s="21">
        <f t="shared" si="2"/>
        <v>17</v>
      </c>
      <c r="C29" s="6" t="s">
        <v>671</v>
      </c>
      <c r="D29" s="6" t="s">
        <v>875</v>
      </c>
      <c r="E29" s="8"/>
      <c r="F29" s="7" t="s">
        <v>865</v>
      </c>
      <c r="G29" s="7" t="str">
        <f t="shared" si="3"/>
        <v>text</v>
      </c>
      <c r="H29" s="26"/>
      <c r="I29" s="10"/>
      <c r="J29" s="11"/>
      <c r="N29" s="76"/>
      <c r="O29" s="76"/>
      <c r="P29" s="76" t="str">
        <f t="shared" si="4"/>
        <v>,shushoku_code3</v>
      </c>
      <c r="Q29" s="76" t="str">
        <f t="shared" si="0"/>
        <v>TEXT</v>
      </c>
      <c r="R29" s="76" t="str">
        <f t="shared" si="1"/>
        <v/>
      </c>
      <c r="S29" s="76" t="str">
        <f t="shared" si="5"/>
        <v/>
      </c>
      <c r="T29" s="76" t="str">
        <f t="shared" si="6"/>
        <v>-- 修飾語コード3</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milscm_2023_009.sny_202310_base_merge_dpc_ff1_a006050.shushoku_code3 IS '修飾語コード3';</v>
      </c>
    </row>
    <row r="30" spans="1:52" s="25" customFormat="1">
      <c r="A30" s="4"/>
      <c r="B30" s="21">
        <f t="shared" si="2"/>
        <v>18</v>
      </c>
      <c r="C30" s="13" t="s">
        <v>673</v>
      </c>
      <c r="D30" s="13" t="s">
        <v>876</v>
      </c>
      <c r="E30" s="7"/>
      <c r="F30" s="7" t="s">
        <v>865</v>
      </c>
      <c r="G30" s="7" t="str">
        <f t="shared" si="3"/>
        <v>text</v>
      </c>
      <c r="H30" s="58"/>
      <c r="I30" s="23"/>
      <c r="J30" s="24"/>
      <c r="N30" s="76"/>
      <c r="O30" s="76"/>
      <c r="P30" s="76" t="str">
        <f t="shared" si="4"/>
        <v>,shushoku_code4</v>
      </c>
      <c r="Q30" s="76" t="str">
        <f t="shared" si="0"/>
        <v>TEXT</v>
      </c>
      <c r="R30" s="76" t="str">
        <f t="shared" si="1"/>
        <v/>
      </c>
      <c r="S30" s="76" t="str">
        <f t="shared" si="5"/>
        <v/>
      </c>
      <c r="T30" s="76" t="str">
        <f t="shared" si="6"/>
        <v>-- 修飾語コード4</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milscm_2023_009.sny_202310_base_merge_dpc_ff1_a006050.shushoku_code4 IS '修飾語コード4';</v>
      </c>
    </row>
    <row r="31" spans="1:52" s="25" customFormat="1" ht="18" thickBot="1">
      <c r="A31" s="4"/>
      <c r="B31" s="27">
        <f>ROW()-12</f>
        <v>19</v>
      </c>
      <c r="C31" s="57" t="s">
        <v>888</v>
      </c>
      <c r="D31" s="57" t="s">
        <v>889</v>
      </c>
      <c r="E31" s="56"/>
      <c r="F31" s="56" t="s">
        <v>865</v>
      </c>
      <c r="G31" s="56" t="str">
        <f t="shared" si="3"/>
        <v>text</v>
      </c>
      <c r="H31" s="59"/>
      <c r="I31" s="60"/>
      <c r="J31" s="61" t="s">
        <v>893</v>
      </c>
      <c r="N31" s="76"/>
      <c r="O31" s="76"/>
      <c r="P31" s="76" t="str">
        <f t="shared" ref="P31" si="7">IF(B31&lt;&gt;1,","&amp;D31,D31)</f>
        <v>,nyuin_shikkan_name</v>
      </c>
      <c r="Q31" s="76" t="str">
        <f t="shared" ref="Q31" si="8">UPPER(G31)</f>
        <v>TEXT</v>
      </c>
      <c r="R31" s="76" t="str">
        <f t="shared" ref="R31" si="9">IF(H31&lt;&gt;"","default "&amp;IF(G31="text","'"&amp;H31&amp;"'",H31),"")</f>
        <v/>
      </c>
      <c r="S31" s="76" t="str">
        <f t="shared" ref="S31" si="10">IF(I31="○","NOT NULL","")</f>
        <v/>
      </c>
      <c r="T31" s="76" t="str">
        <f t="shared" ref="T31" si="11">"-- "&amp;C31</f>
        <v>-- 入院後発症疾患名</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milscm_2023_009.sny_202310_base_merge_dpc_ff1_a006050.nyuin_shikkan_name IS '入院後発症疾患名';</v>
      </c>
    </row>
    <row r="32" spans="1:52">
      <c r="L32" s="25"/>
      <c r="M32" s="25"/>
      <c r="N32" s="76" t="s">
        <v>142</v>
      </c>
      <c r="O32" s="76"/>
      <c r="P32" s="76"/>
      <c r="Q32" s="76"/>
      <c r="R32" s="76"/>
      <c r="S32" s="76"/>
      <c r="T32" s="76"/>
      <c r="V32" s="25"/>
      <c r="W32" s="25"/>
      <c r="X32" s="25"/>
      <c r="Y32" s="25"/>
      <c r="Z32" s="25"/>
      <c r="AJ32" s="76"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ENT_31_C4-03</v>
      </c>
      <c r="E6" s="234"/>
      <c r="F6" s="234"/>
      <c r="G6" s="234"/>
      <c r="H6" s="234"/>
      <c r="I6" s="234"/>
      <c r="J6" s="235"/>
    </row>
    <row r="7" spans="1:45">
      <c r="B7" s="223" t="s">
        <v>115</v>
      </c>
      <c r="C7" s="224"/>
      <c r="D7" s="225" t="s">
        <v>3680</v>
      </c>
      <c r="E7" s="226"/>
      <c r="F7" s="226"/>
      <c r="G7" s="226"/>
      <c r="H7" s="226"/>
      <c r="I7" s="226"/>
      <c r="J7" s="227"/>
    </row>
    <row r="8" spans="1:45">
      <c r="B8" s="223" t="s">
        <v>116</v>
      </c>
      <c r="C8" s="224"/>
      <c r="D8" s="225" t="str">
        <f>エンティティ一覧!AE2&amp;"_"&amp;D5&amp;"_merge_mml_rd_register"</f>
        <v>sny_202310_base_merge_mml_rd_register</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milscm_2023_009.sny_202310_base_merge_mml_rd_register;</v>
      </c>
      <c r="O10" s="76"/>
      <c r="P10" s="76"/>
      <c r="Q10" s="76"/>
      <c r="R10" s="76"/>
      <c r="S10" s="76"/>
      <c r="T10" s="76"/>
      <c r="AJ10" s="76" t="str">
        <f>"ALTER TABLE ONLY "&amp;エンティティ一覧!$O$2&amp;"."&amp;D$8</f>
        <v>ALTER TABLE ONLY milscm_2023_009.sny_202310_base_merge_mml_rd_register</v>
      </c>
      <c r="AS10" s="76" t="str">
        <f>"ALTER TABLE "&amp;エンティティ一覧!$O$2&amp;"."&amp;D$8&amp;" OWNER TO pgmisgrp1;"</f>
        <v>ALTER TABLE milscm_2023_009.sny_202310_base_merge_mml_rd_register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milscm_2023_009.sny_202310_base_merge_mml_rd_register</v>
      </c>
      <c r="O11" s="76"/>
      <c r="P11" s="76"/>
      <c r="Q11" s="76"/>
      <c r="R11" s="76"/>
      <c r="S11" s="76"/>
      <c r="T11" s="76"/>
      <c r="AJ11" s="76" t="str">
        <f>"ADD CONSTRAINT "&amp;D$8&amp;"_pkey PRIMARY KEY"</f>
        <v>ADD CONSTRAINT sny_202310_base_merge_mml_rd_register_pkey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milscm_2023_009.sny_202310_base_merge_mml_rd_register IS 'ベース_診断履歴情報モジュール_診断履歴情報レコード';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milscm_2023_009.sny_202310_base_merge_mml_rd_register.torikomi_ym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milscm_2023_009.sny_202310_base_merge_mml_rd_register.mil_karute_id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milscm_2023_009.sny_202310_base_merge_mml_rd_register.facility_id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milscm_2023_009.sny_202310_base_merge_mml_rd_register.shinryo_ymd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milscm_2023_009.sny_202310_base_merge_mml_rd_register.data_type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milscm_2023_009.sny_202310_base_merge_mml_rd_register.master_id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milscm_2023_009.sny_202310_base_merge_mml_rd_register.uid IS '文書ユニークID';</v>
      </c>
    </row>
    <row r="20" spans="1:52" s="25" customFormat="1" ht="34.799999999999997">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milscm_2023_009.sny_202310_base_merge_mml_rd_register.shindan_seq IS '診断SEQ';</v>
      </c>
    </row>
    <row r="21" spans="1:52" s="25" customFormat="1">
      <c r="A21" s="4"/>
      <c r="B21" s="21">
        <f t="shared" si="2"/>
        <v>9</v>
      </c>
      <c r="C21" s="13" t="s">
        <v>1307</v>
      </c>
      <c r="D21" s="13" t="s">
        <v>1308</v>
      </c>
      <c r="E21" s="7"/>
      <c r="F21" s="7" t="s">
        <v>865</v>
      </c>
      <c r="G21" s="7" t="str">
        <f t="shared" si="3"/>
        <v>text</v>
      </c>
      <c r="H21" s="58"/>
      <c r="I21" s="23"/>
      <c r="J21" s="24" t="s">
        <v>1317</v>
      </c>
      <c r="M21" s="4"/>
      <c r="N21" s="76"/>
      <c r="O21" s="76"/>
      <c r="P21" s="76" t="str">
        <f t="shared" si="4"/>
        <v>,shikkan_start_ymd</v>
      </c>
      <c r="Q21" s="76" t="str">
        <f t="shared" si="0"/>
        <v>TEXT</v>
      </c>
      <c r="R21" s="76" t="str">
        <f t="shared" si="1"/>
        <v/>
      </c>
      <c r="S21" s="76" t="str">
        <f t="shared" si="5"/>
        <v/>
      </c>
      <c r="T21" s="76" t="str">
        <f t="shared" si="6"/>
        <v>-- 疾患開始日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milscm_2023_009.sny_202310_base_merge_mml_rd_register.shikkan_start_ymd IS '疾患開始日';</v>
      </c>
    </row>
    <row r="22" spans="1:52" s="25" customFormat="1">
      <c r="A22" s="4"/>
      <c r="B22" s="21">
        <f t="shared" si="2"/>
        <v>10</v>
      </c>
      <c r="C22" s="13" t="s">
        <v>1309</v>
      </c>
      <c r="D22" s="13" t="s">
        <v>1310</v>
      </c>
      <c r="E22" s="7"/>
      <c r="F22" s="7" t="s">
        <v>865</v>
      </c>
      <c r="G22" s="7" t="str">
        <f t="shared" si="3"/>
        <v>text</v>
      </c>
      <c r="H22" s="58"/>
      <c r="I22" s="23"/>
      <c r="J22" s="24" t="s">
        <v>1318</v>
      </c>
      <c r="M22" s="4"/>
      <c r="N22" s="76"/>
      <c r="O22" s="76"/>
      <c r="P22" s="76" t="str">
        <f t="shared" si="4"/>
        <v>,shikkan_end_ymd</v>
      </c>
      <c r="Q22" s="76" t="str">
        <f t="shared" si="0"/>
        <v>TEXT</v>
      </c>
      <c r="R22" s="76" t="str">
        <f t="shared" si="1"/>
        <v/>
      </c>
      <c r="S22" s="76" t="str">
        <f t="shared" si="5"/>
        <v/>
      </c>
      <c r="T22" s="76" t="str">
        <f t="shared" si="6"/>
        <v>-- 疾患終了日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milscm_2023_009.sny_202310_base_merge_mml_rd_register.shikkan_end_ymd IS '疾患終了日';</v>
      </c>
    </row>
    <row r="23" spans="1:52" s="25" customFormat="1">
      <c r="A23" s="4"/>
      <c r="B23" s="21">
        <f t="shared" si="2"/>
        <v>11</v>
      </c>
      <c r="C23" s="13" t="s">
        <v>1311</v>
      </c>
      <c r="D23" s="13" t="s">
        <v>1312</v>
      </c>
      <c r="E23" s="7"/>
      <c r="F23" s="7" t="s">
        <v>865</v>
      </c>
      <c r="G23" s="7" t="str">
        <f t="shared" si="3"/>
        <v>text</v>
      </c>
      <c r="H23" s="58"/>
      <c r="I23" s="23"/>
      <c r="J23" s="24" t="s">
        <v>1319</v>
      </c>
      <c r="M23" s="4"/>
      <c r="N23" s="76"/>
      <c r="O23" s="76"/>
      <c r="P23" s="76" t="str">
        <f t="shared" si="4"/>
        <v>,tenki</v>
      </c>
      <c r="Q23" s="76" t="str">
        <f t="shared" si="0"/>
        <v>TEXT</v>
      </c>
      <c r="R23" s="76" t="str">
        <f t="shared" si="1"/>
        <v/>
      </c>
      <c r="S23" s="76" t="str">
        <f t="shared" si="5"/>
        <v/>
      </c>
      <c r="T23" s="76" t="str">
        <f t="shared" si="6"/>
        <v>-- 転帰</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milscm_2023_009.sny_202310_base_merge_mml_rd_register.tenki IS '転帰';</v>
      </c>
    </row>
    <row r="24" spans="1:52" s="25" customFormat="1" ht="18" thickBot="1">
      <c r="A24" s="4"/>
      <c r="B24" s="27">
        <f>ROW()-12</f>
        <v>12</v>
      </c>
      <c r="C24" s="57" t="s">
        <v>1313</v>
      </c>
      <c r="D24" s="57" t="s">
        <v>1314</v>
      </c>
      <c r="E24" s="56"/>
      <c r="F24" s="56" t="s">
        <v>865</v>
      </c>
      <c r="G24" s="56" t="str">
        <f t="shared" si="3"/>
        <v>text</v>
      </c>
      <c r="H24" s="59"/>
      <c r="I24" s="60"/>
      <c r="J24" s="64" t="s">
        <v>1320</v>
      </c>
      <c r="N24" s="76"/>
      <c r="O24" s="76"/>
      <c r="P24" s="76" t="str">
        <f t="shared" si="4"/>
        <v>,shikkan_first_ymd</v>
      </c>
      <c r="Q24" s="76" t="str">
        <f t="shared" si="0"/>
        <v>TEXT</v>
      </c>
      <c r="R24" s="76" t="str">
        <f t="shared" si="1"/>
        <v/>
      </c>
      <c r="S24" s="76" t="str">
        <f t="shared" si="5"/>
        <v/>
      </c>
      <c r="T24" s="76" t="str">
        <f t="shared" si="6"/>
        <v>-- 疾患の初診日</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milscm_2023_009.sny_202310_base_merge_mml_rd_register.shikkan_first_ymd IS '疾患の初診日';</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ENT_31_C4-04</v>
      </c>
      <c r="E6" s="234"/>
      <c r="F6" s="234"/>
      <c r="G6" s="234"/>
      <c r="H6" s="234"/>
      <c r="I6" s="234"/>
      <c r="J6" s="235"/>
    </row>
    <row r="7" spans="1:45">
      <c r="B7" s="223" t="s">
        <v>115</v>
      </c>
      <c r="C7" s="224"/>
      <c r="D7" s="225" t="s">
        <v>3681</v>
      </c>
      <c r="E7" s="226"/>
      <c r="F7" s="226"/>
      <c r="G7" s="226"/>
      <c r="H7" s="226"/>
      <c r="I7" s="226"/>
      <c r="J7" s="227"/>
    </row>
    <row r="8" spans="1:45">
      <c r="B8" s="223" t="s">
        <v>116</v>
      </c>
      <c r="C8" s="224"/>
      <c r="D8" s="225" t="str">
        <f>エンティティ一覧!AE2&amp;"_"&amp;D5&amp;"_merge_mml_rd_byomei"</f>
        <v>sny_202310_base_merge_mml_rd_byomei</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milscm_2023_009.sny_202310_base_merge_mml_rd_byomei;</v>
      </c>
      <c r="O10" s="76"/>
      <c r="P10" s="76"/>
      <c r="Q10" s="76"/>
      <c r="R10" s="76"/>
      <c r="S10" s="76"/>
      <c r="T10" s="76"/>
      <c r="AJ10" s="76" t="str">
        <f>"ALTER TABLE ONLY "&amp;エンティティ一覧!$O$2&amp;"."&amp;D$8</f>
        <v>ALTER TABLE ONLY milscm_2023_009.sny_202310_base_merge_mml_rd_byomei</v>
      </c>
      <c r="AS10" s="76" t="str">
        <f>"ALTER TABLE "&amp;エンティティ一覧!$O$2&amp;"."&amp;D$8&amp;" OWNER TO pgmisgrp1;"</f>
        <v>ALTER TABLE milscm_2023_009.sny_202310_base_merge_mml_rd_byomei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milscm_2023_009.sny_202310_base_merge_mml_rd_byomei</v>
      </c>
      <c r="O11" s="76"/>
      <c r="P11" s="76"/>
      <c r="Q11" s="76"/>
      <c r="R11" s="76"/>
      <c r="S11" s="76"/>
      <c r="T11" s="76"/>
      <c r="AJ11" s="76" t="str">
        <f>"ADD CONSTRAINT "&amp;D$8&amp;"_pkey PRIMARY KEY"</f>
        <v>ADD CONSTRAINT sny_202310_base_merge_mml_rd_byomei_pkey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milscm_2023_009.sny_202310_base_merge_mml_rd_byomei IS 'ベース_診断履歴情報モジュール_診断病名レコード';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4" si="0">UPPER(G13)</f>
        <v>TEXT</v>
      </c>
      <c r="R13" s="76" t="str">
        <f t="shared" ref="R13:R24"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milscm_2023_009.sny_202310_base_merge_mml_rd_byomei.torikomi_ym IS '取込年月';</v>
      </c>
    </row>
    <row r="14" spans="1:45" s="25" customFormat="1">
      <c r="A14" s="4"/>
      <c r="B14" s="21">
        <f t="shared" ref="B14:B23" si="2">ROW()-12</f>
        <v>2</v>
      </c>
      <c r="C14" s="6" t="s">
        <v>202</v>
      </c>
      <c r="D14" s="6" t="s">
        <v>203</v>
      </c>
      <c r="E14" s="8"/>
      <c r="F14" s="7" t="s">
        <v>204</v>
      </c>
      <c r="G14" s="7" t="str">
        <f t="shared" ref="G14:G24" si="3">IF(F14="フラグ","boolean",IF(F14="文字列","text",IF(F14="整数","integer",IF(F14="実数","numeric",""))))</f>
        <v>integer</v>
      </c>
      <c r="H14" s="26"/>
      <c r="I14" s="10"/>
      <c r="J14" s="11" t="s">
        <v>1286</v>
      </c>
      <c r="M14" s="4"/>
      <c r="N14" s="76"/>
      <c r="O14" s="76"/>
      <c r="P14" s="76" t="str">
        <f t="shared" ref="P14:P24"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milscm_2023_009.sny_202310_base_merge_mml_rd_byomei.mil_karute_id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4" si="5">IF(I15="○","NOT NULL","")</f>
        <v>NOT NULL</v>
      </c>
      <c r="T15" s="76" t="str">
        <f t="shared" ref="T15:T24"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milscm_2023_009.sny_202310_base_merge_mml_rd_byomei.facility_id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milscm_2023_009.sny_202310_base_merge_mml_rd_byomei.shinryo_ymd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milscm_2023_009.sny_202310_base_merge_mml_rd_byomei.data_type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milscm_2023_009.sny_202310_base_merge_mml_rd_byomei.master_id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milscm_2023_009.sny_202310_base_merge_mml_rd_byomei.uid IS '文書ユニークID';</v>
      </c>
    </row>
    <row r="20" spans="1:52" s="25" customFormat="1" ht="34.799999999999997">
      <c r="A20" s="4"/>
      <c r="B20" s="21">
        <f t="shared" si="2"/>
        <v>8</v>
      </c>
      <c r="C20" s="13" t="s">
        <v>1305</v>
      </c>
      <c r="D20" s="13" t="s">
        <v>1306</v>
      </c>
      <c r="E20" s="7" t="s">
        <v>127</v>
      </c>
      <c r="F20" s="7" t="s">
        <v>204</v>
      </c>
      <c r="G20" s="7" t="str">
        <f t="shared" si="3"/>
        <v>integer</v>
      </c>
      <c r="H20" s="58"/>
      <c r="I20" s="23" t="s">
        <v>127</v>
      </c>
      <c r="J20" s="24" t="s">
        <v>1316</v>
      </c>
      <c r="M20" s="4"/>
      <c r="N20" s="76"/>
      <c r="O20" s="76"/>
      <c r="P20" s="76" t="str">
        <f t="shared" si="4"/>
        <v>,shindan_seq</v>
      </c>
      <c r="Q20" s="76" t="str">
        <f t="shared" si="0"/>
        <v>INTEGER</v>
      </c>
      <c r="R20" s="76" t="str">
        <f t="shared" si="1"/>
        <v/>
      </c>
      <c r="S20" s="76" t="str">
        <f t="shared" si="5"/>
        <v>NOT NULL</v>
      </c>
      <c r="T20" s="76" t="str">
        <f t="shared" si="6"/>
        <v>-- 診断SEQ</v>
      </c>
      <c r="U20" s="4"/>
      <c r="AA20" s="4"/>
      <c r="AB20" s="4"/>
      <c r="AC20" s="4"/>
      <c r="AD20" s="4"/>
      <c r="AE20" s="4"/>
      <c r="AF20" s="4"/>
      <c r="AG20" s="4"/>
      <c r="AH20" s="4"/>
      <c r="AI20" s="4"/>
      <c r="AJ20" s="76" t="str">
        <f>IF(E20="○",IF(COUNTA(E$13:E20)=1,"",",")&amp;D20,"")</f>
        <v>,shindan_seq</v>
      </c>
      <c r="AK20" s="4"/>
      <c r="AL20" s="4"/>
      <c r="AM20" s="4"/>
      <c r="AN20" s="4"/>
      <c r="AO20" s="4"/>
      <c r="AP20" s="4"/>
      <c r="AQ20" s="4"/>
      <c r="AR20" s="4"/>
      <c r="AS20" s="76" t="str">
        <f>"COMMENT ON COLUMN "&amp;エンティティ一覧!$O$2&amp;"."&amp;D$8&amp;"."&amp;D20&amp;" IS '"&amp;C20&amp;"';"</f>
        <v>COMMENT ON COLUMN milscm_2023_009.sny_202310_base_merge_mml_rd_byomei.shindan_seq IS '診断SEQ';</v>
      </c>
    </row>
    <row r="21" spans="1:52" s="25" customFormat="1">
      <c r="A21" s="4"/>
      <c r="B21" s="21">
        <f t="shared" si="2"/>
        <v>9</v>
      </c>
      <c r="C21" s="13" t="s">
        <v>1323</v>
      </c>
      <c r="D21" s="13" t="s">
        <v>1324</v>
      </c>
      <c r="E21" s="7" t="s">
        <v>127</v>
      </c>
      <c r="F21" s="7" t="s">
        <v>204</v>
      </c>
      <c r="G21" s="7" t="str">
        <f t="shared" si="3"/>
        <v>integer</v>
      </c>
      <c r="H21" s="58"/>
      <c r="I21" s="23" t="s">
        <v>127</v>
      </c>
      <c r="J21" s="24" t="s">
        <v>1331</v>
      </c>
      <c r="M21" s="4"/>
      <c r="N21" s="76"/>
      <c r="O21" s="76"/>
      <c r="P21" s="76" t="str">
        <f t="shared" si="4"/>
        <v>,byomei_seq</v>
      </c>
      <c r="Q21" s="76" t="str">
        <f t="shared" si="0"/>
        <v>INTEGER</v>
      </c>
      <c r="R21" s="76" t="str">
        <f t="shared" si="1"/>
        <v/>
      </c>
      <c r="S21" s="76" t="str">
        <f t="shared" si="5"/>
        <v>NOT NULL</v>
      </c>
      <c r="T21" s="76" t="str">
        <f t="shared" si="6"/>
        <v>-- 病名SEQ</v>
      </c>
      <c r="U21" s="4"/>
      <c r="AA21" s="4"/>
      <c r="AB21" s="4"/>
      <c r="AC21" s="4"/>
      <c r="AD21" s="4"/>
      <c r="AE21" s="4"/>
      <c r="AF21" s="4"/>
      <c r="AG21" s="4"/>
      <c r="AH21" s="4"/>
      <c r="AI21" s="4"/>
      <c r="AJ21" s="76" t="str">
        <f>IF(E21="○",IF(COUNTA(E$13:E21)=1,"",",")&amp;D21,"")</f>
        <v>,byomei_seq</v>
      </c>
      <c r="AK21" s="4"/>
      <c r="AL21" s="4"/>
      <c r="AM21" s="4"/>
      <c r="AN21" s="4"/>
      <c r="AO21" s="4"/>
      <c r="AP21" s="4"/>
      <c r="AQ21" s="4"/>
      <c r="AR21" s="4"/>
      <c r="AS21" s="76" t="str">
        <f>"COMMENT ON COLUMN "&amp;エンティティ一覧!$O$2&amp;"."&amp;D$8&amp;"."&amp;D21&amp;" IS '"&amp;C21&amp;"';"</f>
        <v>COMMENT ON COLUMN milscm_2023_009.sny_202310_base_merge_mml_rd_byomei.byomei_seq IS '病名SEQ';</v>
      </c>
    </row>
    <row r="22" spans="1:52" s="25" customFormat="1">
      <c r="A22" s="4"/>
      <c r="B22" s="21">
        <f t="shared" si="2"/>
        <v>10</v>
      </c>
      <c r="C22" s="13" t="s">
        <v>1325</v>
      </c>
      <c r="D22" s="13" t="s">
        <v>1326</v>
      </c>
      <c r="E22" s="7"/>
      <c r="F22" s="7" t="s">
        <v>865</v>
      </c>
      <c r="G22" s="7" t="str">
        <f t="shared" si="3"/>
        <v>text</v>
      </c>
      <c r="H22" s="58"/>
      <c r="I22" s="23"/>
      <c r="J22" s="24" t="s">
        <v>1332</v>
      </c>
      <c r="M22" s="4"/>
      <c r="N22" s="76"/>
      <c r="O22" s="76"/>
      <c r="P22" s="76" t="str">
        <f t="shared" si="4"/>
        <v>,byomei</v>
      </c>
      <c r="Q22" s="76" t="str">
        <f t="shared" si="0"/>
        <v>TEXT</v>
      </c>
      <c r="R22" s="76" t="str">
        <f t="shared" si="1"/>
        <v/>
      </c>
      <c r="S22" s="76" t="str">
        <f t="shared" si="5"/>
        <v/>
      </c>
      <c r="T22" s="76" t="str">
        <f t="shared" si="6"/>
        <v>-- 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milscm_2023_009.sny_202310_base_merge_mml_rd_byomei.byomei IS '病名';</v>
      </c>
    </row>
    <row r="23" spans="1:52" s="25" customFormat="1">
      <c r="A23" s="4"/>
      <c r="B23" s="21">
        <f t="shared" si="2"/>
        <v>11</v>
      </c>
      <c r="C23" s="13" t="s">
        <v>1327</v>
      </c>
      <c r="D23" s="13" t="s">
        <v>1328</v>
      </c>
      <c r="E23" s="7"/>
      <c r="F23" s="7" t="s">
        <v>865</v>
      </c>
      <c r="G23" s="7" t="str">
        <f t="shared" si="3"/>
        <v>text</v>
      </c>
      <c r="H23" s="58"/>
      <c r="I23" s="23"/>
      <c r="J23" s="24" t="s">
        <v>1333</v>
      </c>
      <c r="M23" s="4"/>
      <c r="N23" s="76"/>
      <c r="O23" s="76"/>
      <c r="P23" s="76" t="str">
        <f t="shared" si="4"/>
        <v>,byomei_code</v>
      </c>
      <c r="Q23" s="76" t="str">
        <f t="shared" si="0"/>
        <v>TEXT</v>
      </c>
      <c r="R23" s="76" t="str">
        <f t="shared" si="1"/>
        <v/>
      </c>
      <c r="S23" s="76" t="str">
        <f t="shared" si="5"/>
        <v/>
      </c>
      <c r="T23" s="76" t="str">
        <f t="shared" si="6"/>
        <v>-- 病名コード値</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milscm_2023_009.sny_202310_base_merge_mml_rd_byomei.byomei_code IS '病名コード値';</v>
      </c>
    </row>
    <row r="24" spans="1:52" s="25" customFormat="1" ht="18" thickBot="1">
      <c r="A24" s="4"/>
      <c r="B24" s="27">
        <f>ROW()-12</f>
        <v>12</v>
      </c>
      <c r="C24" s="57" t="s">
        <v>1329</v>
      </c>
      <c r="D24" s="57" t="s">
        <v>1330</v>
      </c>
      <c r="E24" s="56"/>
      <c r="F24" s="56" t="s">
        <v>865</v>
      </c>
      <c r="G24" s="56" t="str">
        <f t="shared" si="3"/>
        <v>text</v>
      </c>
      <c r="H24" s="59"/>
      <c r="I24" s="60"/>
      <c r="J24" s="64" t="s">
        <v>1334</v>
      </c>
      <c r="N24" s="76"/>
      <c r="O24" s="76"/>
      <c r="P24" s="76" t="str">
        <f t="shared" si="4"/>
        <v>,byomei_code_id</v>
      </c>
      <c r="Q24" s="76" t="str">
        <f t="shared" si="0"/>
        <v>TEXT</v>
      </c>
      <c r="R24" s="76" t="str">
        <f t="shared" si="1"/>
        <v/>
      </c>
      <c r="S24" s="76" t="str">
        <f t="shared" si="5"/>
        <v/>
      </c>
      <c r="T24" s="76" t="str">
        <f t="shared" si="6"/>
        <v>-- 病名コード体系名</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milscm_2023_009.sny_202310_base_merge_mml_rd_byomei.byomei_code_id IS '病名コード体系名';</v>
      </c>
    </row>
    <row r="25" spans="1:52">
      <c r="L25" s="25"/>
      <c r="M25" s="25"/>
      <c r="N25" s="76" t="s">
        <v>142</v>
      </c>
      <c r="O25" s="76"/>
      <c r="P25" s="76"/>
      <c r="Q25" s="76"/>
      <c r="R25" s="76"/>
      <c r="S25" s="76"/>
      <c r="T25" s="76"/>
      <c r="V25" s="25"/>
      <c r="W25" s="25"/>
      <c r="X25" s="25"/>
      <c r="Y25" s="25"/>
      <c r="Z25" s="25"/>
      <c r="AJ25" s="76"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ENT_31_C4-06</v>
      </c>
      <c r="E6" s="234"/>
      <c r="F6" s="234"/>
      <c r="G6" s="234"/>
      <c r="H6" s="234"/>
      <c r="I6" s="234"/>
      <c r="J6" s="235"/>
    </row>
    <row r="7" spans="1:45">
      <c r="B7" s="223" t="s">
        <v>115</v>
      </c>
      <c r="C7" s="224"/>
      <c r="D7" s="225" t="s">
        <v>3682</v>
      </c>
      <c r="E7" s="226"/>
      <c r="F7" s="226"/>
      <c r="G7" s="226"/>
      <c r="H7" s="226"/>
      <c r="I7" s="226"/>
      <c r="J7" s="227"/>
    </row>
    <row r="8" spans="1:45">
      <c r="B8" s="223" t="s">
        <v>116</v>
      </c>
      <c r="C8" s="224"/>
      <c r="D8" s="225" t="str">
        <f>エンティティ一覧!AE2&amp;"_"&amp;D5&amp;"_merge_mml_pc_progress_course"</f>
        <v>sny_202310_base_merge_mml_pc_progress_course</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milscm_2023_009.sny_202310_base_merge_mml_pc_progress_course;</v>
      </c>
      <c r="O10" s="76"/>
      <c r="P10" s="76"/>
      <c r="Q10" s="76"/>
      <c r="R10" s="76"/>
      <c r="S10" s="76"/>
      <c r="T10" s="76"/>
      <c r="AJ10" s="76" t="str">
        <f>"ALTER TABLE ONLY "&amp;エンティティ一覧!$O$2&amp;"."&amp;D$8</f>
        <v>ALTER TABLE ONLY milscm_2023_009.sny_202310_base_merge_mml_pc_progress_course</v>
      </c>
      <c r="AS10" s="76" t="str">
        <f>"ALTER TABLE "&amp;エンティティ一覧!$O$2&amp;"."&amp;D$8&amp;" OWNER TO pgmisgrp1;"</f>
        <v>ALTER TABLE milscm_2023_009.sny_202310_base_merge_mml_pc_progress_course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milscm_2023_009.sny_202310_base_merge_mml_pc_progress_course</v>
      </c>
      <c r="O11" s="76"/>
      <c r="P11" s="76"/>
      <c r="Q11" s="76"/>
      <c r="R11" s="76"/>
      <c r="S11" s="76"/>
      <c r="T11" s="76"/>
      <c r="AJ11" s="76" t="str">
        <f>"ADD CONSTRAINT "&amp;D$8&amp;"_pkey PRIMARY KEY"</f>
        <v>ADD CONSTRAINT sny_202310_base_merge_mml_pc_progress_course_pkey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milscm_2023_009.sny_202310_base_merge_mml_pc_progress_course IS 'ベース_経過記録情報モジュール_経過記録情報レコード';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1" si="0">UPPER(G13)</f>
        <v>TEXT</v>
      </c>
      <c r="R13" s="76" t="str">
        <f t="shared" ref="R13:R21"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milscm_2023_009.sny_202310_base_merge_mml_pc_progress_course.torikomi_ym IS '取込年月';</v>
      </c>
    </row>
    <row r="14" spans="1:45" s="25" customFormat="1">
      <c r="A14" s="4"/>
      <c r="B14" s="21">
        <f t="shared" ref="B14:B20" si="2">ROW()-12</f>
        <v>2</v>
      </c>
      <c r="C14" s="6" t="s">
        <v>202</v>
      </c>
      <c r="D14" s="6" t="s">
        <v>203</v>
      </c>
      <c r="E14" s="8"/>
      <c r="F14" s="7" t="s">
        <v>204</v>
      </c>
      <c r="G14" s="7" t="str">
        <f t="shared" ref="G14:G21" si="3">IF(F14="フラグ","boolean",IF(F14="文字列","text",IF(F14="整数","integer",IF(F14="実数","numeric",""))))</f>
        <v>integer</v>
      </c>
      <c r="H14" s="26"/>
      <c r="I14" s="10"/>
      <c r="J14" s="11" t="s">
        <v>1286</v>
      </c>
      <c r="M14" s="4"/>
      <c r="N14" s="76"/>
      <c r="O14" s="76"/>
      <c r="P14" s="76" t="str">
        <f t="shared" ref="P14:P21"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milscm_2023_009.sny_202310_base_merge_mml_pc_progress_course.mil_karute_id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1" si="5">IF(I15="○","NOT NULL","")</f>
        <v>NOT NULL</v>
      </c>
      <c r="T15" s="76" t="str">
        <f t="shared" ref="T15:T21"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milscm_2023_009.sny_202310_base_merge_mml_pc_progress_course.facility_id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milscm_2023_009.sny_202310_base_merge_mml_pc_progress_course.shinryo_ymd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milscm_2023_009.sny_202310_base_merge_mml_pc_progress_course.data_type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milscm_2023_009.sny_202310_base_merge_mml_pc_progress_course.master_id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milscm_2023_009.sny_202310_base_merge_mml_pc_progress_course.uid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milscm_2023_009.sny_202310_base_merge_mml_pc_progress_course.keika_seq IS '経過記録SEQ';</v>
      </c>
    </row>
    <row r="21" spans="1:52" s="25" customFormat="1" ht="35.4" thickBot="1">
      <c r="A21" s="4"/>
      <c r="B21" s="27">
        <f>ROW()-12</f>
        <v>9</v>
      </c>
      <c r="C21" s="57" t="s">
        <v>1350</v>
      </c>
      <c r="D21" s="57" t="s">
        <v>1351</v>
      </c>
      <c r="E21" s="56"/>
      <c r="F21" s="56" t="s">
        <v>865</v>
      </c>
      <c r="G21" s="56" t="str">
        <f t="shared" si="3"/>
        <v>text</v>
      </c>
      <c r="H21" s="59"/>
      <c r="I21" s="60"/>
      <c r="J21" s="64" t="s">
        <v>1353</v>
      </c>
      <c r="N21" s="76"/>
      <c r="O21" s="76"/>
      <c r="P21" s="76" t="str">
        <f t="shared" si="4"/>
        <v>,free_expression</v>
      </c>
      <c r="Q21" s="76" t="str">
        <f t="shared" si="0"/>
        <v>TEXT</v>
      </c>
      <c r="R21" s="76" t="str">
        <f t="shared" si="1"/>
        <v/>
      </c>
      <c r="S21" s="76" t="str">
        <f t="shared" si="5"/>
        <v/>
      </c>
      <c r="T21" s="76" t="str">
        <f t="shared" si="6"/>
        <v>-- 自由記載</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milscm_2023_009.sny_202310_base_merge_mml_pc_progress_course.free_expression IS '自由記載';</v>
      </c>
    </row>
    <row r="22" spans="1:52">
      <c r="L22" s="25"/>
      <c r="M22" s="25"/>
      <c r="N22" s="76" t="s">
        <v>142</v>
      </c>
      <c r="O22" s="76"/>
      <c r="P22" s="76"/>
      <c r="Q22" s="76"/>
      <c r="R22" s="76"/>
      <c r="S22" s="76"/>
      <c r="T22" s="76"/>
      <c r="V22" s="25"/>
      <c r="W22" s="25"/>
      <c r="X22" s="25"/>
      <c r="Y22" s="25"/>
      <c r="Z22" s="25"/>
      <c r="AJ22" s="76"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ENT_31_C4-07</v>
      </c>
      <c r="E6" s="234"/>
      <c r="F6" s="234"/>
      <c r="G6" s="234"/>
      <c r="H6" s="234"/>
      <c r="I6" s="234"/>
      <c r="J6" s="235"/>
    </row>
    <row r="7" spans="1:45">
      <c r="B7" s="223" t="s">
        <v>115</v>
      </c>
      <c r="C7" s="224"/>
      <c r="D7" s="225" t="s">
        <v>3683</v>
      </c>
      <c r="E7" s="226"/>
      <c r="F7" s="226"/>
      <c r="G7" s="226"/>
      <c r="H7" s="226"/>
      <c r="I7" s="226"/>
      <c r="J7" s="227"/>
    </row>
    <row r="8" spans="1:45">
      <c r="B8" s="223" t="s">
        <v>116</v>
      </c>
      <c r="C8" s="224"/>
      <c r="D8" s="225" t="str">
        <f>エンティティ一覧!AE2&amp;"_"&amp;D5&amp;"_merge_mml_pc_problem"</f>
        <v>sny_202310_base_merge_mml_pc_problem</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milscm_2023_009.sny_202310_base_merge_mml_pc_problem;</v>
      </c>
      <c r="O10" s="76"/>
      <c r="P10" s="76"/>
      <c r="Q10" s="76"/>
      <c r="R10" s="76"/>
      <c r="S10" s="76"/>
      <c r="T10" s="76"/>
      <c r="AJ10" s="76" t="str">
        <f>"ALTER TABLE ONLY "&amp;エンティティ一覧!$O$2&amp;"."&amp;D$8</f>
        <v>ALTER TABLE ONLY milscm_2023_009.sny_202310_base_merge_mml_pc_problem</v>
      </c>
      <c r="AS10" s="76" t="str">
        <f>"ALTER TABLE "&amp;エンティティ一覧!$O$2&amp;"."&amp;D$8&amp;" OWNER TO pgmisgrp1;"</f>
        <v>ALTER TABLE milscm_2023_009.sny_202310_base_merge_mml_pc_problem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milscm_2023_009.sny_202310_base_merge_mml_pc_problem</v>
      </c>
      <c r="O11" s="76"/>
      <c r="P11" s="76"/>
      <c r="Q11" s="76"/>
      <c r="R11" s="76"/>
      <c r="S11" s="76"/>
      <c r="T11" s="76"/>
      <c r="AJ11" s="76" t="str">
        <f>"ADD CONSTRAINT "&amp;D$8&amp;"_pkey PRIMARY KEY"</f>
        <v>ADD CONSTRAINT sny_202310_base_merge_mml_pc_problem_pkey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milscm_2023_009.sny_202310_base_merge_mml_pc_problem IS 'ベース_経過記録情報モジュール_プロブレムレコード';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2" si="0">UPPER(G13)</f>
        <v>TEXT</v>
      </c>
      <c r="R13" s="76" t="str">
        <f t="shared" ref="R13:R32"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milscm_2023_009.sny_202310_base_merge_mml_pc_problem.torikomi_ym IS '取込年月';</v>
      </c>
    </row>
    <row r="14" spans="1:45" s="25" customFormat="1">
      <c r="A14" s="4"/>
      <c r="B14" s="21">
        <f t="shared" ref="B14:B31" si="2">ROW()-12</f>
        <v>2</v>
      </c>
      <c r="C14" s="6" t="s">
        <v>202</v>
      </c>
      <c r="D14" s="6" t="s">
        <v>203</v>
      </c>
      <c r="E14" s="8"/>
      <c r="F14" s="7" t="s">
        <v>204</v>
      </c>
      <c r="G14" s="7" t="str">
        <f t="shared" ref="G14:G32" si="3">IF(F14="フラグ","boolean",IF(F14="文字列","text",IF(F14="整数","integer",IF(F14="実数","numeric",""))))</f>
        <v>integer</v>
      </c>
      <c r="H14" s="26"/>
      <c r="I14" s="10"/>
      <c r="J14" s="11" t="s">
        <v>1286</v>
      </c>
      <c r="M14" s="4"/>
      <c r="N14" s="76"/>
      <c r="O14" s="76"/>
      <c r="P14" s="76" t="str">
        <f t="shared" ref="P14:P32"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milscm_2023_009.sny_202310_base_merge_mml_pc_problem.mil_karute_id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2" si="5">IF(I15="○","NOT NULL","")</f>
        <v>NOT NULL</v>
      </c>
      <c r="T15" s="76" t="str">
        <f t="shared" ref="T15:T32"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milscm_2023_009.sny_202310_base_merge_mml_pc_problem.facility_id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milscm_2023_009.sny_202310_base_merge_mml_pc_problem.shinryo_ymd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milscm_2023_009.sny_202310_base_merge_mml_pc_problem.data_type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milscm_2023_009.sny_202310_base_merge_mml_pc_problem.master_id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milscm_2023_009.sny_202310_base_merge_mml_pc_problem.uid IS '文書ユニークID';</v>
      </c>
    </row>
    <row r="20" spans="1:45"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milscm_2023_009.sny_202310_base_merge_mml_pc_problem.keika_seq IS '経過記録SEQ';</v>
      </c>
    </row>
    <row r="21" spans="1:45"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milscm_2023_009.sny_202310_base_merge_mml_pc_problem.problem_seq IS 'プロブレムSEQ';</v>
      </c>
    </row>
    <row r="22" spans="1:45" s="25" customFormat="1" ht="34.799999999999997">
      <c r="A22" s="4"/>
      <c r="B22" s="21">
        <f t="shared" si="2"/>
        <v>10</v>
      </c>
      <c r="C22" s="13" t="s">
        <v>1358</v>
      </c>
      <c r="D22" s="13" t="s">
        <v>1359</v>
      </c>
      <c r="E22" s="7"/>
      <c r="F22" s="7" t="s">
        <v>865</v>
      </c>
      <c r="G22" s="7" t="str">
        <f t="shared" si="3"/>
        <v>text</v>
      </c>
      <c r="H22" s="58"/>
      <c r="I22" s="23"/>
      <c r="J22" s="24" t="s">
        <v>1381</v>
      </c>
      <c r="M22" s="4"/>
      <c r="N22" s="76"/>
      <c r="O22" s="76"/>
      <c r="P22" s="76" t="str">
        <f t="shared" si="4"/>
        <v>,problem_shippei_name</v>
      </c>
      <c r="Q22" s="76" t="str">
        <f t="shared" si="0"/>
        <v>TEXT</v>
      </c>
      <c r="R22" s="76" t="str">
        <f t="shared" si="1"/>
        <v/>
      </c>
      <c r="S22" s="76" t="str">
        <f t="shared" si="5"/>
        <v/>
      </c>
      <c r="T22" s="76" t="str">
        <f t="shared" si="6"/>
        <v>-- プロブレム名（疾病名）</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milscm_2023_009.sny_202310_base_merge_mml_pc_problem.problem_shippei_name IS 'プロブレム名（疾病名）';</v>
      </c>
    </row>
    <row r="23" spans="1:45" s="25" customFormat="1" ht="69.599999999999994">
      <c r="A23" s="4"/>
      <c r="B23" s="21">
        <f t="shared" si="2"/>
        <v>11</v>
      </c>
      <c r="C23" s="13" t="s">
        <v>1360</v>
      </c>
      <c r="D23" s="13" t="s">
        <v>1361</v>
      </c>
      <c r="E23" s="7"/>
      <c r="F23" s="7" t="s">
        <v>865</v>
      </c>
      <c r="G23" s="7" t="str">
        <f t="shared" si="3"/>
        <v>text</v>
      </c>
      <c r="H23" s="58"/>
      <c r="I23" s="23"/>
      <c r="J23" s="24" t="s">
        <v>1382</v>
      </c>
      <c r="M23" s="4"/>
      <c r="N23" s="76"/>
      <c r="O23" s="76"/>
      <c r="P23" s="76" t="str">
        <f t="shared" si="4"/>
        <v>,shindan_name_uid</v>
      </c>
      <c r="Q23" s="76" t="str">
        <f t="shared" si="0"/>
        <v>TEXT</v>
      </c>
      <c r="R23" s="76" t="str">
        <f t="shared" si="1"/>
        <v/>
      </c>
      <c r="S23" s="76" t="str">
        <f t="shared" si="5"/>
        <v/>
      </c>
      <c r="T23" s="76" t="str">
        <f t="shared" si="6"/>
        <v>-- 診断名のuid</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milscm_2023_009.sny_202310_base_merge_mml_pc_problem.shindan_name_uid IS '診断名のuid';</v>
      </c>
    </row>
    <row r="24" spans="1:45" s="25" customFormat="1" ht="34.799999999999997">
      <c r="A24" s="4"/>
      <c r="B24" s="21">
        <f t="shared" si="2"/>
        <v>12</v>
      </c>
      <c r="C24" s="13" t="s">
        <v>1362</v>
      </c>
      <c r="D24" s="13" t="s">
        <v>1363</v>
      </c>
      <c r="E24" s="7"/>
      <c r="F24" s="7" t="s">
        <v>865</v>
      </c>
      <c r="G24" s="7" t="str">
        <f t="shared" si="3"/>
        <v>text</v>
      </c>
      <c r="H24" s="58"/>
      <c r="I24" s="23"/>
      <c r="J24" s="24" t="s">
        <v>1383</v>
      </c>
      <c r="M24" s="4"/>
      <c r="N24" s="76"/>
      <c r="O24" s="76"/>
      <c r="P24" s="76" t="str">
        <f t="shared" si="4"/>
        <v>,free_note</v>
      </c>
      <c r="Q24" s="76" t="str">
        <f t="shared" si="0"/>
        <v>TEXT</v>
      </c>
      <c r="R24" s="76" t="str">
        <f t="shared" si="1"/>
        <v/>
      </c>
      <c r="S24" s="76" t="str">
        <f t="shared" si="5"/>
        <v/>
      </c>
      <c r="T24" s="76" t="str">
        <f t="shared" si="6"/>
        <v>-- 自由文章表現</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milscm_2023_009.sny_202310_base_merge_mml_pc_problem.free_note IS '自由文章表現';</v>
      </c>
    </row>
    <row r="25" spans="1:45" s="25" customFormat="1" ht="34.799999999999997">
      <c r="A25" s="4"/>
      <c r="B25" s="21">
        <f t="shared" si="2"/>
        <v>13</v>
      </c>
      <c r="C25" s="13" t="s">
        <v>1364</v>
      </c>
      <c r="D25" s="13" t="s">
        <v>1365</v>
      </c>
      <c r="E25" s="7"/>
      <c r="F25" s="7" t="s">
        <v>865</v>
      </c>
      <c r="G25" s="7" t="str">
        <f t="shared" si="3"/>
        <v>text</v>
      </c>
      <c r="H25" s="58"/>
      <c r="I25" s="23"/>
      <c r="J25" s="24" t="s">
        <v>1384</v>
      </c>
      <c r="M25" s="4"/>
      <c r="N25" s="76"/>
      <c r="O25" s="76"/>
      <c r="P25" s="76" t="str">
        <f t="shared" si="4"/>
        <v>,free_expression_objective</v>
      </c>
      <c r="Q25" s="76" t="str">
        <f t="shared" si="0"/>
        <v>TEXT</v>
      </c>
      <c r="R25" s="76" t="str">
        <f t="shared" si="1"/>
        <v/>
      </c>
      <c r="S25" s="76" t="str">
        <f t="shared" si="5"/>
        <v/>
      </c>
      <c r="T25" s="76" t="str">
        <f t="shared" si="6"/>
        <v>-- 客観的自由記載</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milscm_2023_009.sny_202310_base_merge_mml_pc_problem.free_expression_objective IS '客観的自由記載';</v>
      </c>
    </row>
    <row r="26" spans="1:45" s="25" customFormat="1" ht="34.799999999999997">
      <c r="A26" s="4"/>
      <c r="B26" s="21">
        <f t="shared" si="2"/>
        <v>14</v>
      </c>
      <c r="C26" s="13" t="s">
        <v>1366</v>
      </c>
      <c r="D26" s="13" t="s">
        <v>1367</v>
      </c>
      <c r="E26" s="7"/>
      <c r="F26" s="7" t="s">
        <v>865</v>
      </c>
      <c r="G26" s="7" t="str">
        <f t="shared" si="3"/>
        <v>text</v>
      </c>
      <c r="H26" s="58"/>
      <c r="I26" s="23"/>
      <c r="J26" s="24" t="s">
        <v>1385</v>
      </c>
      <c r="M26" s="4"/>
      <c r="N26" s="76"/>
      <c r="O26" s="76"/>
      <c r="P26" s="76" t="str">
        <f t="shared" si="4"/>
        <v>,test_result</v>
      </c>
      <c r="Q26" s="76" t="str">
        <f t="shared" si="0"/>
        <v>TEXT</v>
      </c>
      <c r="R26" s="76" t="str">
        <f t="shared" si="1"/>
        <v/>
      </c>
      <c r="S26" s="76" t="str">
        <f t="shared" si="5"/>
        <v/>
      </c>
      <c r="T26" s="76" t="str">
        <f t="shared" si="6"/>
        <v>-- 検査結果</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milscm_2023_009.sny_202310_base_merge_mml_pc_problem.test_result IS '検査結果';</v>
      </c>
    </row>
    <row r="27" spans="1:45" s="25" customFormat="1" ht="34.799999999999997">
      <c r="A27" s="4"/>
      <c r="B27" s="21">
        <f t="shared" si="2"/>
        <v>15</v>
      </c>
      <c r="C27" s="13" t="s">
        <v>1368</v>
      </c>
      <c r="D27" s="13" t="s">
        <v>1369</v>
      </c>
      <c r="E27" s="7"/>
      <c r="F27" s="7" t="s">
        <v>865</v>
      </c>
      <c r="G27" s="7" t="str">
        <f t="shared" si="3"/>
        <v>text</v>
      </c>
      <c r="H27" s="58"/>
      <c r="I27" s="23"/>
      <c r="J27" s="24" t="s">
        <v>1386</v>
      </c>
      <c r="M27" s="4"/>
      <c r="N27" s="76"/>
      <c r="O27" s="76"/>
      <c r="P27" s="76" t="str">
        <f t="shared" si="4"/>
        <v>,shohou_jisshi_kiroku</v>
      </c>
      <c r="Q27" s="76" t="str">
        <f t="shared" si="0"/>
        <v>TEXT</v>
      </c>
      <c r="R27" s="76" t="str">
        <f t="shared" si="1"/>
        <v/>
      </c>
      <c r="S27" s="76" t="str">
        <f t="shared" si="5"/>
        <v/>
      </c>
      <c r="T27" s="76" t="str">
        <f t="shared" si="6"/>
        <v>-- 処方実施記録</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milscm_2023_009.sny_202310_base_merge_mml_pc_problem.shohou_jisshi_kiroku IS '処方実施記録';</v>
      </c>
    </row>
    <row r="28" spans="1:45" s="25" customFormat="1" ht="34.799999999999997">
      <c r="A28" s="4"/>
      <c r="B28" s="21">
        <f t="shared" si="2"/>
        <v>16</v>
      </c>
      <c r="C28" s="13" t="s">
        <v>1370</v>
      </c>
      <c r="D28" s="13" t="s">
        <v>1371</v>
      </c>
      <c r="E28" s="7"/>
      <c r="F28" s="7" t="s">
        <v>865</v>
      </c>
      <c r="G28" s="7" t="str">
        <f t="shared" si="3"/>
        <v>text</v>
      </c>
      <c r="H28" s="58"/>
      <c r="I28" s="23"/>
      <c r="J28" s="24" t="s">
        <v>1387</v>
      </c>
      <c r="M28" s="4"/>
      <c r="N28" s="76"/>
      <c r="O28" s="76"/>
      <c r="P28" s="76" t="str">
        <f t="shared" si="4"/>
        <v>,shochi_jisshi_kiroku</v>
      </c>
      <c r="Q28" s="76" t="str">
        <f t="shared" si="0"/>
        <v>TEXT</v>
      </c>
      <c r="R28" s="76" t="str">
        <f t="shared" si="1"/>
        <v/>
      </c>
      <c r="S28" s="76" t="str">
        <f t="shared" si="5"/>
        <v/>
      </c>
      <c r="T28" s="76" t="str">
        <f t="shared" si="6"/>
        <v>-- 処置実施記録</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milscm_2023_009.sny_202310_base_merge_mml_pc_problem.shochi_jisshi_kiroku IS '処置実施記録';</v>
      </c>
    </row>
    <row r="29" spans="1:45" s="25" customFormat="1" ht="34.799999999999997">
      <c r="A29" s="4"/>
      <c r="B29" s="21">
        <f t="shared" si="2"/>
        <v>17</v>
      </c>
      <c r="C29" s="13" t="s">
        <v>1372</v>
      </c>
      <c r="D29" s="13" t="s">
        <v>1373</v>
      </c>
      <c r="E29" s="7"/>
      <c r="F29" s="7" t="s">
        <v>865</v>
      </c>
      <c r="G29" s="7" t="str">
        <f t="shared" si="3"/>
        <v>text</v>
      </c>
      <c r="H29" s="58"/>
      <c r="I29" s="23"/>
      <c r="J29" s="24" t="s">
        <v>1388</v>
      </c>
      <c r="M29" s="4"/>
      <c r="N29" s="76"/>
      <c r="O29" s="76"/>
      <c r="P29" s="76" t="str">
        <f t="shared" si="4"/>
        <v>,kensa_order</v>
      </c>
      <c r="Q29" s="76" t="str">
        <f t="shared" si="0"/>
        <v>TEXT</v>
      </c>
      <c r="R29" s="76" t="str">
        <f t="shared" si="1"/>
        <v/>
      </c>
      <c r="S29" s="76" t="str">
        <f t="shared" si="5"/>
        <v/>
      </c>
      <c r="T29" s="76" t="str">
        <f t="shared" si="6"/>
        <v>-- 検査オーダー</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milscm_2023_009.sny_202310_base_merge_mml_pc_problem.kensa_order IS '検査オーダー';</v>
      </c>
    </row>
    <row r="30" spans="1:45" s="25" customFormat="1" ht="34.799999999999997">
      <c r="A30" s="4"/>
      <c r="B30" s="21">
        <f t="shared" si="2"/>
        <v>18</v>
      </c>
      <c r="C30" s="13" t="s">
        <v>1374</v>
      </c>
      <c r="D30" s="13" t="s">
        <v>1375</v>
      </c>
      <c r="E30" s="7"/>
      <c r="F30" s="7" t="s">
        <v>865</v>
      </c>
      <c r="G30" s="7" t="str">
        <f t="shared" si="3"/>
        <v>text</v>
      </c>
      <c r="H30" s="58"/>
      <c r="I30" s="23"/>
      <c r="J30" s="24" t="s">
        <v>1389</v>
      </c>
      <c r="M30" s="4"/>
      <c r="N30" s="76"/>
      <c r="O30" s="76"/>
      <c r="P30" s="76" t="str">
        <f t="shared" si="4"/>
        <v>,shohou_order</v>
      </c>
      <c r="Q30" s="76" t="str">
        <f t="shared" si="0"/>
        <v>TEXT</v>
      </c>
      <c r="R30" s="76" t="str">
        <f t="shared" si="1"/>
        <v/>
      </c>
      <c r="S30" s="76" t="str">
        <f t="shared" si="5"/>
        <v/>
      </c>
      <c r="T30" s="76" t="str">
        <f t="shared" si="6"/>
        <v>-- 処方オーダー</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milscm_2023_009.sny_202310_base_merge_mml_pc_problem.shohou_order IS '処方オーダー';</v>
      </c>
    </row>
    <row r="31" spans="1:45" s="25" customFormat="1" ht="34.799999999999997">
      <c r="A31" s="4"/>
      <c r="B31" s="21">
        <f t="shared" si="2"/>
        <v>19</v>
      </c>
      <c r="C31" s="13" t="s">
        <v>1376</v>
      </c>
      <c r="D31" s="13" t="s">
        <v>1377</v>
      </c>
      <c r="E31" s="7"/>
      <c r="F31" s="7" t="s">
        <v>865</v>
      </c>
      <c r="G31" s="7" t="str">
        <f t="shared" si="3"/>
        <v>text</v>
      </c>
      <c r="H31" s="58"/>
      <c r="I31" s="23"/>
      <c r="J31" s="24" t="s">
        <v>1390</v>
      </c>
      <c r="M31" s="4"/>
      <c r="N31" s="76"/>
      <c r="O31" s="76"/>
      <c r="P31" s="76" t="str">
        <f t="shared" si="4"/>
        <v>,chiryo_order</v>
      </c>
      <c r="Q31" s="76" t="str">
        <f t="shared" si="0"/>
        <v>TEXT</v>
      </c>
      <c r="R31" s="76" t="str">
        <f t="shared" si="1"/>
        <v/>
      </c>
      <c r="S31" s="76" t="str">
        <f t="shared" si="5"/>
        <v/>
      </c>
      <c r="T31" s="76" t="str">
        <f t="shared" si="6"/>
        <v>-- 治療処置オーダー</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milscm_2023_009.sny_202310_base_merge_mml_pc_problem.chiryo_order IS '治療処置オーダー';</v>
      </c>
    </row>
    <row r="32" spans="1:45" s="25" customFormat="1" ht="35.4" thickBot="1">
      <c r="A32" s="4"/>
      <c r="B32" s="27">
        <f>ROW()-12</f>
        <v>20</v>
      </c>
      <c r="C32" s="57" t="s">
        <v>1378</v>
      </c>
      <c r="D32" s="57" t="s">
        <v>1379</v>
      </c>
      <c r="E32" s="56"/>
      <c r="F32" s="56" t="s">
        <v>865</v>
      </c>
      <c r="G32" s="56" t="str">
        <f t="shared" si="3"/>
        <v>text</v>
      </c>
      <c r="H32" s="59"/>
      <c r="I32" s="60"/>
      <c r="J32" s="64" t="s">
        <v>1391</v>
      </c>
      <c r="N32" s="76"/>
      <c r="O32" s="76"/>
      <c r="P32" s="76" t="str">
        <f t="shared" si="4"/>
        <v>,free_expression_plan</v>
      </c>
      <c r="Q32" s="76" t="str">
        <f t="shared" si="0"/>
        <v>TEXT</v>
      </c>
      <c r="R32" s="76" t="str">
        <f t="shared" si="1"/>
        <v/>
      </c>
      <c r="S32" s="76" t="str">
        <f t="shared" si="5"/>
        <v/>
      </c>
      <c r="T32" s="76" t="str">
        <f t="shared" si="6"/>
        <v>-- 方針自由記載</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milscm_2023_009.sny_202310_base_merge_mml_pc_problem.free_expression_plan IS '方針自由記載';</v>
      </c>
    </row>
    <row r="33" spans="12:52">
      <c r="L33" s="25"/>
      <c r="M33" s="25"/>
      <c r="N33" s="76" t="s">
        <v>142</v>
      </c>
      <c r="O33" s="76"/>
      <c r="P33" s="76"/>
      <c r="Q33" s="76"/>
      <c r="R33" s="76"/>
      <c r="S33" s="76"/>
      <c r="T33" s="76"/>
      <c r="V33" s="25"/>
      <c r="W33" s="25"/>
      <c r="X33" s="25"/>
      <c r="Y33" s="25"/>
      <c r="Z33" s="25"/>
      <c r="AJ33" s="76"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ENT_31_C4-08</v>
      </c>
      <c r="E6" s="234"/>
      <c r="F6" s="234"/>
      <c r="G6" s="234"/>
      <c r="H6" s="234"/>
      <c r="I6" s="234"/>
      <c r="J6" s="235"/>
    </row>
    <row r="7" spans="1:45">
      <c r="B7" s="223" t="s">
        <v>115</v>
      </c>
      <c r="C7" s="224"/>
      <c r="D7" s="225" t="s">
        <v>3684</v>
      </c>
      <c r="E7" s="226"/>
      <c r="F7" s="226"/>
      <c r="G7" s="226"/>
      <c r="H7" s="226"/>
      <c r="I7" s="226"/>
      <c r="J7" s="227"/>
    </row>
    <row r="8" spans="1:45">
      <c r="B8" s="223" t="s">
        <v>116</v>
      </c>
      <c r="C8" s="224"/>
      <c r="D8" s="225" t="str">
        <f>エンティティ一覧!AE2&amp;"_"&amp;D5&amp;"_merge_mml_pc_physical_exam"</f>
        <v>sny_202310_base_merge_mml_pc_physical_exam</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milscm_2023_009.sny_202310_base_merge_mml_pc_physical_exam;</v>
      </c>
      <c r="O10" s="76"/>
      <c r="P10" s="76"/>
      <c r="Q10" s="76"/>
      <c r="R10" s="76"/>
      <c r="S10" s="76"/>
      <c r="T10" s="76"/>
      <c r="AJ10" s="76" t="str">
        <f>"ALTER TABLE ONLY "&amp;エンティティ一覧!$O$2&amp;"."&amp;D$8</f>
        <v>ALTER TABLE ONLY milscm_2023_009.sny_202310_base_merge_mml_pc_physical_exam</v>
      </c>
      <c r="AS10" s="76" t="str">
        <f>"ALTER TABLE "&amp;エンティティ一覧!$O$2&amp;"."&amp;D$8&amp;" OWNER TO pgmisgrp1;"</f>
        <v>ALTER TABLE milscm_2023_009.sny_202310_base_merge_mml_pc_physical_exam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milscm_2023_009.sny_202310_base_merge_mml_pc_physical_exam</v>
      </c>
      <c r="O11" s="76"/>
      <c r="P11" s="76"/>
      <c r="Q11" s="76"/>
      <c r="R11" s="76"/>
      <c r="S11" s="76"/>
      <c r="T11" s="76"/>
      <c r="AJ11" s="76" t="str">
        <f>"ADD CONSTRAINT "&amp;D$8&amp;"_pkey PRIMARY KEY"</f>
        <v>ADD CONSTRAINT sny_202310_base_merge_mml_pc_physical_exam_pkey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milscm_2023_009.sny_202310_base_merge_mml_pc_physical_exam IS 'ベース_経過記録情報モジュール_身体所見レコード';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milscm_2023_009.sny_202310_base_merge_mml_pc_physical_exam.torikomi_ym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milscm_2023_009.sny_202310_base_merge_mml_pc_physical_exam.mil_karute_id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milscm_2023_009.sny_202310_base_merge_mml_pc_physical_exam.facility_id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milscm_2023_009.sny_202310_base_merge_mml_pc_physical_exam.shinryo_ymd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milscm_2023_009.sny_202310_base_merge_mml_pc_physical_exam.data_type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milscm_2023_009.sny_202310_base_merge_mml_pc_physical_exam.master_id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milscm_2023_009.sny_202310_base_merge_mml_pc_physical_exam.uid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milscm_2023_009.sny_202310_base_merge_mml_pc_physical_exam.keika_seq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milscm_2023_009.sny_202310_base_merge_mml_pc_physical_exam.problem_seq IS 'プロブレムSEQ';</v>
      </c>
    </row>
    <row r="22" spans="1:52" s="25" customFormat="1">
      <c r="A22" s="4"/>
      <c r="B22" s="21">
        <f t="shared" si="2"/>
        <v>10</v>
      </c>
      <c r="C22" s="13" t="s">
        <v>1394</v>
      </c>
      <c r="D22" s="13" t="s">
        <v>1395</v>
      </c>
      <c r="E22" s="7" t="s">
        <v>127</v>
      </c>
      <c r="F22" s="7" t="s">
        <v>204</v>
      </c>
      <c r="G22" s="7" t="str">
        <f t="shared" si="3"/>
        <v>integer</v>
      </c>
      <c r="H22" s="58"/>
      <c r="I22" s="23" t="s">
        <v>127</v>
      </c>
      <c r="J22" s="24" t="s">
        <v>1402</v>
      </c>
      <c r="M22" s="4"/>
      <c r="N22" s="76"/>
      <c r="O22" s="76"/>
      <c r="P22" s="76" t="str">
        <f t="shared" si="4"/>
        <v>,syoken_seq</v>
      </c>
      <c r="Q22" s="76" t="str">
        <f t="shared" si="0"/>
        <v>INTEGER</v>
      </c>
      <c r="R22" s="76" t="str">
        <f t="shared" si="1"/>
        <v/>
      </c>
      <c r="S22" s="76" t="str">
        <f t="shared" si="5"/>
        <v>NOT NULL</v>
      </c>
      <c r="T22" s="76" t="str">
        <f t="shared" si="6"/>
        <v>-- 身体所見SEQ</v>
      </c>
      <c r="U22" s="4"/>
      <c r="AA22" s="4"/>
      <c r="AB22" s="4"/>
      <c r="AC22" s="4"/>
      <c r="AD22" s="4"/>
      <c r="AE22" s="4"/>
      <c r="AF22" s="4"/>
      <c r="AG22" s="4"/>
      <c r="AH22" s="4"/>
      <c r="AI22" s="4"/>
      <c r="AJ22" s="76" t="str">
        <f>IF(E22="○",IF(COUNTA(E$13:E22)=1,"",",")&amp;D22,"")</f>
        <v>,syoken_seq</v>
      </c>
      <c r="AK22" s="4"/>
      <c r="AL22" s="4"/>
      <c r="AM22" s="4"/>
      <c r="AN22" s="4"/>
      <c r="AO22" s="4"/>
      <c r="AP22" s="4"/>
      <c r="AQ22" s="4"/>
      <c r="AR22" s="4"/>
      <c r="AS22" s="76" t="str">
        <f>"COMMENT ON COLUMN "&amp;エンティティ一覧!$O$2&amp;"."&amp;D$8&amp;"."&amp;D22&amp;" IS '"&amp;C22&amp;"';"</f>
        <v>COMMENT ON COLUMN milscm_2023_009.sny_202310_base_merge_mml_pc_physical_exam.syoken_seq IS '身体所見SEQ';</v>
      </c>
    </row>
    <row r="23" spans="1:52" s="25" customFormat="1">
      <c r="A23" s="4"/>
      <c r="B23" s="21">
        <f t="shared" si="2"/>
        <v>11</v>
      </c>
      <c r="C23" s="13" t="s">
        <v>1396</v>
      </c>
      <c r="D23" s="13" t="s">
        <v>1397</v>
      </c>
      <c r="E23" s="7"/>
      <c r="F23" s="7" t="s">
        <v>865</v>
      </c>
      <c r="G23" s="7" t="str">
        <f t="shared" si="3"/>
        <v>text</v>
      </c>
      <c r="H23" s="58"/>
      <c r="I23" s="23"/>
      <c r="J23" s="24" t="s">
        <v>1403</v>
      </c>
      <c r="M23" s="4"/>
      <c r="N23" s="76"/>
      <c r="O23" s="76"/>
      <c r="P23" s="76" t="str">
        <f t="shared" si="4"/>
        <v>,syoken_item_name</v>
      </c>
      <c r="Q23" s="76" t="str">
        <f t="shared" si="0"/>
        <v>TEXT</v>
      </c>
      <c r="R23" s="76" t="str">
        <f t="shared" si="1"/>
        <v/>
      </c>
      <c r="S23" s="76" t="str">
        <f t="shared" si="5"/>
        <v/>
      </c>
      <c r="T23" s="76" t="str">
        <f t="shared" si="6"/>
        <v>-- 所見項目名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milscm_2023_009.sny_202310_base_merge_mml_pc_physical_exam.syoken_item_name IS '所見項目名';</v>
      </c>
    </row>
    <row r="24" spans="1:52" s="25" customFormat="1">
      <c r="A24" s="4"/>
      <c r="B24" s="21">
        <f t="shared" si="2"/>
        <v>12</v>
      </c>
      <c r="C24" s="13" t="s">
        <v>1398</v>
      </c>
      <c r="D24" s="13" t="s">
        <v>1399</v>
      </c>
      <c r="E24" s="7"/>
      <c r="F24" s="7" t="s">
        <v>865</v>
      </c>
      <c r="G24" s="7" t="str">
        <f t="shared" si="3"/>
        <v>text</v>
      </c>
      <c r="H24" s="58"/>
      <c r="I24" s="23"/>
      <c r="J24" s="24" t="s">
        <v>1404</v>
      </c>
      <c r="M24" s="4"/>
      <c r="N24" s="76"/>
      <c r="O24" s="76"/>
      <c r="P24" s="76" t="str">
        <f t="shared" si="4"/>
        <v>,syoken_value</v>
      </c>
      <c r="Q24" s="76" t="str">
        <f t="shared" si="0"/>
        <v>TEXT</v>
      </c>
      <c r="R24" s="76" t="str">
        <f t="shared" si="1"/>
        <v/>
      </c>
      <c r="S24" s="76" t="str">
        <f t="shared" si="5"/>
        <v/>
      </c>
      <c r="T24" s="76" t="str">
        <f t="shared" si="6"/>
        <v>-- 身体所見結果</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milscm_2023_009.sny_202310_base_merge_mml_pc_physical_exam.syoken_value IS '身体所見結果';</v>
      </c>
    </row>
    <row r="25" spans="1:52" s="25" customFormat="1" ht="35.4" thickBot="1">
      <c r="A25" s="4"/>
      <c r="B25" s="27">
        <f>ROW()-12</f>
        <v>13</v>
      </c>
      <c r="C25" s="57" t="s">
        <v>1400</v>
      </c>
      <c r="D25" s="57" t="s">
        <v>1401</v>
      </c>
      <c r="E25" s="56"/>
      <c r="F25" s="56" t="s">
        <v>865</v>
      </c>
      <c r="G25" s="56" t="str">
        <f t="shared" si="3"/>
        <v>text</v>
      </c>
      <c r="H25" s="59"/>
      <c r="I25" s="60"/>
      <c r="J25" s="64" t="s">
        <v>1405</v>
      </c>
      <c r="N25" s="76"/>
      <c r="O25" s="76"/>
      <c r="P25" s="76" t="str">
        <f t="shared" si="4"/>
        <v>,syoken_value_kaishaku</v>
      </c>
      <c r="Q25" s="76" t="str">
        <f t="shared" si="0"/>
        <v>TEXT</v>
      </c>
      <c r="R25" s="76" t="str">
        <f t="shared" si="1"/>
        <v/>
      </c>
      <c r="S25" s="76" t="str">
        <f t="shared" si="5"/>
        <v/>
      </c>
      <c r="T25" s="76" t="str">
        <f t="shared" si="6"/>
        <v>-- 身体所見結果解釈</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milscm_2023_009.sny_202310_base_merge_mml_pc_physical_exam.syoken_value_kaishaku IS '身体所見結果解釈';</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ENT_31_C4-15</v>
      </c>
      <c r="E6" s="234"/>
      <c r="F6" s="234"/>
      <c r="G6" s="234"/>
      <c r="H6" s="234"/>
      <c r="I6" s="234"/>
      <c r="J6" s="235"/>
    </row>
    <row r="7" spans="1:45">
      <c r="B7" s="223" t="s">
        <v>115</v>
      </c>
      <c r="C7" s="224"/>
      <c r="D7" s="225" t="s">
        <v>3685</v>
      </c>
      <c r="E7" s="226"/>
      <c r="F7" s="226"/>
      <c r="G7" s="226"/>
      <c r="H7" s="226"/>
      <c r="I7" s="226"/>
      <c r="J7" s="227"/>
    </row>
    <row r="8" spans="1:45">
      <c r="B8" s="223" t="s">
        <v>116</v>
      </c>
      <c r="C8" s="224"/>
      <c r="D8" s="225" t="str">
        <f>エンティティ一覧!AE2&amp;"_"&amp;D5&amp;"_merge_mml_pc_assessment"</f>
        <v>sny_202310_base_merge_mml_pc_assessment</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milscm_2023_009.sny_202310_base_merge_mml_pc_assessment;</v>
      </c>
      <c r="O10" s="76"/>
      <c r="P10" s="76"/>
      <c r="Q10" s="76"/>
      <c r="R10" s="76"/>
      <c r="S10" s="76"/>
      <c r="T10" s="76"/>
      <c r="AJ10" s="76" t="str">
        <f>"ALTER TABLE ONLY "&amp;エンティティ一覧!$O$2&amp;"."&amp;D$8</f>
        <v>ALTER TABLE ONLY milscm_2023_009.sny_202310_base_merge_mml_pc_assessment</v>
      </c>
      <c r="AS10" s="76" t="str">
        <f>"ALTER TABLE "&amp;エンティティ一覧!$O$2&amp;"."&amp;D$8&amp;" OWNER TO pgmisgrp1;"</f>
        <v>ALTER TABLE milscm_2023_009.sny_202310_base_merge_mml_pc_assessment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milscm_2023_009.sny_202310_base_merge_mml_pc_assessment</v>
      </c>
      <c r="O11" s="76"/>
      <c r="P11" s="76"/>
      <c r="Q11" s="76"/>
      <c r="R11" s="76"/>
      <c r="S11" s="76"/>
      <c r="T11" s="76"/>
      <c r="AJ11" s="76" t="str">
        <f>"ADD CONSTRAINT "&amp;D$8&amp;"_pkey PRIMARY KEY"</f>
        <v>ADD CONSTRAINT sny_202310_base_merge_mml_pc_assessment_pkey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milscm_2023_009.sny_202310_base_merge_mml_pc_assessment IS 'ベース_経過記録情報モジュール_アセスメントレコード';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milscm_2023_009.sny_202310_base_merge_mml_pc_assessment.torikomi_ym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milscm_2023_009.sny_202310_base_merge_mml_pc_assessment.mil_karute_id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milscm_2023_009.sny_202310_base_merge_mml_pc_assessment.facility_id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milscm_2023_009.sny_202310_base_merge_mml_pc_assessment.shinryo_ymd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milscm_2023_009.sny_202310_base_merge_mml_pc_assessment.data_type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milscm_2023_009.sny_202310_base_merge_mml_pc_assessment.master_id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milscm_2023_009.sny_202310_base_merge_mml_pc_assessment.uid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milscm_2023_009.sny_202310_base_merge_mml_pc_assessment.keika_seq IS '経過記録SEQ';</v>
      </c>
    </row>
    <row r="21" spans="1:52" s="25" customFormat="1">
      <c r="A21" s="4"/>
      <c r="B21" s="21">
        <f t="shared" si="2"/>
        <v>9</v>
      </c>
      <c r="C21" s="13" t="s">
        <v>1356</v>
      </c>
      <c r="D21" s="13" t="s">
        <v>1357</v>
      </c>
      <c r="E21" s="7" t="s">
        <v>127</v>
      </c>
      <c r="F21" s="7" t="s">
        <v>204</v>
      </c>
      <c r="G21" s="7" t="str">
        <f t="shared" si="3"/>
        <v>integer</v>
      </c>
      <c r="H21" s="58"/>
      <c r="I21" s="23" t="s">
        <v>127</v>
      </c>
      <c r="J21" s="24" t="s">
        <v>1380</v>
      </c>
      <c r="M21" s="4"/>
      <c r="N21" s="76"/>
      <c r="O21" s="76"/>
      <c r="P21" s="76" t="str">
        <f t="shared" si="4"/>
        <v>,problem_seq</v>
      </c>
      <c r="Q21" s="76" t="str">
        <f t="shared" si="0"/>
        <v>INTEGER</v>
      </c>
      <c r="R21" s="76" t="str">
        <f t="shared" si="1"/>
        <v/>
      </c>
      <c r="S21" s="76" t="str">
        <f t="shared" si="5"/>
        <v>NOT NULL</v>
      </c>
      <c r="T21" s="76" t="str">
        <f t="shared" si="6"/>
        <v>-- プロブレムSEQ</v>
      </c>
      <c r="U21" s="4"/>
      <c r="AA21" s="4"/>
      <c r="AB21" s="4"/>
      <c r="AC21" s="4"/>
      <c r="AD21" s="4"/>
      <c r="AE21" s="4"/>
      <c r="AF21" s="4"/>
      <c r="AG21" s="4"/>
      <c r="AH21" s="4"/>
      <c r="AI21" s="4"/>
      <c r="AJ21" s="76" t="str">
        <f>IF(E21="○",IF(COUNTA(E$13:E21)=1,"",",")&amp;D21,"")</f>
        <v>,problem_seq</v>
      </c>
      <c r="AK21" s="4"/>
      <c r="AL21" s="4"/>
      <c r="AM21" s="4"/>
      <c r="AN21" s="4"/>
      <c r="AO21" s="4"/>
      <c r="AP21" s="4"/>
      <c r="AQ21" s="4"/>
      <c r="AR21" s="4"/>
      <c r="AS21" s="76" t="str">
        <f>"COMMENT ON COLUMN "&amp;エンティティ一覧!$O$2&amp;"."&amp;D$8&amp;"."&amp;D21&amp;" IS '"&amp;C21&amp;"';"</f>
        <v>COMMENT ON COLUMN milscm_2023_009.sny_202310_base_merge_mml_pc_assessment.problem_seq IS 'プロブレムSEQ';</v>
      </c>
    </row>
    <row r="22" spans="1:52" s="25" customFormat="1">
      <c r="A22" s="4"/>
      <c r="B22" s="21">
        <f t="shared" si="2"/>
        <v>10</v>
      </c>
      <c r="C22" s="13" t="s">
        <v>1408</v>
      </c>
      <c r="D22" s="13" t="s">
        <v>1409</v>
      </c>
      <c r="E22" s="7" t="s">
        <v>127</v>
      </c>
      <c r="F22" s="7" t="s">
        <v>204</v>
      </c>
      <c r="G22" s="7" t="str">
        <f t="shared" si="3"/>
        <v>integer</v>
      </c>
      <c r="H22" s="58"/>
      <c r="I22" s="23" t="s">
        <v>127</v>
      </c>
      <c r="J22" s="24" t="s">
        <v>1412</v>
      </c>
      <c r="M22" s="4"/>
      <c r="N22" s="76"/>
      <c r="O22" s="76"/>
      <c r="P22" s="76" t="str">
        <f t="shared" si="4"/>
        <v>,assessment_item_seq</v>
      </c>
      <c r="Q22" s="76" t="str">
        <f t="shared" si="0"/>
        <v>INTEGER</v>
      </c>
      <c r="R22" s="76" t="str">
        <f t="shared" si="1"/>
        <v/>
      </c>
      <c r="S22" s="76" t="str">
        <f t="shared" si="5"/>
        <v>NOT NULL</v>
      </c>
      <c r="T22" s="76" t="str">
        <f t="shared" si="6"/>
        <v>-- アセスメントSEQ</v>
      </c>
      <c r="U22" s="4"/>
      <c r="AA22" s="4"/>
      <c r="AB22" s="4"/>
      <c r="AC22" s="4"/>
      <c r="AD22" s="4"/>
      <c r="AE22" s="4"/>
      <c r="AF22" s="4"/>
      <c r="AG22" s="4"/>
      <c r="AH22" s="4"/>
      <c r="AI22" s="4"/>
      <c r="AJ22" s="76" t="str">
        <f>IF(E22="○",IF(COUNTA(E$13:E22)=1,"",",")&amp;D22,"")</f>
        <v>,assessment_item_seq</v>
      </c>
      <c r="AK22" s="4"/>
      <c r="AL22" s="4"/>
      <c r="AM22" s="4"/>
      <c r="AN22" s="4"/>
      <c r="AO22" s="4"/>
      <c r="AP22" s="4"/>
      <c r="AQ22" s="4"/>
      <c r="AR22" s="4"/>
      <c r="AS22" s="76" t="str">
        <f>"COMMENT ON COLUMN "&amp;エンティティ一覧!$O$2&amp;"."&amp;D$8&amp;"."&amp;D22&amp;" IS '"&amp;C22&amp;"';"</f>
        <v>COMMENT ON COLUMN milscm_2023_009.sny_202310_base_merge_mml_pc_assessment.assessment_item_seq IS 'アセスメントSEQ';</v>
      </c>
    </row>
    <row r="23" spans="1:52" s="25" customFormat="1" ht="35.4" thickBot="1">
      <c r="A23" s="4"/>
      <c r="B23" s="27">
        <f>ROW()-12</f>
        <v>11</v>
      </c>
      <c r="C23" s="57" t="s">
        <v>1410</v>
      </c>
      <c r="D23" s="57" t="s">
        <v>1411</v>
      </c>
      <c r="E23" s="56"/>
      <c r="F23" s="56" t="s">
        <v>865</v>
      </c>
      <c r="G23" s="56" t="str">
        <f t="shared" si="3"/>
        <v>text</v>
      </c>
      <c r="H23" s="59"/>
      <c r="I23" s="60"/>
      <c r="J23" s="64" t="s">
        <v>1413</v>
      </c>
      <c r="N23" s="76"/>
      <c r="O23" s="76"/>
      <c r="P23" s="76" t="str">
        <f t="shared" si="4"/>
        <v>,assessment_item</v>
      </c>
      <c r="Q23" s="76" t="str">
        <f t="shared" si="0"/>
        <v>TEXT</v>
      </c>
      <c r="R23" s="76" t="str">
        <f t="shared" si="1"/>
        <v/>
      </c>
      <c r="S23" s="76" t="str">
        <f t="shared" si="5"/>
        <v/>
      </c>
      <c r="T23" s="76" t="str">
        <f t="shared" si="6"/>
        <v>-- アセスメント</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milscm_2023_009.sny_202310_base_merge_mml_pc_assessment.assessment_item IS 'アセスメント';</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ENT_31_C4-22</v>
      </c>
      <c r="E6" s="234"/>
      <c r="F6" s="234"/>
      <c r="G6" s="234"/>
      <c r="H6" s="234"/>
      <c r="I6" s="234"/>
      <c r="J6" s="235"/>
    </row>
    <row r="7" spans="1:45">
      <c r="B7" s="223" t="s">
        <v>115</v>
      </c>
      <c r="C7" s="224"/>
      <c r="D7" s="225" t="s">
        <v>3686</v>
      </c>
      <c r="E7" s="226"/>
      <c r="F7" s="226"/>
      <c r="G7" s="226"/>
      <c r="H7" s="226"/>
      <c r="I7" s="226"/>
      <c r="J7" s="227"/>
    </row>
    <row r="8" spans="1:45">
      <c r="B8" s="223" t="s">
        <v>116</v>
      </c>
      <c r="C8" s="224"/>
      <c r="D8" s="225" t="str">
        <f>エンティティ一覧!AE2&amp;"_"&amp;D5&amp;"_merge_mml_pc_external_reference"</f>
        <v>sny_202310_base_merge_mml_pc_external_reference</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milscm_2023_009.sny_202310_base_merge_mml_pc_external_reference;</v>
      </c>
      <c r="O10" s="76"/>
      <c r="P10" s="76"/>
      <c r="Q10" s="76"/>
      <c r="R10" s="76"/>
      <c r="S10" s="76"/>
      <c r="T10" s="76"/>
      <c r="AJ10" s="76" t="str">
        <f>"ALTER TABLE ONLY "&amp;エンティティ一覧!$O$2&amp;"."&amp;D$8</f>
        <v>ALTER TABLE ONLY milscm_2023_009.sny_202310_base_merge_mml_pc_external_reference</v>
      </c>
      <c r="AS10" s="76" t="str">
        <f>"ALTER TABLE "&amp;エンティティ一覧!$O$2&amp;"."&amp;D$8&amp;" OWNER TO pgmisgrp1;"</f>
        <v>ALTER TABLE milscm_2023_009.sny_202310_base_merge_mml_pc_external_reference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milscm_2023_009.sny_202310_base_merge_mml_pc_external_reference</v>
      </c>
      <c r="O11" s="76"/>
      <c r="P11" s="76"/>
      <c r="Q11" s="76"/>
      <c r="R11" s="76"/>
      <c r="S11" s="76"/>
      <c r="T11" s="76"/>
      <c r="AJ11" s="76" t="str">
        <f>"ADD CONSTRAINT "&amp;D$8&amp;"_pkey PRIMARY KEY"</f>
        <v>ADD CONSTRAINT sny_202310_base_merge_mml_pc_external_reference_pkey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milscm_2023_009.sny_202310_base_merge_mml_pc_external_reference IS 'ベース_経過記録情報モジュール_外部参照レコード';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7" si="0">UPPER(G13)</f>
        <v>TEXT</v>
      </c>
      <c r="R13" s="76" t="str">
        <f t="shared" ref="R13:R27"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milscm_2023_009.sny_202310_base_merge_mml_pc_external_reference.torikomi_ym IS '取込年月';</v>
      </c>
    </row>
    <row r="14" spans="1:45" s="25" customFormat="1">
      <c r="A14" s="4"/>
      <c r="B14" s="21">
        <f t="shared" ref="B14:B26" si="2">ROW()-12</f>
        <v>2</v>
      </c>
      <c r="C14" s="6" t="s">
        <v>202</v>
      </c>
      <c r="D14" s="6" t="s">
        <v>203</v>
      </c>
      <c r="E14" s="8"/>
      <c r="F14" s="7" t="s">
        <v>204</v>
      </c>
      <c r="G14" s="7" t="str">
        <f t="shared" ref="G14:G27" si="3">IF(F14="フラグ","boolean",IF(F14="文字列","text",IF(F14="整数","integer",IF(F14="実数","numeric",""))))</f>
        <v>integer</v>
      </c>
      <c r="H14" s="26"/>
      <c r="I14" s="10"/>
      <c r="J14" s="11" t="s">
        <v>1286</v>
      </c>
      <c r="M14" s="4"/>
      <c r="N14" s="76"/>
      <c r="O14" s="76"/>
      <c r="P14" s="76" t="str">
        <f t="shared" ref="P14:P27"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milscm_2023_009.sny_202310_base_merge_mml_pc_external_reference.mil_karute_id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7" si="5">IF(I15="○","NOT NULL","")</f>
        <v>NOT NULL</v>
      </c>
      <c r="T15" s="76" t="str">
        <f t="shared" ref="T15:T27"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milscm_2023_009.sny_202310_base_merge_mml_pc_external_reference.facility_id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milscm_2023_009.sny_202310_base_merge_mml_pc_external_reference.shinryo_ymd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milscm_2023_009.sny_202310_base_merge_mml_pc_external_reference.data_type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milscm_2023_009.sny_202310_base_merge_mml_pc_external_reference.master_id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milscm_2023_009.sny_202310_base_merge_mml_pc_external_reference.uid IS '文書ユニークID';</v>
      </c>
    </row>
    <row r="20" spans="1:52" s="25" customFormat="1" ht="34.799999999999997">
      <c r="A20" s="4"/>
      <c r="B20" s="21">
        <f t="shared" si="2"/>
        <v>8</v>
      </c>
      <c r="C20" s="13" t="s">
        <v>1348</v>
      </c>
      <c r="D20" s="13" t="s">
        <v>1349</v>
      </c>
      <c r="E20" s="7" t="s">
        <v>127</v>
      </c>
      <c r="F20" s="7" t="s">
        <v>204</v>
      </c>
      <c r="G20" s="7" t="str">
        <f t="shared" si="3"/>
        <v>integer</v>
      </c>
      <c r="H20" s="58"/>
      <c r="I20" s="23" t="s">
        <v>127</v>
      </c>
      <c r="J20" s="24" t="s">
        <v>1352</v>
      </c>
      <c r="M20" s="4"/>
      <c r="N20" s="76"/>
      <c r="O20" s="76"/>
      <c r="P20" s="76" t="str">
        <f t="shared" si="4"/>
        <v>,keika_seq</v>
      </c>
      <c r="Q20" s="76" t="str">
        <f t="shared" si="0"/>
        <v>INTEGER</v>
      </c>
      <c r="R20" s="76" t="str">
        <f t="shared" si="1"/>
        <v/>
      </c>
      <c r="S20" s="76" t="str">
        <f t="shared" si="5"/>
        <v>NOT NULL</v>
      </c>
      <c r="T20" s="76" t="str">
        <f t="shared" si="6"/>
        <v>-- 経過記録SEQ</v>
      </c>
      <c r="U20" s="4"/>
      <c r="AA20" s="4"/>
      <c r="AB20" s="4"/>
      <c r="AC20" s="4"/>
      <c r="AD20" s="4"/>
      <c r="AE20" s="4"/>
      <c r="AF20" s="4"/>
      <c r="AG20" s="4"/>
      <c r="AH20" s="4"/>
      <c r="AI20" s="4"/>
      <c r="AJ20" s="76" t="str">
        <f>IF(E20="○",IF(COUNTA(E$13:E20)=1,"",",")&amp;D20,"")</f>
        <v>,keika_seq</v>
      </c>
      <c r="AK20" s="4"/>
      <c r="AL20" s="4"/>
      <c r="AM20" s="4"/>
      <c r="AN20" s="4"/>
      <c r="AO20" s="4"/>
      <c r="AP20" s="4"/>
      <c r="AQ20" s="4"/>
      <c r="AR20" s="4"/>
      <c r="AS20" s="76" t="str">
        <f>"COMMENT ON COLUMN "&amp;エンティティ一覧!$O$2&amp;"."&amp;D$8&amp;"."&amp;D20&amp;" IS '"&amp;C20&amp;"';"</f>
        <v>COMMENT ON COLUMN milscm_2023_009.sny_202310_base_merge_mml_pc_external_reference.keika_seq IS '経過記録SEQ';</v>
      </c>
    </row>
    <row r="21" spans="1:52" s="25" customFormat="1" ht="174">
      <c r="A21" s="4"/>
      <c r="B21" s="21">
        <f t="shared" si="2"/>
        <v>9</v>
      </c>
      <c r="C21" s="13" t="s">
        <v>1416</v>
      </c>
      <c r="D21" s="13" t="s">
        <v>1417</v>
      </c>
      <c r="E21" s="7" t="s">
        <v>127</v>
      </c>
      <c r="F21" s="7" t="s">
        <v>865</v>
      </c>
      <c r="G21" s="7" t="str">
        <f t="shared" si="3"/>
        <v>text</v>
      </c>
      <c r="H21" s="58"/>
      <c r="I21" s="23" t="s">
        <v>127</v>
      </c>
      <c r="J21" s="24" t="s">
        <v>1430</v>
      </c>
      <c r="M21" s="4"/>
      <c r="N21" s="76"/>
      <c r="O21" s="76"/>
      <c r="P21" s="76" t="str">
        <f t="shared" si="4"/>
        <v>,gaibu_sansyo_moto</v>
      </c>
      <c r="Q21" s="76" t="str">
        <f t="shared" si="0"/>
        <v>TEXT</v>
      </c>
      <c r="R21" s="76" t="str">
        <f t="shared" si="1"/>
        <v/>
      </c>
      <c r="S21" s="76" t="str">
        <f t="shared" si="5"/>
        <v>NOT NULL</v>
      </c>
      <c r="T21" s="76" t="str">
        <f t="shared" si="6"/>
        <v>-- 外部参照元</v>
      </c>
      <c r="U21" s="4"/>
      <c r="AA21" s="4"/>
      <c r="AB21" s="4"/>
      <c r="AC21" s="4"/>
      <c r="AD21" s="4"/>
      <c r="AE21" s="4"/>
      <c r="AF21" s="4"/>
      <c r="AG21" s="4"/>
      <c r="AH21" s="4"/>
      <c r="AI21" s="4"/>
      <c r="AJ21" s="76" t="str">
        <f>IF(E21="○",IF(COUNTA(E$13:E21)=1,"",",")&amp;D21,"")</f>
        <v>,gaibu_sansyo_moto</v>
      </c>
      <c r="AK21" s="4"/>
      <c r="AL21" s="4"/>
      <c r="AM21" s="4"/>
      <c r="AN21" s="4"/>
      <c r="AO21" s="4"/>
      <c r="AP21" s="4"/>
      <c r="AQ21" s="4"/>
      <c r="AR21" s="4"/>
      <c r="AS21" s="76" t="str">
        <f>"COMMENT ON COLUMN "&amp;エンティティ一覧!$O$2&amp;"."&amp;D$8&amp;"."&amp;D21&amp;" IS '"&amp;C21&amp;"';"</f>
        <v>COMMENT ON COLUMN milscm_2023_009.sny_202310_base_merge_mml_pc_external_reference.gaibu_sansyo_moto IS '外部参照元';</v>
      </c>
    </row>
    <row r="22" spans="1:52" s="25" customFormat="1">
      <c r="A22" s="4"/>
      <c r="B22" s="21">
        <f t="shared" si="2"/>
        <v>10</v>
      </c>
      <c r="C22" s="13" t="s">
        <v>1418</v>
      </c>
      <c r="D22" s="13" t="s">
        <v>1419</v>
      </c>
      <c r="E22" s="7" t="s">
        <v>127</v>
      </c>
      <c r="F22" s="7" t="s">
        <v>204</v>
      </c>
      <c r="G22" s="7" t="str">
        <f t="shared" si="3"/>
        <v>integer</v>
      </c>
      <c r="H22" s="58"/>
      <c r="I22" s="23" t="s">
        <v>127</v>
      </c>
      <c r="J22" s="24" t="s">
        <v>1431</v>
      </c>
      <c r="M22" s="4"/>
      <c r="N22" s="76"/>
      <c r="O22" s="76"/>
      <c r="P22" s="76" t="str">
        <f t="shared" si="4"/>
        <v>,gaibu_sansyo_seq</v>
      </c>
      <c r="Q22" s="76" t="str">
        <f t="shared" si="0"/>
        <v>INTEGER</v>
      </c>
      <c r="R22" s="76" t="str">
        <f t="shared" si="1"/>
        <v/>
      </c>
      <c r="S22" s="76" t="str">
        <f t="shared" si="5"/>
        <v>NOT NULL</v>
      </c>
      <c r="T22" s="76" t="str">
        <f t="shared" si="6"/>
        <v>-- 外部参照SEQ</v>
      </c>
      <c r="U22" s="4"/>
      <c r="AA22" s="4"/>
      <c r="AB22" s="4"/>
      <c r="AC22" s="4"/>
      <c r="AD22" s="4"/>
      <c r="AE22" s="4"/>
      <c r="AF22" s="4"/>
      <c r="AG22" s="4"/>
      <c r="AH22" s="4"/>
      <c r="AI22" s="4"/>
      <c r="AJ22" s="76" t="str">
        <f>IF(E22="○",IF(COUNTA(E$13:E22)=1,"",",")&amp;D22,"")</f>
        <v>,gaibu_sansyo_seq</v>
      </c>
      <c r="AK22" s="4"/>
      <c r="AL22" s="4"/>
      <c r="AM22" s="4"/>
      <c r="AN22" s="4"/>
      <c r="AO22" s="4"/>
      <c r="AP22" s="4"/>
      <c r="AQ22" s="4"/>
      <c r="AR22" s="4"/>
      <c r="AS22" s="76" t="str">
        <f>"COMMENT ON COLUMN "&amp;エンティティ一覧!$O$2&amp;"."&amp;D$8&amp;"."&amp;D22&amp;" IS '"&amp;C22&amp;"';"</f>
        <v>COMMENT ON COLUMN milscm_2023_009.sny_202310_base_merge_mml_pc_external_reference.gaibu_sansyo_seq IS '外部参照SEQ';</v>
      </c>
    </row>
    <row r="23" spans="1:52" s="25" customFormat="1">
      <c r="A23" s="4"/>
      <c r="B23" s="21">
        <f t="shared" si="2"/>
        <v>11</v>
      </c>
      <c r="C23" s="13" t="s">
        <v>1420</v>
      </c>
      <c r="D23" s="13" t="s">
        <v>1421</v>
      </c>
      <c r="E23" s="7"/>
      <c r="F23" s="7" t="s">
        <v>865</v>
      </c>
      <c r="G23" s="7" t="str">
        <f t="shared" si="3"/>
        <v>text</v>
      </c>
      <c r="H23" s="58"/>
      <c r="I23" s="23"/>
      <c r="J23" s="24" t="s">
        <v>1432</v>
      </c>
      <c r="M23" s="4"/>
      <c r="N23" s="76"/>
      <c r="O23" s="76"/>
      <c r="P23" s="76" t="str">
        <f t="shared" si="4"/>
        <v>,content_type</v>
      </c>
      <c r="Q23" s="76" t="str">
        <f t="shared" si="0"/>
        <v>TEXT</v>
      </c>
      <c r="R23" s="76" t="str">
        <f t="shared" si="1"/>
        <v/>
      </c>
      <c r="S23" s="76" t="str">
        <f t="shared" si="5"/>
        <v/>
      </c>
      <c r="T23" s="76" t="str">
        <f t="shared" si="6"/>
        <v>-- コンテンツ種別</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milscm_2023_009.sny_202310_base_merge_mml_pc_external_reference.content_type IS 'コンテンツ種別';</v>
      </c>
    </row>
    <row r="24" spans="1:52" s="25" customFormat="1" ht="34.799999999999997">
      <c r="A24" s="4"/>
      <c r="B24" s="21">
        <f t="shared" si="2"/>
        <v>12</v>
      </c>
      <c r="C24" s="13" t="s">
        <v>1422</v>
      </c>
      <c r="D24" s="13" t="s">
        <v>1423</v>
      </c>
      <c r="E24" s="7"/>
      <c r="F24" s="7" t="s">
        <v>865</v>
      </c>
      <c r="G24" s="7" t="str">
        <f t="shared" si="3"/>
        <v>text</v>
      </c>
      <c r="H24" s="58"/>
      <c r="I24" s="23"/>
      <c r="J24" s="24" t="s">
        <v>1433</v>
      </c>
      <c r="M24" s="4"/>
      <c r="N24" s="76"/>
      <c r="O24" s="76"/>
      <c r="P24" s="76" t="str">
        <f t="shared" si="4"/>
        <v>,igaku_role</v>
      </c>
      <c r="Q24" s="76" t="str">
        <f t="shared" si="0"/>
        <v>TEXT</v>
      </c>
      <c r="R24" s="76" t="str">
        <f t="shared" si="1"/>
        <v/>
      </c>
      <c r="S24" s="76" t="str">
        <f t="shared" si="5"/>
        <v/>
      </c>
      <c r="T24" s="76" t="str">
        <f t="shared" si="6"/>
        <v>-- 医学的役割</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milscm_2023_009.sny_202310_base_merge_mml_pc_external_reference.igaku_role IS '医学的役割';</v>
      </c>
    </row>
    <row r="25" spans="1:52" s="25" customFormat="1">
      <c r="A25" s="4"/>
      <c r="B25" s="21">
        <f t="shared" si="2"/>
        <v>13</v>
      </c>
      <c r="C25" s="13" t="s">
        <v>1424</v>
      </c>
      <c r="D25" s="13" t="s">
        <v>1425</v>
      </c>
      <c r="E25" s="7"/>
      <c r="F25" s="7" t="s">
        <v>865</v>
      </c>
      <c r="G25" s="7" t="str">
        <f t="shared" si="3"/>
        <v>text</v>
      </c>
      <c r="H25" s="58"/>
      <c r="I25" s="23"/>
      <c r="J25" s="24" t="s">
        <v>1434</v>
      </c>
      <c r="M25" s="4"/>
      <c r="N25" s="76"/>
      <c r="O25" s="76"/>
      <c r="P25" s="76" t="str">
        <f t="shared" si="4"/>
        <v>,gaibu_sansyo_file_name</v>
      </c>
      <c r="Q25" s="76" t="str">
        <f t="shared" si="0"/>
        <v>TEXT</v>
      </c>
      <c r="R25" s="76" t="str">
        <f t="shared" si="1"/>
        <v/>
      </c>
      <c r="S25" s="76" t="str">
        <f t="shared" si="5"/>
        <v/>
      </c>
      <c r="T25" s="76" t="str">
        <f t="shared" si="6"/>
        <v>-- 外部参照ファイル名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milscm_2023_009.sny_202310_base_merge_mml_pc_external_reference.gaibu_sansyo_file_name IS '外部参照ファイル名';</v>
      </c>
    </row>
    <row r="26" spans="1:52" s="25" customFormat="1">
      <c r="A26" s="4"/>
      <c r="B26" s="21">
        <f t="shared" si="2"/>
        <v>14</v>
      </c>
      <c r="C26" s="13" t="s">
        <v>1426</v>
      </c>
      <c r="D26" s="13" t="s">
        <v>1427</v>
      </c>
      <c r="E26" s="7"/>
      <c r="F26" s="7" t="s">
        <v>865</v>
      </c>
      <c r="G26" s="7" t="str">
        <f t="shared" si="3"/>
        <v>text</v>
      </c>
      <c r="H26" s="58"/>
      <c r="I26" s="23"/>
      <c r="J26" s="24" t="s">
        <v>1435</v>
      </c>
      <c r="M26" s="4"/>
      <c r="N26" s="76"/>
      <c r="O26" s="76"/>
      <c r="P26" s="76" t="str">
        <f t="shared" si="4"/>
        <v>,gaibu_sansyo_saki</v>
      </c>
      <c r="Q26" s="76" t="str">
        <f t="shared" si="0"/>
        <v>TEXT</v>
      </c>
      <c r="R26" s="76" t="str">
        <f t="shared" si="1"/>
        <v/>
      </c>
      <c r="S26" s="76" t="str">
        <f t="shared" si="5"/>
        <v/>
      </c>
      <c r="T26" s="76" t="str">
        <f t="shared" si="6"/>
        <v>-- 外部参照先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milscm_2023_009.sny_202310_base_merge_mml_pc_external_reference.gaibu_sansyo_saki IS '外部参照先';</v>
      </c>
    </row>
    <row r="27" spans="1:52" s="25" customFormat="1" ht="18" thickBot="1">
      <c r="A27" s="4"/>
      <c r="B27" s="27">
        <f>ROW()-12</f>
        <v>15</v>
      </c>
      <c r="C27" s="57" t="s">
        <v>1428</v>
      </c>
      <c r="D27" s="57" t="s">
        <v>1429</v>
      </c>
      <c r="E27" s="56"/>
      <c r="F27" s="56" t="s">
        <v>865</v>
      </c>
      <c r="G27" s="56" t="str">
        <f t="shared" si="3"/>
        <v>text</v>
      </c>
      <c r="H27" s="59"/>
      <c r="I27" s="60"/>
      <c r="J27" s="64" t="s">
        <v>1436</v>
      </c>
      <c r="N27" s="76"/>
      <c r="O27" s="76"/>
      <c r="P27" s="76" t="str">
        <f t="shared" si="4"/>
        <v>,gaibu_sansyo_naiyo</v>
      </c>
      <c r="Q27" s="76" t="str">
        <f t="shared" si="0"/>
        <v>TEXT</v>
      </c>
      <c r="R27" s="76" t="str">
        <f t="shared" si="1"/>
        <v/>
      </c>
      <c r="S27" s="76" t="str">
        <f t="shared" si="5"/>
        <v/>
      </c>
      <c r="T27" s="76" t="str">
        <f t="shared" si="6"/>
        <v>-- 外部参照内容</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milscm_2023_009.sny_202310_base_merge_mml_pc_external_reference.gaibu_sansyo_naiyo IS '外部参照内容';</v>
      </c>
    </row>
    <row r="28" spans="1:52">
      <c r="L28" s="25"/>
      <c r="M28" s="25"/>
      <c r="N28" s="76" t="s">
        <v>142</v>
      </c>
      <c r="O28" s="76"/>
      <c r="P28" s="76"/>
      <c r="Q28" s="76"/>
      <c r="R28" s="76"/>
      <c r="S28" s="76"/>
      <c r="T28" s="76"/>
      <c r="V28" s="25"/>
      <c r="W28" s="25"/>
      <c r="X28" s="25"/>
      <c r="Y28" s="25"/>
      <c r="Z28" s="25"/>
      <c r="AJ28" s="76"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ENT_31_C4-23</v>
      </c>
      <c r="E6" s="234"/>
      <c r="F6" s="234"/>
      <c r="G6" s="234"/>
      <c r="H6" s="234"/>
      <c r="I6" s="234"/>
      <c r="J6" s="235"/>
    </row>
    <row r="7" spans="1:45">
      <c r="B7" s="223" t="s">
        <v>115</v>
      </c>
      <c r="C7" s="224"/>
      <c r="D7" s="225" t="s">
        <v>3687</v>
      </c>
      <c r="E7" s="226"/>
      <c r="F7" s="226"/>
      <c r="G7" s="226"/>
      <c r="H7" s="226"/>
      <c r="I7" s="226"/>
      <c r="J7" s="227"/>
    </row>
    <row r="8" spans="1:45">
      <c r="B8" s="223" t="s">
        <v>116</v>
      </c>
      <c r="C8" s="224"/>
      <c r="D8" s="225" t="str">
        <f>エンティティ一覧!AE2&amp;"_"&amp;D5&amp;"_merge_mml_sm_summary"</f>
        <v>sny_202310_base_merge_mml_sm_summary</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milscm_2023_009.sny_202310_base_merge_mml_sm_summary;</v>
      </c>
      <c r="O10" s="76"/>
      <c r="P10" s="76"/>
      <c r="Q10" s="76"/>
      <c r="R10" s="76"/>
      <c r="S10" s="76"/>
      <c r="T10" s="76"/>
      <c r="AJ10" s="76" t="str">
        <f>"ALTER TABLE ONLY "&amp;エンティティ一覧!$O$2&amp;"."&amp;D$8</f>
        <v>ALTER TABLE ONLY milscm_2023_009.sny_202310_base_merge_mml_sm_summary</v>
      </c>
      <c r="AS10" s="76" t="str">
        <f>"ALTER TABLE "&amp;エンティティ一覧!$O$2&amp;"."&amp;D$8&amp;" OWNER TO pgmisgrp1;"</f>
        <v>ALTER TABLE milscm_2023_009.sny_202310_base_merge_mml_sm_summary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milscm_2023_009.sny_202310_base_merge_mml_sm_summary</v>
      </c>
      <c r="O11" s="76"/>
      <c r="P11" s="76"/>
      <c r="Q11" s="76"/>
      <c r="R11" s="76"/>
      <c r="S11" s="76"/>
      <c r="T11" s="76"/>
      <c r="AJ11" s="76" t="str">
        <f>"ADD CONSTRAINT "&amp;D$8&amp;"_pkey PRIMARY KEY"</f>
        <v>ADD CONSTRAINT sny_202310_base_merge_mml_sm_summary_pkey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milscm_2023_009.sny_202310_base_merge_mml_sm_summary IS 'ベース_臨床サマリーモジュール_臨床サマリー情報レコード';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3" si="0">UPPER(G13)</f>
        <v>TEXT</v>
      </c>
      <c r="R13" s="76" t="str">
        <f t="shared" ref="R13:R3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milscm_2023_009.sny_202310_base_merge_mml_sm_summary.torikomi_ym IS '取込年月';</v>
      </c>
    </row>
    <row r="14" spans="1:45" s="25" customFormat="1">
      <c r="A14" s="4"/>
      <c r="B14" s="21">
        <f t="shared" ref="B14:B32" si="2">ROW()-12</f>
        <v>2</v>
      </c>
      <c r="C14" s="6" t="s">
        <v>202</v>
      </c>
      <c r="D14" s="6" t="s">
        <v>203</v>
      </c>
      <c r="E14" s="8"/>
      <c r="F14" s="7" t="s">
        <v>204</v>
      </c>
      <c r="G14" s="7" t="str">
        <f t="shared" ref="G14:G33" si="3">IF(F14="フラグ","boolean",IF(F14="文字列","text",IF(F14="整数","integer",IF(F14="実数","numeric",""))))</f>
        <v>integer</v>
      </c>
      <c r="H14" s="26"/>
      <c r="I14" s="10"/>
      <c r="J14" s="11" t="s">
        <v>1286</v>
      </c>
      <c r="M14" s="4"/>
      <c r="N14" s="76"/>
      <c r="O14" s="76"/>
      <c r="P14" s="76" t="str">
        <f t="shared" ref="P14:P3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milscm_2023_009.sny_202310_base_merge_mml_sm_summary.mil_karute_id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3" si="5">IF(I15="○","NOT NULL","")</f>
        <v>NOT NULL</v>
      </c>
      <c r="T15" s="76" t="str">
        <f t="shared" ref="T15:T3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milscm_2023_009.sny_202310_base_merge_mml_sm_summary.facility_id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milscm_2023_009.sny_202310_base_merge_mml_sm_summary.shinryo_ymd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milscm_2023_009.sny_202310_base_merge_mml_sm_summary.data_type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milscm_2023_009.sny_202310_base_merge_mml_sm_summary.master_id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milscm_2023_009.sny_202310_base_merge_mml_sm_summary.uid IS '文書ユニークID';</v>
      </c>
    </row>
    <row r="20" spans="1:45"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milscm_2023_009.sny_202310_base_merge_mml_sm_summary.summary_seq IS '臨床サマリーSEQ';</v>
      </c>
    </row>
    <row r="21" spans="1:45" s="25" customFormat="1" ht="34.799999999999997">
      <c r="A21" s="4"/>
      <c r="B21" s="21">
        <f t="shared" si="2"/>
        <v>9</v>
      </c>
      <c r="C21" s="13" t="s">
        <v>1441</v>
      </c>
      <c r="D21" s="13" t="s">
        <v>1442</v>
      </c>
      <c r="E21" s="7"/>
      <c r="F21" s="7" t="s">
        <v>865</v>
      </c>
      <c r="G21" s="7" t="str">
        <f t="shared" si="3"/>
        <v>text</v>
      </c>
      <c r="H21" s="58"/>
      <c r="I21" s="23"/>
      <c r="J21" s="24" t="s">
        <v>1466</v>
      </c>
      <c r="M21" s="4"/>
      <c r="N21" s="76"/>
      <c r="O21" s="76"/>
      <c r="P21" s="76" t="str">
        <f t="shared" si="4"/>
        <v>,history_start_ymd</v>
      </c>
      <c r="Q21" s="76" t="str">
        <f t="shared" si="0"/>
        <v>TEXT</v>
      </c>
      <c r="R21" s="76" t="str">
        <f t="shared" si="1"/>
        <v/>
      </c>
      <c r="S21" s="76" t="str">
        <f t="shared" si="5"/>
        <v/>
      </c>
      <c r="T21" s="76" t="str">
        <f t="shared" si="6"/>
        <v>-- サマリー対象期間の開始日</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milscm_2023_009.sny_202310_base_merge_mml_sm_summary.history_start_ymd IS 'サマリー対象期間の開始日';</v>
      </c>
    </row>
    <row r="22" spans="1:45" s="25" customFormat="1" ht="34.799999999999997">
      <c r="A22" s="4"/>
      <c r="B22" s="21">
        <f t="shared" si="2"/>
        <v>10</v>
      </c>
      <c r="C22" s="13" t="s">
        <v>1443</v>
      </c>
      <c r="D22" s="13" t="s">
        <v>1444</v>
      </c>
      <c r="E22" s="7"/>
      <c r="F22" s="7" t="s">
        <v>865</v>
      </c>
      <c r="G22" s="7" t="str">
        <f t="shared" si="3"/>
        <v>text</v>
      </c>
      <c r="H22" s="58"/>
      <c r="I22" s="23"/>
      <c r="J22" s="24" t="s">
        <v>1467</v>
      </c>
      <c r="M22" s="4"/>
      <c r="N22" s="76"/>
      <c r="O22" s="76"/>
      <c r="P22" s="76" t="str">
        <f t="shared" si="4"/>
        <v>,history_end_ymd</v>
      </c>
      <c r="Q22" s="76" t="str">
        <f t="shared" si="0"/>
        <v>TEXT</v>
      </c>
      <c r="R22" s="76" t="str">
        <f t="shared" si="1"/>
        <v/>
      </c>
      <c r="S22" s="76" t="str">
        <f t="shared" si="5"/>
        <v/>
      </c>
      <c r="T22" s="76" t="str">
        <f t="shared" si="6"/>
        <v>-- サマリー対象期間の終了日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milscm_2023_009.sny_202310_base_merge_mml_sm_summary.history_end_ymd IS 'サマリー対象期間の終了日';</v>
      </c>
    </row>
    <row r="23" spans="1:45" s="25" customFormat="1">
      <c r="A23" s="4"/>
      <c r="B23" s="21">
        <f t="shared" si="2"/>
        <v>11</v>
      </c>
      <c r="C23" s="13" t="s">
        <v>1445</v>
      </c>
      <c r="D23" s="13" t="s">
        <v>1446</v>
      </c>
      <c r="E23" s="7"/>
      <c r="F23" s="7" t="s">
        <v>865</v>
      </c>
      <c r="G23" s="7" t="str">
        <f t="shared" si="3"/>
        <v>text</v>
      </c>
      <c r="H23" s="58"/>
      <c r="I23" s="23"/>
      <c r="J23" s="24" t="s">
        <v>1468</v>
      </c>
      <c r="M23" s="4"/>
      <c r="N23" s="76"/>
      <c r="O23" s="76"/>
      <c r="P23" s="76" t="str">
        <f t="shared" si="4"/>
        <v>,death_info</v>
      </c>
      <c r="Q23" s="76" t="str">
        <f t="shared" si="0"/>
        <v>TEXT</v>
      </c>
      <c r="R23" s="76" t="str">
        <f t="shared" si="1"/>
        <v/>
      </c>
      <c r="S23" s="76" t="str">
        <f t="shared" si="5"/>
        <v/>
      </c>
      <c r="T23" s="76" t="str">
        <f t="shared" si="6"/>
        <v>-- 死亡関連情報</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milscm_2023_009.sny_202310_base_merge_mml_sm_summary.death_info IS '死亡関連情報';</v>
      </c>
    </row>
    <row r="24" spans="1:45" s="25" customFormat="1" ht="34.799999999999997">
      <c r="A24" s="4"/>
      <c r="B24" s="21">
        <f t="shared" si="2"/>
        <v>12</v>
      </c>
      <c r="C24" s="13" t="s">
        <v>1284</v>
      </c>
      <c r="D24" s="13" t="s">
        <v>1285</v>
      </c>
      <c r="E24" s="7"/>
      <c r="F24" s="7" t="s">
        <v>865</v>
      </c>
      <c r="G24" s="7" t="str">
        <f t="shared" si="3"/>
        <v>text</v>
      </c>
      <c r="H24" s="58"/>
      <c r="I24" s="23"/>
      <c r="J24" s="24" t="s">
        <v>1469</v>
      </c>
      <c r="M24" s="4"/>
      <c r="N24" s="76"/>
      <c r="O24" s="76"/>
      <c r="P24" s="76" t="str">
        <f t="shared" si="4"/>
        <v>,death_date</v>
      </c>
      <c r="Q24" s="76" t="str">
        <f t="shared" si="0"/>
        <v>TEXT</v>
      </c>
      <c r="R24" s="76" t="str">
        <f t="shared" si="1"/>
        <v/>
      </c>
      <c r="S24" s="76" t="str">
        <f t="shared" si="5"/>
        <v/>
      </c>
      <c r="T24" s="76" t="str">
        <f t="shared" si="6"/>
        <v>-- 死亡日時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milscm_2023_009.sny_202310_base_merge_mml_sm_summary.death_date IS '死亡日時';</v>
      </c>
    </row>
    <row r="25" spans="1:45" s="25" customFormat="1" ht="34.799999999999997">
      <c r="A25" s="4"/>
      <c r="B25" s="21">
        <f t="shared" si="2"/>
        <v>13</v>
      </c>
      <c r="C25" s="13" t="s">
        <v>1447</v>
      </c>
      <c r="D25" s="13" t="s">
        <v>1448</v>
      </c>
      <c r="E25" s="7"/>
      <c r="F25" s="7" t="s">
        <v>865</v>
      </c>
      <c r="G25" s="7" t="str">
        <f t="shared" si="3"/>
        <v>text</v>
      </c>
      <c r="H25" s="58"/>
      <c r="I25" s="23"/>
      <c r="J25" s="24" t="s">
        <v>1470</v>
      </c>
      <c r="M25" s="4"/>
      <c r="N25" s="76"/>
      <c r="O25" s="76"/>
      <c r="P25" s="76" t="str">
        <f t="shared" si="4"/>
        <v>,death_autopsy_flag</v>
      </c>
      <c r="Q25" s="76" t="str">
        <f t="shared" si="0"/>
        <v>TEXT</v>
      </c>
      <c r="R25" s="76" t="str">
        <f t="shared" si="1"/>
        <v/>
      </c>
      <c r="S25" s="76" t="str">
        <f t="shared" si="5"/>
        <v/>
      </c>
      <c r="T25" s="76" t="str">
        <f t="shared" si="6"/>
        <v>-- 剖検の有無</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milscm_2023_009.sny_202310_base_merge_mml_sm_summary.death_autopsy_flag IS '剖検の有無';</v>
      </c>
    </row>
    <row r="26" spans="1:45" s="25" customFormat="1" ht="34.799999999999997">
      <c r="A26" s="4"/>
      <c r="B26" s="21">
        <f t="shared" si="2"/>
        <v>14</v>
      </c>
      <c r="C26" s="13" t="s">
        <v>1449</v>
      </c>
      <c r="D26" s="13" t="s">
        <v>1450</v>
      </c>
      <c r="E26" s="7"/>
      <c r="F26" s="7" t="s">
        <v>865</v>
      </c>
      <c r="G26" s="7" t="str">
        <f t="shared" si="3"/>
        <v>text</v>
      </c>
      <c r="H26" s="58"/>
      <c r="I26" s="23"/>
      <c r="J26" s="24" t="s">
        <v>1471</v>
      </c>
      <c r="M26" s="4"/>
      <c r="N26" s="76"/>
      <c r="O26" s="76"/>
      <c r="P26" s="76" t="str">
        <f t="shared" si="4"/>
        <v>,chief_complaints</v>
      </c>
      <c r="Q26" s="76" t="str">
        <f t="shared" si="0"/>
        <v>TEXT</v>
      </c>
      <c r="R26" s="76" t="str">
        <f t="shared" si="1"/>
        <v/>
      </c>
      <c r="S26" s="76" t="str">
        <f t="shared" si="5"/>
        <v/>
      </c>
      <c r="T26" s="76" t="str">
        <f t="shared" si="6"/>
        <v>-- 主訴</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milscm_2023_009.sny_202310_base_merge_mml_sm_summary.chief_complaints IS '主訴';</v>
      </c>
    </row>
    <row r="27" spans="1:45" s="25" customFormat="1" ht="34.799999999999997">
      <c r="A27" s="4"/>
      <c r="B27" s="21">
        <f t="shared" si="2"/>
        <v>15</v>
      </c>
      <c r="C27" s="13" t="s">
        <v>1451</v>
      </c>
      <c r="D27" s="13" t="s">
        <v>1452</v>
      </c>
      <c r="E27" s="7"/>
      <c r="F27" s="7" t="s">
        <v>865</v>
      </c>
      <c r="G27" s="7" t="str">
        <f t="shared" si="3"/>
        <v>text</v>
      </c>
      <c r="H27" s="58"/>
      <c r="I27" s="23"/>
      <c r="J27" s="24" t="s">
        <v>1472</v>
      </c>
      <c r="M27" s="4"/>
      <c r="N27" s="76"/>
      <c r="O27" s="76"/>
      <c r="P27" s="76" t="str">
        <f t="shared" si="4"/>
        <v>,patient_profile</v>
      </c>
      <c r="Q27" s="76" t="str">
        <f t="shared" si="0"/>
        <v>TEXT</v>
      </c>
      <c r="R27" s="76" t="str">
        <f t="shared" si="1"/>
        <v/>
      </c>
      <c r="S27" s="76" t="str">
        <f t="shared" si="5"/>
        <v/>
      </c>
      <c r="T27" s="76" t="str">
        <f t="shared" si="6"/>
        <v>-- 患者プロフィール</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milscm_2023_009.sny_202310_base_merge_mml_sm_summary.patient_profile IS '患者プロフィール';</v>
      </c>
    </row>
    <row r="28" spans="1:45" s="25" customFormat="1" ht="34.799999999999997">
      <c r="A28" s="4"/>
      <c r="B28" s="21">
        <f t="shared" si="2"/>
        <v>16</v>
      </c>
      <c r="C28" s="13" t="s">
        <v>1453</v>
      </c>
      <c r="D28" s="13" t="s">
        <v>1454</v>
      </c>
      <c r="E28" s="7"/>
      <c r="F28" s="7" t="s">
        <v>865</v>
      </c>
      <c r="G28" s="7" t="str">
        <f t="shared" si="3"/>
        <v>text</v>
      </c>
      <c r="H28" s="58"/>
      <c r="I28" s="23"/>
      <c r="J28" s="24" t="s">
        <v>1473</v>
      </c>
      <c r="M28" s="4"/>
      <c r="N28" s="76"/>
      <c r="O28" s="76"/>
      <c r="P28" s="76" t="str">
        <f t="shared" si="4"/>
        <v>,nyuin_history</v>
      </c>
      <c r="Q28" s="76" t="str">
        <f t="shared" si="0"/>
        <v>TEXT</v>
      </c>
      <c r="R28" s="76" t="str">
        <f t="shared" si="1"/>
        <v/>
      </c>
      <c r="S28" s="76" t="str">
        <f t="shared" si="5"/>
        <v/>
      </c>
      <c r="T28" s="76" t="str">
        <f t="shared" si="6"/>
        <v>-- 入院までの経過</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milscm_2023_009.sny_202310_base_merge_mml_sm_summary.nyuin_history IS '入院までの経過';</v>
      </c>
    </row>
    <row r="29" spans="1:45" s="25" customFormat="1" ht="34.799999999999997">
      <c r="A29" s="4"/>
      <c r="B29" s="21">
        <f t="shared" si="2"/>
        <v>17</v>
      </c>
      <c r="C29" s="13" t="s">
        <v>1455</v>
      </c>
      <c r="D29" s="13" t="s">
        <v>1456</v>
      </c>
      <c r="E29" s="7"/>
      <c r="F29" s="7" t="s">
        <v>865</v>
      </c>
      <c r="G29" s="7" t="str">
        <f t="shared" si="3"/>
        <v>text</v>
      </c>
      <c r="H29" s="58"/>
      <c r="I29" s="23"/>
      <c r="J29" s="24" t="s">
        <v>1474</v>
      </c>
      <c r="M29" s="4"/>
      <c r="N29" s="76"/>
      <c r="O29" s="76"/>
      <c r="P29" s="76" t="str">
        <f t="shared" si="4"/>
        <v>,nyuin_physical_exam</v>
      </c>
      <c r="Q29" s="76" t="str">
        <f t="shared" si="0"/>
        <v>TEXT</v>
      </c>
      <c r="R29" s="76" t="str">
        <f t="shared" si="1"/>
        <v/>
      </c>
      <c r="S29" s="76" t="str">
        <f t="shared" si="5"/>
        <v/>
      </c>
      <c r="T29" s="76" t="str">
        <f t="shared" si="6"/>
        <v>-- 入院時理学所見</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milscm_2023_009.sny_202310_base_merge_mml_sm_summary.nyuin_physical_exam IS '入院時理学所見';</v>
      </c>
    </row>
    <row r="30" spans="1:45" s="25" customFormat="1" ht="34.799999999999997">
      <c r="A30" s="4"/>
      <c r="B30" s="21">
        <f t="shared" si="2"/>
        <v>18</v>
      </c>
      <c r="C30" s="13" t="s">
        <v>1457</v>
      </c>
      <c r="D30" s="13" t="s">
        <v>1458</v>
      </c>
      <c r="E30" s="7"/>
      <c r="F30" s="7" t="s">
        <v>865</v>
      </c>
      <c r="G30" s="7" t="str">
        <f t="shared" si="3"/>
        <v>text</v>
      </c>
      <c r="H30" s="58"/>
      <c r="I30" s="23"/>
      <c r="J30" s="24" t="s">
        <v>1475</v>
      </c>
      <c r="M30" s="4"/>
      <c r="N30" s="76"/>
      <c r="O30" s="76"/>
      <c r="P30" s="76" t="str">
        <f t="shared" si="4"/>
        <v>,taiin_findings</v>
      </c>
      <c r="Q30" s="76" t="str">
        <f t="shared" si="0"/>
        <v>TEXT</v>
      </c>
      <c r="R30" s="76" t="str">
        <f t="shared" si="1"/>
        <v/>
      </c>
      <c r="S30" s="76" t="str">
        <f t="shared" si="5"/>
        <v/>
      </c>
      <c r="T30" s="76" t="str">
        <f t="shared" si="6"/>
        <v>-- 退院時所見</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milscm_2023_009.sny_202310_base_merge_mml_sm_summary.taiin_findings IS '退院時所見';</v>
      </c>
    </row>
    <row r="31" spans="1:45" s="25" customFormat="1" ht="34.799999999999997">
      <c r="A31" s="4"/>
      <c r="B31" s="21">
        <f t="shared" si="2"/>
        <v>19</v>
      </c>
      <c r="C31" s="13" t="s">
        <v>1459</v>
      </c>
      <c r="D31" s="13" t="s">
        <v>1460</v>
      </c>
      <c r="E31" s="7"/>
      <c r="F31" s="7" t="s">
        <v>865</v>
      </c>
      <c r="G31" s="7" t="str">
        <f t="shared" si="3"/>
        <v>text</v>
      </c>
      <c r="H31" s="58"/>
      <c r="I31" s="23"/>
      <c r="J31" s="24" t="s">
        <v>1476</v>
      </c>
      <c r="M31" s="4"/>
      <c r="N31" s="76"/>
      <c r="O31" s="76"/>
      <c r="P31" s="76" t="str">
        <f t="shared" si="4"/>
        <v>,taiin_medication</v>
      </c>
      <c r="Q31" s="76" t="str">
        <f t="shared" si="0"/>
        <v>TEXT</v>
      </c>
      <c r="R31" s="76" t="str">
        <f t="shared" si="1"/>
        <v/>
      </c>
      <c r="S31" s="76" t="str">
        <f t="shared" si="5"/>
        <v/>
      </c>
      <c r="T31" s="76" t="str">
        <f t="shared" si="6"/>
        <v>-- 退院時処方</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milscm_2023_009.sny_202310_base_merge_mml_sm_summary.taiin_medication IS '退院時処方';</v>
      </c>
    </row>
    <row r="32" spans="1:45" s="25" customFormat="1" ht="34.799999999999997">
      <c r="A32" s="4"/>
      <c r="B32" s="21">
        <f t="shared" si="2"/>
        <v>20</v>
      </c>
      <c r="C32" s="13" t="s">
        <v>1461</v>
      </c>
      <c r="D32" s="13" t="s">
        <v>1462</v>
      </c>
      <c r="E32" s="7"/>
      <c r="F32" s="7" t="s">
        <v>865</v>
      </c>
      <c r="G32" s="7" t="str">
        <f t="shared" si="3"/>
        <v>text</v>
      </c>
      <c r="H32" s="58"/>
      <c r="I32" s="23"/>
      <c r="J32" s="24" t="s">
        <v>1477</v>
      </c>
      <c r="M32" s="4"/>
      <c r="N32" s="76"/>
      <c r="O32" s="76"/>
      <c r="P32" s="76" t="str">
        <f t="shared" si="4"/>
        <v>,taiin_chiryo_plan</v>
      </c>
      <c r="Q32" s="76" t="str">
        <f t="shared" si="0"/>
        <v>TEXT</v>
      </c>
      <c r="R32" s="76" t="str">
        <f t="shared" si="1"/>
        <v/>
      </c>
      <c r="S32" s="76" t="str">
        <f t="shared" si="5"/>
        <v/>
      </c>
      <c r="T32" s="76" t="str">
        <f t="shared" si="6"/>
        <v>-- 退院後治療方針</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milscm_2023_009.sny_202310_base_merge_mml_sm_summary.taiin_chiryo_plan IS '退院後治療方針';</v>
      </c>
    </row>
    <row r="33" spans="1:52" s="25" customFormat="1" ht="35.4" thickBot="1">
      <c r="A33" s="4"/>
      <c r="B33" s="27">
        <f>ROW()-12</f>
        <v>21</v>
      </c>
      <c r="C33" s="57" t="s">
        <v>1463</v>
      </c>
      <c r="D33" s="57" t="s">
        <v>1464</v>
      </c>
      <c r="E33" s="56"/>
      <c r="F33" s="56" t="s">
        <v>865</v>
      </c>
      <c r="G33" s="56" t="str">
        <f t="shared" si="3"/>
        <v>text</v>
      </c>
      <c r="H33" s="59"/>
      <c r="I33" s="60"/>
      <c r="J33" s="64" t="s">
        <v>1478</v>
      </c>
      <c r="N33" s="76"/>
      <c r="O33" s="76"/>
      <c r="P33" s="76" t="str">
        <f t="shared" si="4"/>
        <v>,patient_ryui_code</v>
      </c>
      <c r="Q33" s="76" t="str">
        <f t="shared" si="0"/>
        <v>TEXT</v>
      </c>
      <c r="R33" s="76" t="str">
        <f t="shared" si="1"/>
        <v/>
      </c>
      <c r="S33" s="76" t="str">
        <f t="shared" si="5"/>
        <v/>
      </c>
      <c r="T33" s="76" t="str">
        <f t="shared" si="6"/>
        <v>-- 患者に関する留意事項</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milscm_2023_009.sny_202310_base_merge_mml_sm_summary.patient_ryui_code IS '患者に関する留意事項';</v>
      </c>
    </row>
    <row r="34" spans="1:52">
      <c r="L34" s="25"/>
      <c r="M34" s="25"/>
      <c r="N34" s="76" t="s">
        <v>142</v>
      </c>
      <c r="O34" s="76"/>
      <c r="P34" s="76"/>
      <c r="Q34" s="76"/>
      <c r="R34" s="76"/>
      <c r="S34" s="76"/>
      <c r="T34" s="76"/>
      <c r="V34" s="25"/>
      <c r="W34" s="25"/>
      <c r="X34" s="25"/>
      <c r="Y34" s="25"/>
      <c r="Z34" s="25"/>
      <c r="AJ34" s="76"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ENT_31_C4-24</v>
      </c>
      <c r="E6" s="234"/>
      <c r="F6" s="234"/>
      <c r="G6" s="234"/>
      <c r="H6" s="234"/>
      <c r="I6" s="234"/>
      <c r="J6" s="235"/>
    </row>
    <row r="7" spans="1:45">
      <c r="B7" s="223" t="s">
        <v>115</v>
      </c>
      <c r="C7" s="224"/>
      <c r="D7" s="225" t="s">
        <v>3688</v>
      </c>
      <c r="E7" s="226"/>
      <c r="F7" s="226"/>
      <c r="G7" s="226"/>
      <c r="H7" s="226"/>
      <c r="I7" s="226"/>
      <c r="J7" s="227"/>
    </row>
    <row r="8" spans="1:45">
      <c r="B8" s="223" t="s">
        <v>116</v>
      </c>
      <c r="C8" s="224"/>
      <c r="D8" s="225" t="str">
        <f>エンティティ一覧!AE2&amp;"_"&amp;D5&amp;"_merge_mml_sm_out_patient"</f>
        <v>sny_202310_base_merge_mml_sm_out_patient</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milscm_2023_009.sny_202310_base_merge_mml_sm_out_patient;</v>
      </c>
      <c r="O10" s="76"/>
      <c r="P10" s="76"/>
      <c r="Q10" s="76"/>
      <c r="R10" s="76"/>
      <c r="S10" s="76"/>
      <c r="T10" s="76"/>
      <c r="AJ10" s="76" t="str">
        <f>"ALTER TABLE ONLY "&amp;エンティティ一覧!$O$2&amp;"."&amp;D$8</f>
        <v>ALTER TABLE ONLY milscm_2023_009.sny_202310_base_merge_mml_sm_out_patient</v>
      </c>
      <c r="AS10" s="76" t="str">
        <f>"ALTER TABLE "&amp;エンティティ一覧!$O$2&amp;"."&amp;D$8&amp;" OWNER TO pgmisgrp1;"</f>
        <v>ALTER TABLE milscm_2023_009.sny_202310_base_merge_mml_sm_out_patient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milscm_2023_009.sny_202310_base_merge_mml_sm_out_patient</v>
      </c>
      <c r="O11" s="76"/>
      <c r="P11" s="76"/>
      <c r="Q11" s="76"/>
      <c r="R11" s="76"/>
      <c r="S11" s="76"/>
      <c r="T11" s="76"/>
      <c r="AJ11" s="76" t="str">
        <f>"ADD CONSTRAINT "&amp;D$8&amp;"_pkey PRIMARY KEY"</f>
        <v>ADD CONSTRAINT sny_202310_base_merge_mml_sm_out_patient_pkey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milscm_2023_009.sny_202310_base_merge_mml_sm_out_patient IS 'ベース_臨床サマリーモジュール_外来受診レコード';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milscm_2023_009.sny_202310_base_merge_mml_sm_out_patient.torikomi_ym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milscm_2023_009.sny_202310_base_merge_mml_sm_out_patient.mil_karute_id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milscm_2023_009.sny_202310_base_merge_mml_sm_out_patient.facility_id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milscm_2023_009.sny_202310_base_merge_mml_sm_out_patient.shinryo_ymd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milscm_2023_009.sny_202310_base_merge_mml_sm_out_patient.data_type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milscm_2023_009.sny_202310_base_merge_mml_sm_out_patient.master_id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milscm_2023_009.sny_202310_base_merge_mml_sm_out_patient.uid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milscm_2023_009.sny_202310_base_merge_mml_sm_out_patient.summary_seq IS '臨床サマリーSEQ';</v>
      </c>
    </row>
    <row r="21" spans="1:52" s="25" customFormat="1">
      <c r="A21" s="4"/>
      <c r="B21" s="21">
        <f t="shared" si="2"/>
        <v>9</v>
      </c>
      <c r="C21" s="13" t="s">
        <v>1481</v>
      </c>
      <c r="D21" s="13" t="s">
        <v>1482</v>
      </c>
      <c r="E21" s="7" t="s">
        <v>127</v>
      </c>
      <c r="F21" s="7" t="s">
        <v>204</v>
      </c>
      <c r="G21" s="7" t="str">
        <f t="shared" si="3"/>
        <v>integer</v>
      </c>
      <c r="H21" s="58"/>
      <c r="I21" s="23" t="s">
        <v>127</v>
      </c>
      <c r="J21" s="24" t="s">
        <v>1491</v>
      </c>
      <c r="M21" s="4"/>
      <c r="N21" s="76"/>
      <c r="O21" s="76"/>
      <c r="P21" s="76" t="str">
        <f t="shared" si="4"/>
        <v>,gairai_seq</v>
      </c>
      <c r="Q21" s="76" t="str">
        <f t="shared" si="0"/>
        <v>INTEGER</v>
      </c>
      <c r="R21" s="76" t="str">
        <f t="shared" si="1"/>
        <v/>
      </c>
      <c r="S21" s="76" t="str">
        <f t="shared" si="5"/>
        <v>NOT NULL</v>
      </c>
      <c r="T21" s="76" t="str">
        <f t="shared" si="6"/>
        <v>-- 個々の外来受診歴SEQ</v>
      </c>
      <c r="U21" s="4"/>
      <c r="AA21" s="4"/>
      <c r="AB21" s="4"/>
      <c r="AC21" s="4"/>
      <c r="AD21" s="4"/>
      <c r="AE21" s="4"/>
      <c r="AF21" s="4"/>
      <c r="AG21" s="4"/>
      <c r="AH21" s="4"/>
      <c r="AI21" s="4"/>
      <c r="AJ21" s="76" t="str">
        <f>IF(E21="○",IF(COUNTA(E$13:E21)=1,"",",")&amp;D21,"")</f>
        <v>,gairai_seq</v>
      </c>
      <c r="AK21" s="4"/>
      <c r="AL21" s="4"/>
      <c r="AM21" s="4"/>
      <c r="AN21" s="4"/>
      <c r="AO21" s="4"/>
      <c r="AP21" s="4"/>
      <c r="AQ21" s="4"/>
      <c r="AR21" s="4"/>
      <c r="AS21" s="76" t="str">
        <f>"COMMENT ON COLUMN "&amp;エンティティ一覧!$O$2&amp;"."&amp;D$8&amp;"."&amp;D21&amp;" IS '"&amp;C21&amp;"';"</f>
        <v>COMMENT ON COLUMN milscm_2023_009.sny_202310_base_merge_mml_sm_out_patient.gairai_seq IS '個々の外来受診歴SEQ';</v>
      </c>
    </row>
    <row r="22" spans="1:52" s="25" customFormat="1" ht="34.799999999999997">
      <c r="A22" s="4"/>
      <c r="B22" s="21">
        <f t="shared" si="2"/>
        <v>10</v>
      </c>
      <c r="C22" s="13" t="s">
        <v>1483</v>
      </c>
      <c r="D22" s="13" t="s">
        <v>1484</v>
      </c>
      <c r="E22" s="7"/>
      <c r="F22" s="7" t="s">
        <v>865</v>
      </c>
      <c r="G22" s="7" t="str">
        <f t="shared" si="3"/>
        <v>text</v>
      </c>
      <c r="H22" s="58"/>
      <c r="I22" s="23"/>
      <c r="J22" s="24" t="s">
        <v>1492</v>
      </c>
      <c r="M22" s="4"/>
      <c r="N22" s="76"/>
      <c r="O22" s="76"/>
      <c r="P22" s="76" t="str">
        <f t="shared" si="4"/>
        <v>,gairai_ymd</v>
      </c>
      <c r="Q22" s="76" t="str">
        <f t="shared" si="0"/>
        <v>TEXT</v>
      </c>
      <c r="R22" s="76" t="str">
        <f t="shared" si="1"/>
        <v/>
      </c>
      <c r="S22" s="76" t="str">
        <f t="shared" si="5"/>
        <v/>
      </c>
      <c r="T22" s="76" t="str">
        <f t="shared" si="6"/>
        <v>-- 外来受診年月日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milscm_2023_009.sny_202310_base_merge_mml_sm_out_patient.gairai_ymd IS '外来受診年月日';</v>
      </c>
    </row>
    <row r="23" spans="1:52" s="25" customFormat="1">
      <c r="A23" s="4"/>
      <c r="B23" s="21">
        <f t="shared" si="2"/>
        <v>11</v>
      </c>
      <c r="C23" s="13" t="s">
        <v>1485</v>
      </c>
      <c r="D23" s="13" t="s">
        <v>1486</v>
      </c>
      <c r="E23" s="7"/>
      <c r="F23" s="7" t="s">
        <v>865</v>
      </c>
      <c r="G23" s="7" t="str">
        <f t="shared" si="3"/>
        <v>text</v>
      </c>
      <c r="H23" s="58"/>
      <c r="I23" s="23"/>
      <c r="J23" s="24" t="s">
        <v>1493</v>
      </c>
      <c r="M23" s="4"/>
      <c r="N23" s="76"/>
      <c r="O23" s="76"/>
      <c r="P23" s="76" t="str">
        <f t="shared" si="4"/>
        <v>,gairai_state</v>
      </c>
      <c r="Q23" s="76" t="str">
        <f t="shared" si="0"/>
        <v>TEXT</v>
      </c>
      <c r="R23" s="76" t="str">
        <f t="shared" si="1"/>
        <v/>
      </c>
      <c r="S23" s="76" t="str">
        <f t="shared" si="5"/>
        <v/>
      </c>
      <c r="T23" s="76" t="str">
        <f t="shared" si="6"/>
        <v>-- 外来受診状態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milscm_2023_009.sny_202310_base_merge_mml_sm_out_patient.gairai_state IS '外来受診状態';</v>
      </c>
    </row>
    <row r="24" spans="1:52" s="25" customFormat="1" ht="52.2">
      <c r="A24" s="4"/>
      <c r="B24" s="21">
        <f t="shared" si="2"/>
        <v>12</v>
      </c>
      <c r="C24" s="13" t="s">
        <v>1487</v>
      </c>
      <c r="D24" s="13" t="s">
        <v>1488</v>
      </c>
      <c r="E24" s="7"/>
      <c r="F24" s="7" t="s">
        <v>865</v>
      </c>
      <c r="G24" s="7" t="str">
        <f t="shared" si="3"/>
        <v>text</v>
      </c>
      <c r="H24" s="58"/>
      <c r="I24" s="23"/>
      <c r="J24" s="24" t="s">
        <v>1494</v>
      </c>
      <c r="M24" s="4"/>
      <c r="N24" s="76"/>
      <c r="O24" s="76"/>
      <c r="P24" s="76" t="str">
        <f t="shared" si="4"/>
        <v>,first_flag</v>
      </c>
      <c r="Q24" s="76" t="str">
        <f t="shared" si="0"/>
        <v>TEXT</v>
      </c>
      <c r="R24" s="76" t="str">
        <f t="shared" si="1"/>
        <v/>
      </c>
      <c r="S24" s="76" t="str">
        <f t="shared" si="5"/>
        <v/>
      </c>
      <c r="T24" s="76" t="str">
        <f t="shared" si="6"/>
        <v>-- 初診フラグ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milscm_2023_009.sny_202310_base_merge_mml_sm_out_patient.first_flag IS '初診フラグ';</v>
      </c>
    </row>
    <row r="25" spans="1:52" s="25" customFormat="1" ht="52.8" thickBot="1">
      <c r="A25" s="4"/>
      <c r="B25" s="27">
        <f>ROW()-12</f>
        <v>13</v>
      </c>
      <c r="C25" s="57" t="s">
        <v>1489</v>
      </c>
      <c r="D25" s="57" t="s">
        <v>1490</v>
      </c>
      <c r="E25" s="56"/>
      <c r="F25" s="56" t="s">
        <v>865</v>
      </c>
      <c r="G25" s="56" t="str">
        <f t="shared" si="3"/>
        <v>text</v>
      </c>
      <c r="H25" s="59"/>
      <c r="I25" s="60"/>
      <c r="J25" s="64" t="s">
        <v>1495</v>
      </c>
      <c r="N25" s="76"/>
      <c r="O25" s="76"/>
      <c r="P25" s="76" t="str">
        <f t="shared" si="4"/>
        <v>,emergency_flag</v>
      </c>
      <c r="Q25" s="76" t="str">
        <f t="shared" si="0"/>
        <v>TEXT</v>
      </c>
      <c r="R25" s="76" t="str">
        <f t="shared" si="1"/>
        <v/>
      </c>
      <c r="S25" s="76" t="str">
        <f t="shared" si="5"/>
        <v/>
      </c>
      <c r="T25" s="76" t="str">
        <f t="shared" si="6"/>
        <v>-- 救急受診フラグ</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milscm_2023_009.sny_202310_base_merge_mml_sm_out_patient.emergency_flag IS '救急受診フラグ';</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ENT_31_C4-25</v>
      </c>
      <c r="E6" s="234"/>
      <c r="F6" s="234"/>
      <c r="G6" s="234"/>
      <c r="H6" s="234"/>
      <c r="I6" s="234"/>
      <c r="J6" s="235"/>
    </row>
    <row r="7" spans="1:45">
      <c r="B7" s="223" t="s">
        <v>115</v>
      </c>
      <c r="C7" s="224"/>
      <c r="D7" s="225" t="s">
        <v>3689</v>
      </c>
      <c r="E7" s="226"/>
      <c r="F7" s="226"/>
      <c r="G7" s="226"/>
      <c r="H7" s="226"/>
      <c r="I7" s="226"/>
      <c r="J7" s="227"/>
    </row>
    <row r="8" spans="1:45">
      <c r="B8" s="223" t="s">
        <v>116</v>
      </c>
      <c r="C8" s="224"/>
      <c r="D8" s="225" t="str">
        <f>エンティティ一覧!AE2&amp;"_"&amp;D5&amp;"_merge_mml_sm_in_patient"</f>
        <v>sny_202310_base_merge_mml_sm_in_patient</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milscm_2023_009.sny_202310_base_merge_mml_sm_in_patient;</v>
      </c>
      <c r="O10" s="76"/>
      <c r="P10" s="76"/>
      <c r="Q10" s="76"/>
      <c r="R10" s="76"/>
      <c r="S10" s="76"/>
      <c r="T10" s="76"/>
      <c r="AJ10" s="76" t="str">
        <f>"ALTER TABLE ONLY "&amp;エンティティ一覧!$O$2&amp;"."&amp;D$8</f>
        <v>ALTER TABLE ONLY milscm_2023_009.sny_202310_base_merge_mml_sm_in_patient</v>
      </c>
      <c r="AS10" s="76" t="str">
        <f>"ALTER TABLE "&amp;エンティティ一覧!$O$2&amp;"."&amp;D$8&amp;" OWNER TO pgmisgrp1;"</f>
        <v>ALTER TABLE milscm_2023_009.sny_202310_base_merge_mml_sm_in_patient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milscm_2023_009.sny_202310_base_merge_mml_sm_in_patient</v>
      </c>
      <c r="O11" s="76"/>
      <c r="P11" s="76"/>
      <c r="Q11" s="76"/>
      <c r="R11" s="76"/>
      <c r="S11" s="76"/>
      <c r="T11" s="76"/>
      <c r="AJ11" s="76" t="str">
        <f>"ADD CONSTRAINT "&amp;D$8&amp;"_pkey PRIMARY KEY"</f>
        <v>ADD CONSTRAINT sny_202310_base_merge_mml_sm_in_patient_pkey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milscm_2023_009.sny_202310_base_merge_mml_sm_in_patient IS 'ベース_臨床サマリーモジュール_入院レコード';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9" si="0">UPPER(G13)</f>
        <v>TEXT</v>
      </c>
      <c r="R13" s="76" t="str">
        <f t="shared" ref="R13:R29"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milscm_2023_009.sny_202310_base_merge_mml_sm_in_patient.torikomi_ym IS '取込年月';</v>
      </c>
    </row>
    <row r="14" spans="1:45" s="25" customFormat="1">
      <c r="A14" s="4"/>
      <c r="B14" s="21">
        <f t="shared" ref="B14:B28" si="2">ROW()-12</f>
        <v>2</v>
      </c>
      <c r="C14" s="6" t="s">
        <v>202</v>
      </c>
      <c r="D14" s="6" t="s">
        <v>203</v>
      </c>
      <c r="E14" s="8"/>
      <c r="F14" s="7" t="s">
        <v>204</v>
      </c>
      <c r="G14" s="7" t="str">
        <f t="shared" ref="G14:G29" si="3">IF(F14="フラグ","boolean",IF(F14="文字列","text",IF(F14="整数","integer",IF(F14="実数","numeric",""))))</f>
        <v>integer</v>
      </c>
      <c r="H14" s="26"/>
      <c r="I14" s="10"/>
      <c r="J14" s="11" t="s">
        <v>1286</v>
      </c>
      <c r="M14" s="4"/>
      <c r="N14" s="76"/>
      <c r="O14" s="76"/>
      <c r="P14" s="76" t="str">
        <f t="shared" ref="P14:P29"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milscm_2023_009.sny_202310_base_merge_mml_sm_in_patient.mil_karute_id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9" si="5">IF(I15="○","NOT NULL","")</f>
        <v>NOT NULL</v>
      </c>
      <c r="T15" s="76" t="str">
        <f t="shared" ref="T15:T29"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milscm_2023_009.sny_202310_base_merge_mml_sm_in_patient.facility_id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milscm_2023_009.sny_202310_base_merge_mml_sm_in_patient.shinryo_ymd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milscm_2023_009.sny_202310_base_merge_mml_sm_in_patient.data_type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milscm_2023_009.sny_202310_base_merge_mml_sm_in_patient.master_id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milscm_2023_009.sny_202310_base_merge_mml_sm_in_patient.uid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milscm_2023_009.sny_202310_base_merge_mml_sm_in_patient.summary_seq IS '臨床サマリーSEQ';</v>
      </c>
    </row>
    <row r="21" spans="1:52" s="25" customFormat="1">
      <c r="A21" s="4"/>
      <c r="B21" s="21">
        <f t="shared" si="2"/>
        <v>9</v>
      </c>
      <c r="C21" s="13" t="s">
        <v>1498</v>
      </c>
      <c r="D21" s="13" t="s">
        <v>1499</v>
      </c>
      <c r="E21" s="7" t="s">
        <v>127</v>
      </c>
      <c r="F21" s="7" t="s">
        <v>204</v>
      </c>
      <c r="G21" s="7" t="str">
        <f t="shared" si="3"/>
        <v>integer</v>
      </c>
      <c r="H21" s="58"/>
      <c r="I21" s="23" t="s">
        <v>127</v>
      </c>
      <c r="J21" s="24" t="s">
        <v>1513</v>
      </c>
      <c r="M21" s="4"/>
      <c r="N21" s="76"/>
      <c r="O21" s="76"/>
      <c r="P21" s="76" t="str">
        <f t="shared" si="4"/>
        <v>,nyuin_seq</v>
      </c>
      <c r="Q21" s="76" t="str">
        <f t="shared" si="0"/>
        <v>INTEGER</v>
      </c>
      <c r="R21" s="76" t="str">
        <f t="shared" si="1"/>
        <v/>
      </c>
      <c r="S21" s="76" t="str">
        <f t="shared" si="5"/>
        <v>NOT NULL</v>
      </c>
      <c r="T21" s="76" t="str">
        <f t="shared" si="6"/>
        <v>-- 個々の入院歴SEQ</v>
      </c>
      <c r="U21" s="4"/>
      <c r="AA21" s="4"/>
      <c r="AB21" s="4"/>
      <c r="AC21" s="4"/>
      <c r="AD21" s="4"/>
      <c r="AE21" s="4"/>
      <c r="AF21" s="4"/>
      <c r="AG21" s="4"/>
      <c r="AH21" s="4"/>
      <c r="AI21" s="4"/>
      <c r="AJ21" s="76" t="str">
        <f>IF(E21="○",IF(COUNTA(E$13:E21)=1,"",",")&amp;D21,"")</f>
        <v>,nyuin_seq</v>
      </c>
      <c r="AK21" s="4"/>
      <c r="AL21" s="4"/>
      <c r="AM21" s="4"/>
      <c r="AN21" s="4"/>
      <c r="AO21" s="4"/>
      <c r="AP21" s="4"/>
      <c r="AQ21" s="4"/>
      <c r="AR21" s="4"/>
      <c r="AS21" s="76" t="str">
        <f>"COMMENT ON COLUMN "&amp;エンティティ一覧!$O$2&amp;"."&amp;D$8&amp;"."&amp;D21&amp;" IS '"&amp;C21&amp;"';"</f>
        <v>COMMENT ON COLUMN milscm_2023_009.sny_202310_base_merge_mml_sm_in_patient.nyuin_seq IS '個々の入院歴SEQ';</v>
      </c>
    </row>
    <row r="22" spans="1:52" s="25" customFormat="1" ht="34.799999999999997">
      <c r="A22" s="4"/>
      <c r="B22" s="21">
        <f t="shared" si="2"/>
        <v>10</v>
      </c>
      <c r="C22" s="13" t="s">
        <v>1500</v>
      </c>
      <c r="D22" s="13" t="s">
        <v>156</v>
      </c>
      <c r="E22" s="7"/>
      <c r="F22" s="7" t="s">
        <v>865</v>
      </c>
      <c r="G22" s="7" t="str">
        <f t="shared" si="3"/>
        <v>text</v>
      </c>
      <c r="H22" s="58"/>
      <c r="I22" s="23"/>
      <c r="J22" s="24" t="s">
        <v>1514</v>
      </c>
      <c r="M22" s="4"/>
      <c r="N22" s="76"/>
      <c r="O22" s="76"/>
      <c r="P22" s="76" t="str">
        <f t="shared" si="4"/>
        <v>,nyuin_ymd</v>
      </c>
      <c r="Q22" s="76" t="str">
        <f t="shared" si="0"/>
        <v>TEXT</v>
      </c>
      <c r="R22" s="76" t="str">
        <f t="shared" si="1"/>
        <v/>
      </c>
      <c r="S22" s="76" t="str">
        <f t="shared" si="5"/>
        <v/>
      </c>
      <c r="T22" s="76" t="str">
        <f t="shared" si="6"/>
        <v>-- 入院（転入）日</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milscm_2023_009.sny_202310_base_merge_mml_sm_in_patient.nyuin_ymd IS '入院（転入）日';</v>
      </c>
    </row>
    <row r="23" spans="1:52" s="25" customFormat="1" ht="34.799999999999997">
      <c r="A23" s="4"/>
      <c r="B23" s="21">
        <f t="shared" si="2"/>
        <v>11</v>
      </c>
      <c r="C23" s="13" t="s">
        <v>1501</v>
      </c>
      <c r="D23" s="13" t="s">
        <v>1502</v>
      </c>
      <c r="E23" s="7"/>
      <c r="F23" s="7" t="s">
        <v>865</v>
      </c>
      <c r="G23" s="7" t="str">
        <f t="shared" si="3"/>
        <v>text</v>
      </c>
      <c r="H23" s="58"/>
      <c r="I23" s="23"/>
      <c r="J23" s="24" t="s">
        <v>1515</v>
      </c>
      <c r="M23" s="4"/>
      <c r="N23" s="76"/>
      <c r="O23" s="76"/>
      <c r="P23" s="76" t="str">
        <f t="shared" si="4"/>
        <v>,nyuin_state</v>
      </c>
      <c r="Q23" s="76" t="str">
        <f t="shared" si="0"/>
        <v>TEXT</v>
      </c>
      <c r="R23" s="76" t="str">
        <f t="shared" si="1"/>
        <v/>
      </c>
      <c r="S23" s="76" t="str">
        <f t="shared" si="5"/>
        <v/>
      </c>
      <c r="T23" s="76" t="str">
        <f t="shared" si="6"/>
        <v>-- 入院時状態</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milscm_2023_009.sny_202310_base_merge_mml_sm_in_patient.nyuin_state IS '入院時状態';</v>
      </c>
    </row>
    <row r="24" spans="1:52" s="25" customFormat="1" ht="52.2">
      <c r="A24" s="4"/>
      <c r="B24" s="21">
        <f t="shared" si="2"/>
        <v>12</v>
      </c>
      <c r="C24" s="13" t="s">
        <v>1503</v>
      </c>
      <c r="D24" s="13" t="s">
        <v>1504</v>
      </c>
      <c r="E24" s="7"/>
      <c r="F24" s="7" t="s">
        <v>865</v>
      </c>
      <c r="G24" s="7" t="str">
        <f t="shared" si="3"/>
        <v>text</v>
      </c>
      <c r="H24" s="58"/>
      <c r="I24" s="23"/>
      <c r="J24" s="24" t="s">
        <v>1516</v>
      </c>
      <c r="M24" s="4"/>
      <c r="N24" s="76"/>
      <c r="O24" s="76"/>
      <c r="P24" s="76" t="str">
        <f t="shared" si="4"/>
        <v>,emergency_nyuin_flag</v>
      </c>
      <c r="Q24" s="76" t="str">
        <f t="shared" si="0"/>
        <v>TEXT</v>
      </c>
      <c r="R24" s="76" t="str">
        <f t="shared" si="1"/>
        <v/>
      </c>
      <c r="S24" s="76" t="str">
        <f t="shared" si="5"/>
        <v/>
      </c>
      <c r="T24" s="76" t="str">
        <f t="shared" si="6"/>
        <v>-- 緊急入院フラグ</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milscm_2023_009.sny_202310_base_merge_mml_sm_in_patient.emergency_nyuin_flag IS '緊急入院フラグ';</v>
      </c>
    </row>
    <row r="25" spans="1:52" s="25" customFormat="1" ht="87">
      <c r="A25" s="4"/>
      <c r="B25" s="21">
        <f t="shared" si="2"/>
        <v>13</v>
      </c>
      <c r="C25" s="13" t="s">
        <v>1505</v>
      </c>
      <c r="D25" s="13" t="s">
        <v>1506</v>
      </c>
      <c r="E25" s="7"/>
      <c r="F25" s="7" t="s">
        <v>865</v>
      </c>
      <c r="G25" s="7" t="str">
        <f t="shared" si="3"/>
        <v>text</v>
      </c>
      <c r="H25" s="58"/>
      <c r="I25" s="23"/>
      <c r="J25" s="24" t="s">
        <v>1521</v>
      </c>
      <c r="M25" s="4"/>
      <c r="N25" s="76"/>
      <c r="O25" s="76"/>
      <c r="P25" s="76" t="str">
        <f t="shared" si="4"/>
        <v>,shokai_moto_facility</v>
      </c>
      <c r="Q25" s="76" t="str">
        <f t="shared" si="0"/>
        <v>TEXT</v>
      </c>
      <c r="R25" s="76" t="str">
        <f t="shared" si="1"/>
        <v/>
      </c>
      <c r="S25" s="76" t="str">
        <f t="shared" si="5"/>
        <v/>
      </c>
      <c r="T25" s="76" t="str">
        <f t="shared" si="6"/>
        <v>-- 紹介元施設</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milscm_2023_009.sny_202310_base_merge_mml_sm_in_patient.shokai_moto_facility IS '紹介元施設';</v>
      </c>
    </row>
    <row r="26" spans="1:52" s="25" customFormat="1" ht="34.799999999999997">
      <c r="A26" s="4"/>
      <c r="B26" s="21">
        <f t="shared" si="2"/>
        <v>14</v>
      </c>
      <c r="C26" s="13" t="s">
        <v>1507</v>
      </c>
      <c r="D26" s="13" t="s">
        <v>212</v>
      </c>
      <c r="E26" s="7"/>
      <c r="F26" s="7" t="s">
        <v>865</v>
      </c>
      <c r="G26" s="7" t="str">
        <f t="shared" si="3"/>
        <v>text</v>
      </c>
      <c r="H26" s="58"/>
      <c r="I26" s="23"/>
      <c r="J26" s="24" t="s">
        <v>1517</v>
      </c>
      <c r="M26" s="4"/>
      <c r="N26" s="76"/>
      <c r="O26" s="76"/>
      <c r="P26" s="76" t="str">
        <f t="shared" si="4"/>
        <v>,taiin_ymd</v>
      </c>
      <c r="Q26" s="76" t="str">
        <f t="shared" si="0"/>
        <v>TEXT</v>
      </c>
      <c r="R26" s="76" t="str">
        <f t="shared" si="1"/>
        <v/>
      </c>
      <c r="S26" s="76" t="str">
        <f t="shared" si="5"/>
        <v/>
      </c>
      <c r="T26" s="76" t="str">
        <f t="shared" si="6"/>
        <v>-- 退院（転出）日</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milscm_2023_009.sny_202310_base_merge_mml_sm_in_patient.taiin_ymd IS '退院（転出）日';</v>
      </c>
    </row>
    <row r="27" spans="1:52" s="25" customFormat="1" ht="34.799999999999997">
      <c r="A27" s="4"/>
      <c r="B27" s="21">
        <f t="shared" si="2"/>
        <v>15</v>
      </c>
      <c r="C27" s="13" t="s">
        <v>1508</v>
      </c>
      <c r="D27" s="13" t="s">
        <v>1509</v>
      </c>
      <c r="E27" s="7"/>
      <c r="F27" s="7" t="s">
        <v>865</v>
      </c>
      <c r="G27" s="7" t="str">
        <f t="shared" si="3"/>
        <v>text</v>
      </c>
      <c r="H27" s="58"/>
      <c r="I27" s="23"/>
      <c r="J27" s="24" t="s">
        <v>1518</v>
      </c>
      <c r="M27" s="4"/>
      <c r="N27" s="76"/>
      <c r="O27" s="76"/>
      <c r="P27" s="76" t="str">
        <f t="shared" si="4"/>
        <v>,taiin_state</v>
      </c>
      <c r="Q27" s="76" t="str">
        <f t="shared" si="0"/>
        <v>TEXT</v>
      </c>
      <c r="R27" s="76" t="str">
        <f t="shared" si="1"/>
        <v/>
      </c>
      <c r="S27" s="76" t="str">
        <f t="shared" si="5"/>
        <v/>
      </c>
      <c r="T27" s="76" t="str">
        <f t="shared" si="6"/>
        <v>-- 退院時状態</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milscm_2023_009.sny_202310_base_merge_mml_sm_in_patient.taiin_state IS '退院時状態';</v>
      </c>
    </row>
    <row r="28" spans="1:52" s="25" customFormat="1" ht="52.2">
      <c r="A28" s="4"/>
      <c r="B28" s="21">
        <f t="shared" si="2"/>
        <v>16</v>
      </c>
      <c r="C28" s="13" t="s">
        <v>593</v>
      </c>
      <c r="D28" s="13" t="s">
        <v>1510</v>
      </c>
      <c r="E28" s="7"/>
      <c r="F28" s="7" t="s">
        <v>865</v>
      </c>
      <c r="G28" s="7" t="str">
        <f t="shared" si="3"/>
        <v>text</v>
      </c>
      <c r="H28" s="58"/>
      <c r="I28" s="23"/>
      <c r="J28" s="24" t="s">
        <v>1519</v>
      </c>
      <c r="M28" s="4"/>
      <c r="N28" s="76"/>
      <c r="O28" s="76"/>
      <c r="P28" s="76" t="str">
        <f t="shared" si="4"/>
        <v>,taiin_tenki</v>
      </c>
      <c r="Q28" s="76" t="str">
        <f t="shared" si="0"/>
        <v>TEXT</v>
      </c>
      <c r="R28" s="76" t="str">
        <f t="shared" si="1"/>
        <v/>
      </c>
      <c r="S28" s="76" t="str">
        <f t="shared" si="5"/>
        <v/>
      </c>
      <c r="T28" s="76" t="str">
        <f t="shared" si="6"/>
        <v>-- 退院時転帰</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milscm_2023_009.sny_202310_base_merge_mml_sm_in_patient.taiin_tenki IS '退院時転帰';</v>
      </c>
    </row>
    <row r="29" spans="1:52" s="25" customFormat="1" ht="87.6" thickBot="1">
      <c r="A29" s="4"/>
      <c r="B29" s="27">
        <f>ROW()-12</f>
        <v>17</v>
      </c>
      <c r="C29" s="57" t="s">
        <v>1511</v>
      </c>
      <c r="D29" s="57" t="s">
        <v>1512</v>
      </c>
      <c r="E29" s="56"/>
      <c r="F29" s="56" t="s">
        <v>865</v>
      </c>
      <c r="G29" s="56" t="str">
        <f t="shared" si="3"/>
        <v>text</v>
      </c>
      <c r="H29" s="59"/>
      <c r="I29" s="60"/>
      <c r="J29" s="64" t="s">
        <v>1520</v>
      </c>
      <c r="N29" s="76"/>
      <c r="O29" s="76"/>
      <c r="P29" s="76" t="str">
        <f t="shared" si="4"/>
        <v>,shokai_saki_facility</v>
      </c>
      <c r="Q29" s="76" t="str">
        <f t="shared" si="0"/>
        <v>TEXT</v>
      </c>
      <c r="R29" s="76" t="str">
        <f t="shared" si="1"/>
        <v/>
      </c>
      <c r="S29" s="76" t="str">
        <f t="shared" si="5"/>
        <v/>
      </c>
      <c r="T29" s="76" t="str">
        <f t="shared" si="6"/>
        <v>-- 紹介先施設</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milscm_2023_009.sny_202310_base_merge_mml_sm_in_patient.shokai_saki_facility IS '紹介先施設';</v>
      </c>
    </row>
    <row r="30" spans="1:52">
      <c r="L30" s="25"/>
      <c r="M30" s="25"/>
      <c r="N30" s="76" t="s">
        <v>142</v>
      </c>
      <c r="O30" s="76"/>
      <c r="P30" s="76"/>
      <c r="Q30" s="76"/>
      <c r="R30" s="76"/>
      <c r="S30" s="76"/>
      <c r="T30" s="76"/>
      <c r="V30" s="25"/>
      <c r="W30" s="25"/>
      <c r="X30" s="25"/>
      <c r="Y30" s="25"/>
      <c r="Z30" s="25"/>
      <c r="AJ30" s="76"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ENT_31_C4-29</v>
      </c>
      <c r="E6" s="234"/>
      <c r="F6" s="234"/>
      <c r="G6" s="234"/>
      <c r="H6" s="234"/>
      <c r="I6" s="234"/>
      <c r="J6" s="235"/>
    </row>
    <row r="7" spans="1:45">
      <c r="B7" s="223" t="s">
        <v>115</v>
      </c>
      <c r="C7" s="224"/>
      <c r="D7" s="225" t="s">
        <v>3690</v>
      </c>
      <c r="E7" s="226"/>
      <c r="F7" s="226"/>
      <c r="G7" s="226"/>
      <c r="H7" s="226"/>
      <c r="I7" s="226"/>
      <c r="J7" s="227"/>
    </row>
    <row r="8" spans="1:45">
      <c r="B8" s="223" t="s">
        <v>116</v>
      </c>
      <c r="C8" s="224"/>
      <c r="D8" s="225" t="str">
        <f>エンティティ一覧!AE2&amp;"_"&amp;D5&amp;"_merge_mml_sm_clinical_course"</f>
        <v>sny_202310_base_merge_mml_sm_clinical_course</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milscm_2023_009.sny_202310_base_merge_mml_sm_clinical_course;</v>
      </c>
      <c r="O10" s="76"/>
      <c r="P10" s="76"/>
      <c r="Q10" s="76"/>
      <c r="R10" s="76"/>
      <c r="S10" s="76"/>
      <c r="T10" s="76"/>
      <c r="AJ10" s="76" t="str">
        <f>"ALTER TABLE ONLY "&amp;エンティティ一覧!$O$2&amp;"."&amp;D$8</f>
        <v>ALTER TABLE ONLY milscm_2023_009.sny_202310_base_merge_mml_sm_clinical_course</v>
      </c>
      <c r="AS10" s="76" t="str">
        <f>"ALTER TABLE "&amp;エンティティ一覧!$O$2&amp;"."&amp;D$8&amp;" OWNER TO pgmisgrp1;"</f>
        <v>ALTER TABLE milscm_2023_009.sny_202310_base_merge_mml_sm_clinical_course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milscm_2023_009.sny_202310_base_merge_mml_sm_clinical_course</v>
      </c>
      <c r="O11" s="76"/>
      <c r="P11" s="76"/>
      <c r="Q11" s="76"/>
      <c r="R11" s="76"/>
      <c r="S11" s="76"/>
      <c r="T11" s="76"/>
      <c r="AJ11" s="76" t="str">
        <f>"ADD CONSTRAINT "&amp;D$8&amp;"_pkey PRIMARY KEY"</f>
        <v>ADD CONSTRAINT sny_202310_base_merge_mml_sm_clinical_course_pkey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milscm_2023_009.sny_202310_base_merge_mml_sm_clinical_course IS 'ベース_臨床サマリーモジュール_経過記録レコード';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5" si="0">UPPER(G13)</f>
        <v>TEXT</v>
      </c>
      <c r="R13" s="76" t="str">
        <f t="shared" ref="R13:R25"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milscm_2023_009.sny_202310_base_merge_mml_sm_clinical_course.torikomi_ym IS '取込年月';</v>
      </c>
    </row>
    <row r="14" spans="1:45" s="25" customFormat="1">
      <c r="A14" s="4"/>
      <c r="B14" s="21">
        <f t="shared" ref="B14:B24" si="2">ROW()-12</f>
        <v>2</v>
      </c>
      <c r="C14" s="6" t="s">
        <v>202</v>
      </c>
      <c r="D14" s="6" t="s">
        <v>203</v>
      </c>
      <c r="E14" s="8"/>
      <c r="F14" s="7" t="s">
        <v>204</v>
      </c>
      <c r="G14" s="7" t="str">
        <f t="shared" ref="G14:G25" si="3">IF(F14="フラグ","boolean",IF(F14="文字列","text",IF(F14="整数","integer",IF(F14="実数","numeric",""))))</f>
        <v>integer</v>
      </c>
      <c r="H14" s="26"/>
      <c r="I14" s="10"/>
      <c r="J14" s="11" t="s">
        <v>1286</v>
      </c>
      <c r="M14" s="4"/>
      <c r="N14" s="76"/>
      <c r="O14" s="76"/>
      <c r="P14" s="76" t="str">
        <f t="shared" ref="P14:P25"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milscm_2023_009.sny_202310_base_merge_mml_sm_clinical_course.mil_karute_id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5" si="5">IF(I15="○","NOT NULL","")</f>
        <v>NOT NULL</v>
      </c>
      <c r="T15" s="76" t="str">
        <f t="shared" ref="T15:T25"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milscm_2023_009.sny_202310_base_merge_mml_sm_clinical_course.facility_id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milscm_2023_009.sny_202310_base_merge_mml_sm_clinical_course.shinryo_ymd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milscm_2023_009.sny_202310_base_merge_mml_sm_clinical_course.data_type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milscm_2023_009.sny_202310_base_merge_mml_sm_clinical_course.master_id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milscm_2023_009.sny_202310_base_merge_mml_sm_clinical_course.uid IS '文書ユニークID';</v>
      </c>
    </row>
    <row r="20" spans="1:52" s="25" customFormat="1">
      <c r="A20" s="4"/>
      <c r="B20" s="21">
        <f t="shared" si="2"/>
        <v>8</v>
      </c>
      <c r="C20" s="13" t="s">
        <v>1439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milscm_2023_009.sny_202310_base_merge_mml_sm_clinical_course.summary_seq IS '臨床サマリーSEQ';</v>
      </c>
    </row>
    <row r="21" spans="1:52" s="25" customFormat="1">
      <c r="A21" s="4"/>
      <c r="B21" s="21">
        <f t="shared" si="2"/>
        <v>9</v>
      </c>
      <c r="C21" s="13" t="s">
        <v>1348</v>
      </c>
      <c r="D21" s="13" t="s">
        <v>1349</v>
      </c>
      <c r="E21" s="7" t="s">
        <v>127</v>
      </c>
      <c r="F21" s="7" t="s">
        <v>204</v>
      </c>
      <c r="G21" s="7" t="str">
        <f t="shared" si="3"/>
        <v>integer</v>
      </c>
      <c r="H21" s="58"/>
      <c r="I21" s="23" t="s">
        <v>127</v>
      </c>
      <c r="J21" s="24" t="s">
        <v>1532</v>
      </c>
      <c r="M21" s="4"/>
      <c r="N21" s="76"/>
      <c r="O21" s="76"/>
      <c r="P21" s="76" t="str">
        <f t="shared" si="4"/>
        <v>,keika_seq</v>
      </c>
      <c r="Q21" s="76" t="str">
        <f t="shared" si="0"/>
        <v>INTEGER</v>
      </c>
      <c r="R21" s="76" t="str">
        <f t="shared" si="1"/>
        <v/>
      </c>
      <c r="S21" s="76" t="str">
        <f t="shared" si="5"/>
        <v>NOT NULL</v>
      </c>
      <c r="T21" s="76" t="str">
        <f t="shared" si="6"/>
        <v>-- 経過記録SEQ</v>
      </c>
      <c r="U21" s="4"/>
      <c r="AA21" s="4"/>
      <c r="AB21" s="4"/>
      <c r="AC21" s="4"/>
      <c r="AD21" s="4"/>
      <c r="AE21" s="4"/>
      <c r="AF21" s="4"/>
      <c r="AG21" s="4"/>
      <c r="AH21" s="4"/>
      <c r="AI21" s="4"/>
      <c r="AJ21" s="76" t="str">
        <f>IF(E21="○",IF(COUNTA(E$13:E21)=1,"",",")&amp;D21,"")</f>
        <v>,keika_seq</v>
      </c>
      <c r="AK21" s="4"/>
      <c r="AL21" s="4"/>
      <c r="AM21" s="4"/>
      <c r="AN21" s="4"/>
      <c r="AO21" s="4"/>
      <c r="AP21" s="4"/>
      <c r="AQ21" s="4"/>
      <c r="AR21" s="4"/>
      <c r="AS21" s="76" t="str">
        <f>"COMMENT ON COLUMN "&amp;エンティティ一覧!$O$2&amp;"."&amp;D$8&amp;"."&amp;D21&amp;" IS '"&amp;C21&amp;"';"</f>
        <v>COMMENT ON COLUMN milscm_2023_009.sny_202310_base_merge_mml_sm_clinical_course.keika_seq IS '経過記録SEQ';</v>
      </c>
    </row>
    <row r="22" spans="1:52" s="25" customFormat="1" ht="34.799999999999997">
      <c r="A22" s="4"/>
      <c r="B22" s="21">
        <f t="shared" si="2"/>
        <v>10</v>
      </c>
      <c r="C22" s="13" t="s">
        <v>1524</v>
      </c>
      <c r="D22" s="13" t="s">
        <v>1525</v>
      </c>
      <c r="E22" s="7"/>
      <c r="F22" s="7" t="s">
        <v>865</v>
      </c>
      <c r="G22" s="7" t="str">
        <f t="shared" si="3"/>
        <v>text</v>
      </c>
      <c r="H22" s="58"/>
      <c r="I22" s="23"/>
      <c r="J22" s="24" t="s">
        <v>1533</v>
      </c>
      <c r="M22" s="4"/>
      <c r="N22" s="76"/>
      <c r="O22" s="76"/>
      <c r="P22" s="76" t="str">
        <f t="shared" si="4"/>
        <v>,keika_kiroku</v>
      </c>
      <c r="Q22" s="76" t="str">
        <f t="shared" si="0"/>
        <v>TEXT</v>
      </c>
      <c r="R22" s="76" t="str">
        <f t="shared" si="1"/>
        <v/>
      </c>
      <c r="S22" s="76" t="str">
        <f t="shared" si="5"/>
        <v/>
      </c>
      <c r="T22" s="76" t="str">
        <f t="shared" si="6"/>
        <v>-- 経過記録</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milscm_2023_009.sny_202310_base_merge_mml_sm_clinical_course.keika_kiroku IS '経過記録';</v>
      </c>
    </row>
    <row r="23" spans="1:52" s="25" customFormat="1" ht="34.799999999999997">
      <c r="A23" s="4"/>
      <c r="B23" s="21">
        <f t="shared" si="2"/>
        <v>11</v>
      </c>
      <c r="C23" s="13" t="s">
        <v>1526</v>
      </c>
      <c r="D23" s="13" t="s">
        <v>1527</v>
      </c>
      <c r="E23" s="7"/>
      <c r="F23" s="7" t="s">
        <v>865</v>
      </c>
      <c r="G23" s="7" t="str">
        <f t="shared" si="3"/>
        <v>text</v>
      </c>
      <c r="H23" s="58"/>
      <c r="I23" s="23"/>
      <c r="J23" s="24" t="s">
        <v>1534</v>
      </c>
      <c r="M23" s="4"/>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milscm_2023_009.sny_202310_base_merge_mml_sm_clinical_course.event_date IS 'イベント発生日時';</v>
      </c>
    </row>
    <row r="24" spans="1:52" s="25" customFormat="1" ht="52.2">
      <c r="A24" s="4"/>
      <c r="B24" s="21">
        <f t="shared" si="2"/>
        <v>12</v>
      </c>
      <c r="C24" s="13" t="s">
        <v>1528</v>
      </c>
      <c r="D24" s="13" t="s">
        <v>1529</v>
      </c>
      <c r="E24" s="7"/>
      <c r="F24" s="7" t="s">
        <v>865</v>
      </c>
      <c r="G24" s="7" t="str">
        <f t="shared" si="3"/>
        <v>text</v>
      </c>
      <c r="H24" s="58"/>
      <c r="I24" s="23"/>
      <c r="J24" s="24" t="s">
        <v>1535</v>
      </c>
      <c r="M24" s="4"/>
      <c r="N24" s="76"/>
      <c r="O24" s="76"/>
      <c r="P24" s="76" t="str">
        <f t="shared" si="4"/>
        <v>,kanren_doc_uid</v>
      </c>
      <c r="Q24" s="76" t="str">
        <f t="shared" si="0"/>
        <v>TEXT</v>
      </c>
      <c r="R24" s="76" t="str">
        <f t="shared" si="1"/>
        <v/>
      </c>
      <c r="S24" s="76" t="str">
        <f t="shared" si="5"/>
        <v/>
      </c>
      <c r="T24" s="76" t="str">
        <f t="shared" si="6"/>
        <v>-- 関連文書のuid</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milscm_2023_009.sny_202310_base_merge_mml_sm_clinical_course.kanren_doc_uid IS '関連文書のuid';</v>
      </c>
    </row>
    <row r="25" spans="1:52" s="25" customFormat="1" ht="70.2" thickBot="1">
      <c r="A25" s="4"/>
      <c r="B25" s="27">
        <f>ROW()-12</f>
        <v>13</v>
      </c>
      <c r="C25" s="57" t="s">
        <v>1530</v>
      </c>
      <c r="D25" s="57" t="s">
        <v>1531</v>
      </c>
      <c r="E25" s="56"/>
      <c r="F25" s="56" t="s">
        <v>865</v>
      </c>
      <c r="G25" s="56" t="str">
        <f t="shared" si="3"/>
        <v>text</v>
      </c>
      <c r="H25" s="59"/>
      <c r="I25" s="60"/>
      <c r="J25" s="64" t="s">
        <v>1536</v>
      </c>
      <c r="N25" s="76"/>
      <c r="O25" s="76"/>
      <c r="P25" s="76" t="str">
        <f t="shared" si="4"/>
        <v>,kanren_doc_type</v>
      </c>
      <c r="Q25" s="76" t="str">
        <f t="shared" si="0"/>
        <v>TEXT</v>
      </c>
      <c r="R25" s="76" t="str">
        <f t="shared" si="1"/>
        <v/>
      </c>
      <c r="S25" s="76" t="str">
        <f t="shared" si="5"/>
        <v/>
      </c>
      <c r="T25" s="76" t="str">
        <f t="shared" si="6"/>
        <v>-- 関連文書_関連の種別</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milscm_2023_009.sny_202310_base_merge_mml_sm_clinical_course.kanren_doc_type IS '関連文書_関連の種別';</v>
      </c>
    </row>
    <row r="26" spans="1:52">
      <c r="L26" s="25"/>
      <c r="M26" s="25"/>
      <c r="N26" s="76" t="s">
        <v>142</v>
      </c>
      <c r="O26" s="76"/>
      <c r="P26" s="76"/>
      <c r="Q26" s="76"/>
      <c r="R26" s="76"/>
      <c r="S26" s="76"/>
      <c r="T26" s="76"/>
      <c r="V26" s="25"/>
      <c r="W26" s="25"/>
      <c r="X26" s="25"/>
      <c r="Y26" s="25"/>
      <c r="Z26" s="25"/>
      <c r="AJ26" s="76"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ENT_31_C4-30</v>
      </c>
      <c r="E6" s="234"/>
      <c r="F6" s="234"/>
      <c r="G6" s="234"/>
      <c r="H6" s="234"/>
      <c r="I6" s="234"/>
      <c r="J6" s="235"/>
    </row>
    <row r="7" spans="1:45">
      <c r="B7" s="223" t="s">
        <v>115</v>
      </c>
      <c r="C7" s="224"/>
      <c r="D7" s="225" t="s">
        <v>3691</v>
      </c>
      <c r="E7" s="226"/>
      <c r="F7" s="226"/>
      <c r="G7" s="226"/>
      <c r="H7" s="226"/>
      <c r="I7" s="226"/>
      <c r="J7" s="227"/>
    </row>
    <row r="8" spans="1:45">
      <c r="B8" s="223" t="s">
        <v>116</v>
      </c>
      <c r="C8" s="224"/>
      <c r="D8" s="225" t="str">
        <f>エンティティ一覧!AE2&amp;"_"&amp;D5&amp;"_merge_mml_sm_test_results"</f>
        <v>sny_202310_base_merge_mml_sm_test_results</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milscm_2023_009.sny_202310_base_merge_mml_sm_test_results;</v>
      </c>
      <c r="O10" s="76"/>
      <c r="P10" s="76"/>
      <c r="Q10" s="76"/>
      <c r="R10" s="76"/>
      <c r="S10" s="76"/>
      <c r="T10" s="76"/>
      <c r="AJ10" s="76" t="str">
        <f>"ALTER TABLE ONLY "&amp;エンティティ一覧!$O$2&amp;"."&amp;D$8</f>
        <v>ALTER TABLE ONLY milscm_2023_009.sny_202310_base_merge_mml_sm_test_results</v>
      </c>
      <c r="AS10" s="76" t="str">
        <f>"ALTER TABLE "&amp;エンティティ一覧!$O$2&amp;"."&amp;D$8&amp;" OWNER TO pgmisgrp1;"</f>
        <v>ALTER TABLE milscm_2023_009.sny_202310_base_merge_mml_sm_test_results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milscm_2023_009.sny_202310_base_merge_mml_sm_test_results</v>
      </c>
      <c r="O11" s="76"/>
      <c r="P11" s="76"/>
      <c r="Q11" s="76"/>
      <c r="R11" s="76"/>
      <c r="S11" s="76"/>
      <c r="T11" s="76"/>
      <c r="AJ11" s="76" t="str">
        <f>"ADD CONSTRAINT "&amp;D$8&amp;"_pkey PRIMARY KEY"</f>
        <v>ADD CONSTRAINT sny_202310_base_merge_mml_sm_test_results_pkey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milscm_2023_009.sny_202310_base_merge_mml_sm_test_results IS 'ベース_臨床サマリーモジュール_検査結果レコード';</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3" si="0">UPPER(G13)</f>
        <v>TEXT</v>
      </c>
      <c r="R13" s="76" t="str">
        <f t="shared" ref="R13:R23"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milscm_2023_009.sny_202310_base_merge_mml_sm_test_results.torikomi_ym IS '取込年月';</v>
      </c>
    </row>
    <row r="14" spans="1:45" s="25" customFormat="1">
      <c r="A14" s="4"/>
      <c r="B14" s="21">
        <f t="shared" ref="B14:B22" si="2">ROW()-12</f>
        <v>2</v>
      </c>
      <c r="C14" s="6" t="s">
        <v>202</v>
      </c>
      <c r="D14" s="6" t="s">
        <v>203</v>
      </c>
      <c r="E14" s="8"/>
      <c r="F14" s="7" t="s">
        <v>204</v>
      </c>
      <c r="G14" s="7" t="str">
        <f t="shared" ref="G14:G23" si="3">IF(F14="フラグ","boolean",IF(F14="文字列","text",IF(F14="整数","integer",IF(F14="実数","numeric",""))))</f>
        <v>integer</v>
      </c>
      <c r="H14" s="26"/>
      <c r="I14" s="10"/>
      <c r="J14" s="11" t="s">
        <v>1286</v>
      </c>
      <c r="M14" s="4"/>
      <c r="N14" s="76"/>
      <c r="O14" s="76"/>
      <c r="P14" s="76" t="str">
        <f t="shared" ref="P14:P23"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milscm_2023_009.sny_202310_base_merge_mml_sm_test_results.mil_karute_id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3" si="5">IF(I15="○","NOT NULL","")</f>
        <v>NOT NULL</v>
      </c>
      <c r="T15" s="76" t="str">
        <f t="shared" ref="T15:T23"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milscm_2023_009.sny_202310_base_merge_mml_sm_test_results.facility_id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milscm_2023_009.sny_202310_base_merge_mml_sm_test_results.shinryo_ymd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milscm_2023_009.sny_202310_base_merge_mml_sm_test_results.data_type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milscm_2023_009.sny_202310_base_merge_mml_sm_test_results.master_id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milscm_2023_009.sny_202310_base_merge_mml_sm_test_results.uid IS '文書ユニークID';</v>
      </c>
    </row>
    <row r="20" spans="1:52" s="25" customFormat="1">
      <c r="A20" s="4"/>
      <c r="B20" s="21">
        <f t="shared" si="2"/>
        <v>8</v>
      </c>
      <c r="C20" s="13" t="s">
        <v>1539</v>
      </c>
      <c r="D20" s="13" t="s">
        <v>1440</v>
      </c>
      <c r="E20" s="7" t="s">
        <v>127</v>
      </c>
      <c r="F20" s="7" t="s">
        <v>204</v>
      </c>
      <c r="G20" s="7" t="str">
        <f t="shared" si="3"/>
        <v>integer</v>
      </c>
      <c r="H20" s="58"/>
      <c r="I20" s="23" t="s">
        <v>127</v>
      </c>
      <c r="J20" s="24" t="s">
        <v>1465</v>
      </c>
      <c r="M20" s="4"/>
      <c r="N20" s="76"/>
      <c r="O20" s="76"/>
      <c r="P20" s="76" t="str">
        <f t="shared" si="4"/>
        <v>,summary_seq</v>
      </c>
      <c r="Q20" s="76" t="str">
        <f t="shared" si="0"/>
        <v>INTEGER</v>
      </c>
      <c r="R20" s="76" t="str">
        <f t="shared" si="1"/>
        <v/>
      </c>
      <c r="S20" s="76" t="str">
        <f t="shared" si="5"/>
        <v>NOT NULL</v>
      </c>
      <c r="T20" s="76" t="str">
        <f t="shared" si="6"/>
        <v>-- 臨床サマリーSEQ</v>
      </c>
      <c r="U20" s="4"/>
      <c r="AA20" s="4"/>
      <c r="AB20" s="4"/>
      <c r="AC20" s="4"/>
      <c r="AD20" s="4"/>
      <c r="AE20" s="4"/>
      <c r="AF20" s="4"/>
      <c r="AG20" s="4"/>
      <c r="AH20" s="4"/>
      <c r="AI20" s="4"/>
      <c r="AJ20" s="76" t="str">
        <f>IF(E20="○",IF(COUNTA(E$13:E20)=1,"",",")&amp;D20,"")</f>
        <v>,summary_seq</v>
      </c>
      <c r="AK20" s="4"/>
      <c r="AL20" s="4"/>
      <c r="AM20" s="4"/>
      <c r="AN20" s="4"/>
      <c r="AO20" s="4"/>
      <c r="AP20" s="4"/>
      <c r="AQ20" s="4"/>
      <c r="AR20" s="4"/>
      <c r="AS20" s="76" t="str">
        <f>"COMMENT ON COLUMN "&amp;エンティティ一覧!$O$2&amp;"."&amp;D$8&amp;"."&amp;D20&amp;" IS '"&amp;C20&amp;"';"</f>
        <v>COMMENT ON COLUMN milscm_2023_009.sny_202310_base_merge_mml_sm_test_results.summary_seq IS '臨床サマリーSEQ';</v>
      </c>
    </row>
    <row r="21" spans="1:52" s="25" customFormat="1">
      <c r="A21" s="4"/>
      <c r="B21" s="21">
        <f t="shared" si="2"/>
        <v>9</v>
      </c>
      <c r="C21" s="13" t="s">
        <v>1540</v>
      </c>
      <c r="D21" s="13" t="s">
        <v>1541</v>
      </c>
      <c r="E21" s="7" t="s">
        <v>127</v>
      </c>
      <c r="F21" s="7" t="s">
        <v>204</v>
      </c>
      <c r="G21" s="7" t="str">
        <f t="shared" si="3"/>
        <v>integer</v>
      </c>
      <c r="H21" s="58"/>
      <c r="I21" s="23" t="s">
        <v>127</v>
      </c>
      <c r="J21" s="24" t="s">
        <v>1544</v>
      </c>
      <c r="M21" s="4"/>
      <c r="N21" s="76"/>
      <c r="O21" s="76"/>
      <c r="P21" s="76" t="str">
        <f t="shared" si="4"/>
        <v>,kensa_seq</v>
      </c>
      <c r="Q21" s="76" t="str">
        <f t="shared" si="0"/>
        <v>INTEGER</v>
      </c>
      <c r="R21" s="76" t="str">
        <f t="shared" si="1"/>
        <v/>
      </c>
      <c r="S21" s="76" t="str">
        <f t="shared" si="5"/>
        <v>NOT NULL</v>
      </c>
      <c r="T21" s="76" t="str">
        <f t="shared" si="6"/>
        <v>-- 個々の検査結果SEQ</v>
      </c>
      <c r="U21" s="4"/>
      <c r="AA21" s="4"/>
      <c r="AB21" s="4"/>
      <c r="AC21" s="4"/>
      <c r="AD21" s="4"/>
      <c r="AE21" s="4"/>
      <c r="AF21" s="4"/>
      <c r="AG21" s="4"/>
      <c r="AH21" s="4"/>
      <c r="AI21" s="4"/>
      <c r="AJ21" s="76" t="str">
        <f>IF(E21="○",IF(COUNTA(E$13:E21)=1,"",",")&amp;D21,"")</f>
        <v>,kensa_seq</v>
      </c>
      <c r="AK21" s="4"/>
      <c r="AL21" s="4"/>
      <c r="AM21" s="4"/>
      <c r="AN21" s="4"/>
      <c r="AO21" s="4"/>
      <c r="AP21" s="4"/>
      <c r="AQ21" s="4"/>
      <c r="AR21" s="4"/>
      <c r="AS21" s="76" t="str">
        <f>"COMMENT ON COLUMN "&amp;エンティティ一覧!$O$2&amp;"."&amp;D$8&amp;"."&amp;D21&amp;" IS '"&amp;C21&amp;"';"</f>
        <v>COMMENT ON COLUMN milscm_2023_009.sny_202310_base_merge_mml_sm_test_results.kensa_seq IS '個々の検査結果SEQ';</v>
      </c>
    </row>
    <row r="22" spans="1:52" s="25" customFormat="1" ht="34.799999999999997">
      <c r="A22" s="4"/>
      <c r="B22" s="21">
        <f t="shared" si="2"/>
        <v>10</v>
      </c>
      <c r="C22" s="13" t="s">
        <v>1542</v>
      </c>
      <c r="D22" s="13" t="s">
        <v>1543</v>
      </c>
      <c r="E22" s="7"/>
      <c r="F22" s="7" t="s">
        <v>865</v>
      </c>
      <c r="G22" s="7" t="str">
        <f t="shared" si="3"/>
        <v>text</v>
      </c>
      <c r="H22" s="58"/>
      <c r="I22" s="23"/>
      <c r="J22" s="24" t="s">
        <v>1545</v>
      </c>
      <c r="M22" s="4"/>
      <c r="N22" s="76"/>
      <c r="O22" s="76"/>
      <c r="P22" s="76" t="str">
        <f t="shared" si="4"/>
        <v>,kensa_result_value</v>
      </c>
      <c r="Q22" s="76" t="str">
        <f t="shared" si="0"/>
        <v>TEXT</v>
      </c>
      <c r="R22" s="76" t="str">
        <f t="shared" si="1"/>
        <v/>
      </c>
      <c r="S22" s="76" t="str">
        <f t="shared" si="5"/>
        <v/>
      </c>
      <c r="T22" s="76" t="str">
        <f t="shared" si="6"/>
        <v>-- 個々の検査結果</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milscm_2023_009.sny_202310_base_merge_mml_sm_test_results.kensa_result_value IS '個々の検査結果';</v>
      </c>
    </row>
    <row r="23" spans="1:52" s="25" customFormat="1" ht="35.4" thickBot="1">
      <c r="A23" s="4"/>
      <c r="B23" s="27">
        <f>ROW()-12</f>
        <v>11</v>
      </c>
      <c r="C23" s="57" t="s">
        <v>1526</v>
      </c>
      <c r="D23" s="57" t="s">
        <v>1527</v>
      </c>
      <c r="E23" s="56"/>
      <c r="F23" s="56" t="s">
        <v>865</v>
      </c>
      <c r="G23" s="56" t="str">
        <f t="shared" si="3"/>
        <v>text</v>
      </c>
      <c r="H23" s="59"/>
      <c r="I23" s="60"/>
      <c r="J23" s="64" t="s">
        <v>1546</v>
      </c>
      <c r="N23" s="76"/>
      <c r="O23" s="76"/>
      <c r="P23" s="76" t="str">
        <f t="shared" si="4"/>
        <v>,event_date</v>
      </c>
      <c r="Q23" s="76" t="str">
        <f t="shared" si="0"/>
        <v>TEXT</v>
      </c>
      <c r="R23" s="76" t="str">
        <f t="shared" si="1"/>
        <v/>
      </c>
      <c r="S23" s="76" t="str">
        <f t="shared" si="5"/>
        <v/>
      </c>
      <c r="T23" s="76" t="str">
        <f t="shared" si="6"/>
        <v>-- イベント発生日時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milscm_2023_009.sny_202310_base_merge_mml_sm_test_results.event_date IS 'イベント発生日時';</v>
      </c>
    </row>
    <row r="24" spans="1:52">
      <c r="L24" s="25"/>
      <c r="M24" s="25"/>
      <c r="N24" s="76" t="s">
        <v>142</v>
      </c>
      <c r="O24" s="76"/>
      <c r="P24" s="76"/>
      <c r="Q24" s="76"/>
      <c r="R24" s="76"/>
      <c r="S24" s="76"/>
      <c r="T24" s="76"/>
      <c r="V24" s="25"/>
      <c r="W24" s="25"/>
      <c r="X24" s="25"/>
      <c r="Y24" s="25"/>
      <c r="Z24" s="25"/>
      <c r="AJ24" s="76"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ENT_31_C4-31</v>
      </c>
      <c r="E6" s="234"/>
      <c r="F6" s="234"/>
      <c r="G6" s="234"/>
      <c r="H6" s="234"/>
      <c r="I6" s="234"/>
      <c r="J6" s="235"/>
    </row>
    <row r="7" spans="1:45">
      <c r="B7" s="223" t="s">
        <v>115</v>
      </c>
      <c r="C7" s="224"/>
      <c r="D7" s="225" t="s">
        <v>3692</v>
      </c>
      <c r="E7" s="226"/>
      <c r="F7" s="226"/>
      <c r="G7" s="226"/>
      <c r="H7" s="226"/>
      <c r="I7" s="226"/>
      <c r="J7" s="227"/>
    </row>
    <row r="8" spans="1:45">
      <c r="B8" s="223" t="s">
        <v>116</v>
      </c>
      <c r="C8" s="224"/>
      <c r="D8" s="225" t="str">
        <f>エンティティ一覧!AE2&amp;"_"&amp;D5&amp;"_merge_mml_lb_test"</f>
        <v>sny_202310_base_merge_mml_lb_test</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milscm_2023_009.sny_202310_base_merge_mml_lb_test;</v>
      </c>
      <c r="O10" s="76"/>
      <c r="P10" s="76"/>
      <c r="Q10" s="76"/>
      <c r="R10" s="76"/>
      <c r="S10" s="76"/>
      <c r="T10" s="76"/>
      <c r="AJ10" s="76" t="str">
        <f>"ALTER TABLE ONLY "&amp;エンティティ一覧!$O$2&amp;"."&amp;D$8</f>
        <v>ALTER TABLE ONLY milscm_2023_009.sny_202310_base_merge_mml_lb_test</v>
      </c>
      <c r="AS10" s="76" t="str">
        <f>"ALTER TABLE "&amp;エンティティ一覧!$O$2&amp;"."&amp;D$8&amp;" OWNER TO pgmisgrp1;"</f>
        <v>ALTER TABLE milscm_2023_009.sny_202310_base_merge_mml_lb_test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milscm_2023_009.sny_202310_base_merge_mml_lb_test</v>
      </c>
      <c r="O11" s="76"/>
      <c r="P11" s="76"/>
      <c r="Q11" s="76"/>
      <c r="R11" s="76"/>
      <c r="S11" s="76"/>
      <c r="T11" s="76"/>
      <c r="AJ11" s="76" t="str">
        <f>"ADD CONSTRAINT "&amp;D$8&amp;"_pkey PRIMARY KEY"</f>
        <v>ADD CONSTRAINT sny_202310_base_merge_mml_lb_test_pkey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milscm_2023_009.sny_202310_base_merge_mml_lb_test IS 'ベース_検歴情報モジュール_検歴情報';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38" si="0">UPPER(G13)</f>
        <v>TEXT</v>
      </c>
      <c r="R13" s="76" t="str">
        <f t="shared" ref="R13:R38"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milscm_2023_009.sny_202310_base_merge_mml_lb_test.torikomi_ym IS '取込年月';</v>
      </c>
    </row>
    <row r="14" spans="1:45" s="25" customFormat="1">
      <c r="A14" s="4"/>
      <c r="B14" s="21">
        <f t="shared" ref="B14:B37" si="2">ROW()-12</f>
        <v>2</v>
      </c>
      <c r="C14" s="6" t="s">
        <v>202</v>
      </c>
      <c r="D14" s="6" t="s">
        <v>203</v>
      </c>
      <c r="E14" s="8"/>
      <c r="F14" s="7" t="s">
        <v>204</v>
      </c>
      <c r="G14" s="7" t="str">
        <f t="shared" ref="G14:G38" si="3">IF(F14="フラグ","boolean",IF(F14="文字列","text",IF(F14="整数","integer",IF(F14="実数","numeric",""))))</f>
        <v>integer</v>
      </c>
      <c r="H14" s="26"/>
      <c r="I14" s="10"/>
      <c r="J14" s="11" t="s">
        <v>257</v>
      </c>
      <c r="M14" s="4"/>
      <c r="N14" s="76"/>
      <c r="O14" s="76"/>
      <c r="P14" s="76" t="str">
        <f t="shared" ref="P14:P38"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milscm_2023_009.sny_202310_base_merge_mml_lb_test.mil_karute_id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38" si="5">IF(I15="○","NOT NULL","")</f>
        <v>NOT NULL</v>
      </c>
      <c r="T15" s="76" t="str">
        <f t="shared" ref="T15:T38"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milscm_2023_009.sny_202310_base_merge_mml_lb_test.facility_id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milscm_2023_009.sny_202310_base_merge_mml_lb_test.shinryo_ymd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milscm_2023_009.sny_202310_base_merge_mml_lb_test.data_type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milscm_2023_009.sny_202310_base_merge_mml_lb_test.master_id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milscm_2023_009.sny_202310_base_merge_mml_lb_test.uid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milscm_2023_009.sny_202310_base_merge_mml_lb_test.kenreki_seq IS '検歴SEQ';</v>
      </c>
    </row>
    <row r="21" spans="1:45" s="25" customFormat="1">
      <c r="A21" s="4"/>
      <c r="B21" s="21">
        <f t="shared" si="2"/>
        <v>9</v>
      </c>
      <c r="C21" s="13" t="s">
        <v>1550</v>
      </c>
      <c r="D21" s="13" t="s">
        <v>1551</v>
      </c>
      <c r="E21" s="7"/>
      <c r="F21" s="7" t="s">
        <v>865</v>
      </c>
      <c r="G21" s="7" t="str">
        <f t="shared" si="3"/>
        <v>text</v>
      </c>
      <c r="H21" s="58"/>
      <c r="I21" s="23"/>
      <c r="J21" s="24" t="s">
        <v>1587</v>
      </c>
      <c r="M21" s="4"/>
      <c r="N21" s="76"/>
      <c r="O21" s="76"/>
      <c r="P21" s="76" t="str">
        <f t="shared" si="4"/>
        <v>,irai_id</v>
      </c>
      <c r="Q21" s="76" t="str">
        <f t="shared" si="0"/>
        <v>TEXT</v>
      </c>
      <c r="R21" s="76" t="str">
        <f t="shared" si="1"/>
        <v/>
      </c>
      <c r="S21" s="76" t="str">
        <f t="shared" si="5"/>
        <v/>
      </c>
      <c r="T21" s="76" t="str">
        <f t="shared" si="6"/>
        <v>-- 依頼ID</v>
      </c>
      <c r="U21" s="4"/>
      <c r="AA21" s="4"/>
      <c r="AB21" s="4"/>
      <c r="AC21" s="4"/>
      <c r="AD21" s="4"/>
      <c r="AE21" s="4"/>
      <c r="AF21" s="4"/>
      <c r="AG21" s="4"/>
      <c r="AH21" s="4"/>
      <c r="AI21" s="4"/>
      <c r="AJ21" s="76" t="str">
        <f>IF(E21="○",IF(COUNTA(E$13:E21)=1,"",",")&amp;D21,"")</f>
        <v/>
      </c>
      <c r="AK21" s="4"/>
      <c r="AL21" s="4"/>
      <c r="AM21" s="4"/>
      <c r="AN21" s="4"/>
      <c r="AO21" s="4"/>
      <c r="AP21" s="4"/>
      <c r="AQ21" s="4"/>
      <c r="AR21" s="4"/>
      <c r="AS21" s="76" t="str">
        <f>"COMMENT ON COLUMN "&amp;エンティティ一覧!$O$2&amp;"."&amp;D$8&amp;"."&amp;D21&amp;" IS '"&amp;C21&amp;"';"</f>
        <v>COMMENT ON COLUMN milscm_2023_009.sny_202310_base_merge_mml_lb_test.irai_id IS '依頼ID';</v>
      </c>
    </row>
    <row r="22" spans="1:45" s="25" customFormat="1" ht="52.2">
      <c r="A22" s="4"/>
      <c r="B22" s="21">
        <f t="shared" si="2"/>
        <v>10</v>
      </c>
      <c r="C22" s="13" t="s">
        <v>1552</v>
      </c>
      <c r="D22" s="13" t="s">
        <v>1553</v>
      </c>
      <c r="E22" s="7"/>
      <c r="F22" s="7" t="s">
        <v>865</v>
      </c>
      <c r="G22" s="7" t="str">
        <f t="shared" si="3"/>
        <v>text</v>
      </c>
      <c r="H22" s="58"/>
      <c r="I22" s="23"/>
      <c r="J22" s="24" t="s">
        <v>1588</v>
      </c>
      <c r="M22" s="4"/>
      <c r="N22" s="76"/>
      <c r="O22" s="76"/>
      <c r="P22" s="76" t="str">
        <f t="shared" si="4"/>
        <v>,sample_time</v>
      </c>
      <c r="Q22" s="76" t="str">
        <f t="shared" si="0"/>
        <v>TEXT</v>
      </c>
      <c r="R22" s="76" t="str">
        <f t="shared" si="1"/>
        <v/>
      </c>
      <c r="S22" s="76" t="str">
        <f t="shared" si="5"/>
        <v/>
      </c>
      <c r="T22" s="76" t="str">
        <f t="shared" si="6"/>
        <v>-- 採取日時</v>
      </c>
      <c r="U22" s="4"/>
      <c r="AA22" s="4"/>
      <c r="AB22" s="4"/>
      <c r="AC22" s="4"/>
      <c r="AD22" s="4"/>
      <c r="AE22" s="4"/>
      <c r="AF22" s="4"/>
      <c r="AG22" s="4"/>
      <c r="AH22" s="4"/>
      <c r="AI22" s="4"/>
      <c r="AJ22" s="76" t="str">
        <f>IF(E22="○",IF(COUNTA(E$13:E22)=1,"",",")&amp;D22,"")</f>
        <v/>
      </c>
      <c r="AK22" s="4"/>
      <c r="AL22" s="4"/>
      <c r="AM22" s="4"/>
      <c r="AN22" s="4"/>
      <c r="AO22" s="4"/>
      <c r="AP22" s="4"/>
      <c r="AQ22" s="4"/>
      <c r="AR22" s="4"/>
      <c r="AS22" s="76" t="str">
        <f>"COMMENT ON COLUMN "&amp;エンティティ一覧!$O$2&amp;"."&amp;D$8&amp;"."&amp;D22&amp;" IS '"&amp;C22&amp;"';"</f>
        <v>COMMENT ON COLUMN milscm_2023_009.sny_202310_base_merge_mml_lb_test.sample_time IS '採取日時';</v>
      </c>
    </row>
    <row r="23" spans="1:45" s="25" customFormat="1" ht="34.799999999999997">
      <c r="A23" s="4"/>
      <c r="B23" s="21">
        <f t="shared" si="2"/>
        <v>11</v>
      </c>
      <c r="C23" s="13" t="s">
        <v>1554</v>
      </c>
      <c r="D23" s="13" t="s">
        <v>1555</v>
      </c>
      <c r="E23" s="7"/>
      <c r="F23" s="7" t="s">
        <v>865</v>
      </c>
      <c r="G23" s="7" t="str">
        <f t="shared" si="3"/>
        <v>text</v>
      </c>
      <c r="H23" s="58"/>
      <c r="I23" s="23"/>
      <c r="J23" s="24" t="s">
        <v>1589</v>
      </c>
      <c r="M23" s="4"/>
      <c r="N23" s="76"/>
      <c r="O23" s="76"/>
      <c r="P23" s="76" t="str">
        <f t="shared" si="4"/>
        <v>,uketsuke_time</v>
      </c>
      <c r="Q23" s="76" t="str">
        <f t="shared" si="0"/>
        <v>TEXT</v>
      </c>
      <c r="R23" s="76" t="str">
        <f t="shared" si="1"/>
        <v/>
      </c>
      <c r="S23" s="76" t="str">
        <f t="shared" si="5"/>
        <v/>
      </c>
      <c r="T23" s="76" t="str">
        <f t="shared" si="6"/>
        <v>-- 受付日時</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milscm_2023_009.sny_202310_base_merge_mml_lb_test.uketsuke_time IS '受付日時';</v>
      </c>
    </row>
    <row r="24" spans="1:45" s="25" customFormat="1" ht="34.799999999999997">
      <c r="A24" s="4"/>
      <c r="B24" s="21">
        <f t="shared" si="2"/>
        <v>12</v>
      </c>
      <c r="C24" s="13" t="s">
        <v>1556</v>
      </c>
      <c r="D24" s="13" t="s">
        <v>1557</v>
      </c>
      <c r="E24" s="7"/>
      <c r="F24" s="7" t="s">
        <v>865</v>
      </c>
      <c r="G24" s="7" t="str">
        <f t="shared" si="3"/>
        <v>text</v>
      </c>
      <c r="H24" s="58"/>
      <c r="I24" s="23"/>
      <c r="J24" s="24" t="s">
        <v>1590</v>
      </c>
      <c r="M24" s="4"/>
      <c r="N24" s="76"/>
      <c r="O24" s="76"/>
      <c r="P24" s="76" t="str">
        <f t="shared" si="4"/>
        <v>,report_time</v>
      </c>
      <c r="Q24" s="76" t="str">
        <f t="shared" si="0"/>
        <v>TEXT</v>
      </c>
      <c r="R24" s="76" t="str">
        <f t="shared" si="1"/>
        <v/>
      </c>
      <c r="S24" s="76" t="str">
        <f t="shared" si="5"/>
        <v/>
      </c>
      <c r="T24" s="76" t="str">
        <f t="shared" si="6"/>
        <v>-- 報告日時</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milscm_2023_009.sny_202310_base_merge_mml_lb_test.report_time IS '報告日時';</v>
      </c>
    </row>
    <row r="25" spans="1:45" s="25" customFormat="1">
      <c r="A25" s="4"/>
      <c r="B25" s="21">
        <f t="shared" si="2"/>
        <v>13</v>
      </c>
      <c r="C25" s="13" t="s">
        <v>1558</v>
      </c>
      <c r="D25" s="13" t="s">
        <v>1559</v>
      </c>
      <c r="E25" s="7"/>
      <c r="F25" s="7" t="s">
        <v>865</v>
      </c>
      <c r="G25" s="7" t="str">
        <f t="shared" si="3"/>
        <v>text</v>
      </c>
      <c r="H25" s="58"/>
      <c r="I25" s="23"/>
      <c r="J25" s="24" t="s">
        <v>1591</v>
      </c>
      <c r="M25" s="4"/>
      <c r="N25" s="76"/>
      <c r="O25" s="76"/>
      <c r="P25" s="76" t="str">
        <f t="shared" si="4"/>
        <v>,status</v>
      </c>
      <c r="Q25" s="76" t="str">
        <f t="shared" si="0"/>
        <v>TEXT</v>
      </c>
      <c r="R25" s="76" t="str">
        <f t="shared" si="1"/>
        <v/>
      </c>
      <c r="S25" s="76" t="str">
        <f t="shared" si="5"/>
        <v/>
      </c>
      <c r="T25" s="76" t="str">
        <f t="shared" si="6"/>
        <v>-- 報告状態</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milscm_2023_009.sny_202310_base_merge_mml_lb_test.status IS '報告状態';</v>
      </c>
    </row>
    <row r="26" spans="1:45" s="25" customFormat="1" ht="52.2">
      <c r="A26" s="4"/>
      <c r="B26" s="21">
        <f t="shared" si="2"/>
        <v>14</v>
      </c>
      <c r="C26" s="13" t="s">
        <v>1560</v>
      </c>
      <c r="D26" s="13" t="s">
        <v>1561</v>
      </c>
      <c r="E26" s="7"/>
      <c r="F26" s="7" t="s">
        <v>865</v>
      </c>
      <c r="G26" s="7" t="str">
        <f t="shared" si="3"/>
        <v>text</v>
      </c>
      <c r="H26" s="58"/>
      <c r="I26" s="23"/>
      <c r="J26" s="24" t="s">
        <v>1592</v>
      </c>
      <c r="M26" s="4"/>
      <c r="N26" s="76"/>
      <c r="O26" s="76"/>
      <c r="P26" s="76" t="str">
        <f t="shared" si="4"/>
        <v>,status_code</v>
      </c>
      <c r="Q26" s="76" t="str">
        <f t="shared" si="0"/>
        <v>TEXT</v>
      </c>
      <c r="R26" s="76" t="str">
        <f t="shared" si="1"/>
        <v/>
      </c>
      <c r="S26" s="76" t="str">
        <f t="shared" si="5"/>
        <v/>
      </c>
      <c r="T26" s="76" t="str">
        <f t="shared" si="6"/>
        <v>-- 報告状態コード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milscm_2023_009.sny_202310_base_merge_mml_lb_test.status_code IS '報告状態コード';</v>
      </c>
    </row>
    <row r="27" spans="1:45" s="25" customFormat="1">
      <c r="A27" s="4"/>
      <c r="B27" s="21">
        <f t="shared" si="2"/>
        <v>15</v>
      </c>
      <c r="C27" s="13" t="s">
        <v>1562</v>
      </c>
      <c r="D27" s="13" t="s">
        <v>1563</v>
      </c>
      <c r="E27" s="7"/>
      <c r="F27" s="7" t="s">
        <v>865</v>
      </c>
      <c r="G27" s="7" t="str">
        <f t="shared" si="3"/>
        <v>text</v>
      </c>
      <c r="H27" s="58"/>
      <c r="I27" s="23"/>
      <c r="J27" s="24" t="s">
        <v>1593</v>
      </c>
      <c r="M27" s="4"/>
      <c r="N27" s="76"/>
      <c r="O27" s="76"/>
      <c r="P27" s="76" t="str">
        <f t="shared" si="4"/>
        <v>,set_name</v>
      </c>
      <c r="Q27" s="76" t="str">
        <f t="shared" si="0"/>
        <v>TEXT</v>
      </c>
      <c r="R27" s="76" t="str">
        <f t="shared" si="1"/>
        <v/>
      </c>
      <c r="S27" s="76" t="str">
        <f t="shared" si="5"/>
        <v/>
      </c>
      <c r="T27" s="76" t="str">
        <f t="shared" si="6"/>
        <v>-- セット名</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milscm_2023_009.sny_202310_base_merge_mml_lb_test.set_name IS 'セット名';</v>
      </c>
    </row>
    <row r="28" spans="1:45" s="25" customFormat="1" ht="34.799999999999997">
      <c r="A28" s="4"/>
      <c r="B28" s="21">
        <f t="shared" si="2"/>
        <v>16</v>
      </c>
      <c r="C28" s="13" t="s">
        <v>1564</v>
      </c>
      <c r="D28" s="13" t="s">
        <v>1565</v>
      </c>
      <c r="E28" s="7"/>
      <c r="F28" s="7" t="s">
        <v>865</v>
      </c>
      <c r="G28" s="7" t="str">
        <f t="shared" si="3"/>
        <v>text</v>
      </c>
      <c r="H28" s="58"/>
      <c r="I28" s="23"/>
      <c r="J28" s="24" t="s">
        <v>1594</v>
      </c>
      <c r="M28" s="4"/>
      <c r="N28" s="76"/>
      <c r="O28" s="76"/>
      <c r="P28" s="76" t="str">
        <f t="shared" si="4"/>
        <v>,set_name_code</v>
      </c>
      <c r="Q28" s="76" t="str">
        <f t="shared" si="0"/>
        <v>TEXT</v>
      </c>
      <c r="R28" s="76" t="str">
        <f t="shared" si="1"/>
        <v/>
      </c>
      <c r="S28" s="76" t="str">
        <f t="shared" si="5"/>
        <v/>
      </c>
      <c r="T28" s="76" t="str">
        <f t="shared" si="6"/>
        <v>-- セット名コード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milscm_2023_009.sny_202310_base_merge_mml_lb_test.set_name_code IS 'セット名コード';</v>
      </c>
    </row>
    <row r="29" spans="1:45" s="25" customFormat="1" ht="34.799999999999997">
      <c r="A29" s="4"/>
      <c r="B29" s="21">
        <f t="shared" si="2"/>
        <v>17</v>
      </c>
      <c r="C29" s="13" t="s">
        <v>1566</v>
      </c>
      <c r="D29" s="13" t="s">
        <v>1567</v>
      </c>
      <c r="E29" s="7"/>
      <c r="F29" s="7" t="s">
        <v>865</v>
      </c>
      <c r="G29" s="7" t="str">
        <f t="shared" si="3"/>
        <v>text</v>
      </c>
      <c r="H29" s="58"/>
      <c r="I29" s="23"/>
      <c r="J29" s="24" t="s">
        <v>1595</v>
      </c>
      <c r="M29" s="4"/>
      <c r="N29" s="76"/>
      <c r="O29" s="76"/>
      <c r="P29" s="76" t="str">
        <f t="shared" si="4"/>
        <v>,set_name_code_id</v>
      </c>
      <c r="Q29" s="76" t="str">
        <f t="shared" si="0"/>
        <v>TEXT</v>
      </c>
      <c r="R29" s="76" t="str">
        <f t="shared" si="1"/>
        <v/>
      </c>
      <c r="S29" s="76" t="str">
        <f t="shared" si="5"/>
        <v/>
      </c>
      <c r="T29" s="76" t="str">
        <f t="shared" si="6"/>
        <v>-- セット名コードID</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milscm_2023_009.sny_202310_base_merge_mml_lb_test.set_name_code_id IS 'セット名コードID';</v>
      </c>
    </row>
    <row r="30" spans="1:45" s="25" customFormat="1">
      <c r="A30" s="4"/>
      <c r="B30" s="21">
        <f t="shared" si="2"/>
        <v>18</v>
      </c>
      <c r="C30" s="13" t="s">
        <v>1568</v>
      </c>
      <c r="D30" s="13" t="s">
        <v>1569</v>
      </c>
      <c r="E30" s="7"/>
      <c r="F30" s="7" t="s">
        <v>865</v>
      </c>
      <c r="G30" s="7" t="str">
        <f t="shared" si="3"/>
        <v>text</v>
      </c>
      <c r="H30" s="58"/>
      <c r="I30" s="23"/>
      <c r="J30" s="24" t="s">
        <v>1596</v>
      </c>
      <c r="M30" s="4"/>
      <c r="N30" s="76"/>
      <c r="O30" s="76"/>
      <c r="P30" s="76" t="str">
        <f t="shared" si="4"/>
        <v>,irai_facility</v>
      </c>
      <c r="Q30" s="76" t="str">
        <f t="shared" si="0"/>
        <v>TEXT</v>
      </c>
      <c r="R30" s="76" t="str">
        <f t="shared" si="1"/>
        <v/>
      </c>
      <c r="S30" s="76" t="str">
        <f t="shared" si="5"/>
        <v/>
      </c>
      <c r="T30" s="76" t="str">
        <f t="shared" si="6"/>
        <v>-- 依頼施設</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milscm_2023_009.sny_202310_base_merge_mml_lb_test.irai_facility IS '依頼施設';</v>
      </c>
    </row>
    <row r="31" spans="1:45" s="25" customFormat="1">
      <c r="A31" s="4"/>
      <c r="B31" s="21">
        <f t="shared" si="2"/>
        <v>19</v>
      </c>
      <c r="C31" s="13" t="s">
        <v>1570</v>
      </c>
      <c r="D31" s="13" t="s">
        <v>1571</v>
      </c>
      <c r="E31" s="7"/>
      <c r="F31" s="7" t="s">
        <v>865</v>
      </c>
      <c r="G31" s="7" t="str">
        <f t="shared" si="3"/>
        <v>text</v>
      </c>
      <c r="H31" s="58"/>
      <c r="I31" s="23"/>
      <c r="J31" s="24" t="s">
        <v>1597</v>
      </c>
      <c r="M31" s="4"/>
      <c r="N31" s="76"/>
      <c r="O31" s="76"/>
      <c r="P31" s="76" t="str">
        <f t="shared" si="4"/>
        <v>,irai_facility_code</v>
      </c>
      <c r="Q31" s="76" t="str">
        <f t="shared" si="0"/>
        <v>TEXT</v>
      </c>
      <c r="R31" s="76" t="str">
        <f t="shared" si="1"/>
        <v/>
      </c>
      <c r="S31" s="76" t="str">
        <f t="shared" si="5"/>
        <v/>
      </c>
      <c r="T31" s="76" t="str">
        <f t="shared" si="6"/>
        <v>-- 依頼施設コード</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milscm_2023_009.sny_202310_base_merge_mml_lb_test.irai_facility_code IS '依頼施設コード';</v>
      </c>
    </row>
    <row r="32" spans="1:45" s="25" customFormat="1" ht="34.799999999999997">
      <c r="A32" s="4"/>
      <c r="B32" s="21">
        <f t="shared" si="2"/>
        <v>20</v>
      </c>
      <c r="C32" s="13" t="s">
        <v>1572</v>
      </c>
      <c r="D32" s="13" t="s">
        <v>1573</v>
      </c>
      <c r="E32" s="7"/>
      <c r="F32" s="7" t="s">
        <v>865</v>
      </c>
      <c r="G32" s="7" t="str">
        <f t="shared" si="3"/>
        <v>text</v>
      </c>
      <c r="H32" s="58"/>
      <c r="I32" s="23"/>
      <c r="J32" s="24" t="s">
        <v>1598</v>
      </c>
      <c r="M32" s="4"/>
      <c r="N32" s="76"/>
      <c r="O32" s="76"/>
      <c r="P32" s="76" t="str">
        <f t="shared" si="4"/>
        <v>,irai_facility_code_id</v>
      </c>
      <c r="Q32" s="76" t="str">
        <f t="shared" si="0"/>
        <v>TEXT</v>
      </c>
      <c r="R32" s="76" t="str">
        <f t="shared" si="1"/>
        <v/>
      </c>
      <c r="S32" s="76" t="str">
        <f t="shared" si="5"/>
        <v/>
      </c>
      <c r="T32" s="76" t="str">
        <f t="shared" si="6"/>
        <v>-- 依頼施設コードID</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milscm_2023_009.sny_202310_base_merge_mml_lb_test.irai_facility_code_id IS '依頼施設コードID';</v>
      </c>
    </row>
    <row r="33" spans="1:52" s="25" customFormat="1">
      <c r="A33" s="4"/>
      <c r="B33" s="21">
        <f t="shared" si="2"/>
        <v>21</v>
      </c>
      <c r="C33" s="13" t="s">
        <v>1574</v>
      </c>
      <c r="D33" s="13" t="s">
        <v>1575</v>
      </c>
      <c r="E33" s="7"/>
      <c r="F33" s="7" t="s">
        <v>865</v>
      </c>
      <c r="G33" s="7" t="str">
        <f t="shared" si="3"/>
        <v>text</v>
      </c>
      <c r="H33" s="58"/>
      <c r="I33" s="23"/>
      <c r="J33" s="24" t="s">
        <v>1599</v>
      </c>
      <c r="M33" s="4"/>
      <c r="N33" s="76"/>
      <c r="O33" s="76"/>
      <c r="P33" s="76" t="str">
        <f t="shared" si="4"/>
        <v>,irai_department</v>
      </c>
      <c r="Q33" s="76" t="str">
        <f t="shared" si="0"/>
        <v>TEXT</v>
      </c>
      <c r="R33" s="76" t="str">
        <f t="shared" si="1"/>
        <v/>
      </c>
      <c r="S33" s="76" t="str">
        <f t="shared" si="5"/>
        <v/>
      </c>
      <c r="T33" s="76" t="str">
        <f t="shared" si="6"/>
        <v>-- 依頼診療科</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milscm_2023_009.sny_202310_base_merge_mml_lb_test.irai_department IS '依頼診療科';</v>
      </c>
    </row>
    <row r="34" spans="1:52" s="25" customFormat="1" ht="34.799999999999997">
      <c r="A34" s="4"/>
      <c r="B34" s="21">
        <f t="shared" si="2"/>
        <v>22</v>
      </c>
      <c r="C34" s="13" t="s">
        <v>1576</v>
      </c>
      <c r="D34" s="13" t="s">
        <v>1577</v>
      </c>
      <c r="E34" s="7"/>
      <c r="F34" s="7" t="s">
        <v>865</v>
      </c>
      <c r="G34" s="7" t="str">
        <f t="shared" si="3"/>
        <v>text</v>
      </c>
      <c r="H34" s="58"/>
      <c r="I34" s="23"/>
      <c r="J34" s="24" t="s">
        <v>1600</v>
      </c>
      <c r="M34" s="4"/>
      <c r="N34" s="76"/>
      <c r="O34" s="76"/>
      <c r="P34" s="76" t="str">
        <f t="shared" si="4"/>
        <v>,irai_department_code</v>
      </c>
      <c r="Q34" s="76" t="str">
        <f t="shared" si="0"/>
        <v>TEXT</v>
      </c>
      <c r="R34" s="76" t="str">
        <f t="shared" si="1"/>
        <v/>
      </c>
      <c r="S34" s="76" t="str">
        <f t="shared" si="5"/>
        <v/>
      </c>
      <c r="T34" s="76" t="str">
        <f t="shared" si="6"/>
        <v>-- 依頼診療科コード</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milscm_2023_009.sny_202310_base_merge_mml_lb_test.irai_department_code IS '依頼診療科コード';</v>
      </c>
    </row>
    <row r="35" spans="1:52" s="25" customFormat="1">
      <c r="A35" s="4"/>
      <c r="B35" s="21">
        <f t="shared" si="2"/>
        <v>23</v>
      </c>
      <c r="C35" s="13" t="s">
        <v>1578</v>
      </c>
      <c r="D35" s="13" t="s">
        <v>1579</v>
      </c>
      <c r="E35" s="7"/>
      <c r="F35" s="7" t="s">
        <v>865</v>
      </c>
      <c r="G35" s="7" t="str">
        <f t="shared" si="3"/>
        <v>text</v>
      </c>
      <c r="H35" s="58"/>
      <c r="I35" s="23"/>
      <c r="J35" s="24" t="s">
        <v>1601</v>
      </c>
      <c r="M35" s="4"/>
      <c r="N35" s="76"/>
      <c r="O35" s="76"/>
      <c r="P35" s="76" t="str">
        <f t="shared" si="4"/>
        <v>,irai_ward</v>
      </c>
      <c r="Q35" s="76" t="str">
        <f t="shared" si="0"/>
        <v>TEXT</v>
      </c>
      <c r="R35" s="76" t="str">
        <f t="shared" si="1"/>
        <v/>
      </c>
      <c r="S35" s="76" t="str">
        <f t="shared" si="5"/>
        <v/>
      </c>
      <c r="T35" s="76" t="str">
        <f t="shared" si="6"/>
        <v>-- 依頼病棟</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milscm_2023_009.sny_202310_base_merge_mml_lb_test.irai_ward IS '依頼病棟';</v>
      </c>
    </row>
    <row r="36" spans="1:52" s="25" customFormat="1" ht="34.799999999999997">
      <c r="A36" s="4"/>
      <c r="B36" s="21">
        <f t="shared" si="2"/>
        <v>24</v>
      </c>
      <c r="C36" s="13" t="s">
        <v>1580</v>
      </c>
      <c r="D36" s="13" t="s">
        <v>1581</v>
      </c>
      <c r="E36" s="7"/>
      <c r="F36" s="7" t="s">
        <v>865</v>
      </c>
      <c r="G36" s="7" t="str">
        <f t="shared" si="3"/>
        <v>text</v>
      </c>
      <c r="H36" s="58"/>
      <c r="I36" s="23"/>
      <c r="J36" s="24" t="s">
        <v>1602</v>
      </c>
      <c r="M36" s="4"/>
      <c r="N36" s="76"/>
      <c r="O36" s="76"/>
      <c r="P36" s="76" t="str">
        <f t="shared" si="4"/>
        <v>,irai_ward_code</v>
      </c>
      <c r="Q36" s="76" t="str">
        <f t="shared" si="0"/>
        <v>TEXT</v>
      </c>
      <c r="R36" s="76" t="str">
        <f t="shared" si="1"/>
        <v/>
      </c>
      <c r="S36" s="76" t="str">
        <f t="shared" si="5"/>
        <v/>
      </c>
      <c r="T36" s="76" t="str">
        <f t="shared" si="6"/>
        <v>-- 依頼病棟コード</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milscm_2023_009.sny_202310_base_merge_mml_lb_test.irai_ward_code IS '依頼病棟コード';</v>
      </c>
    </row>
    <row r="37" spans="1:52" s="25" customFormat="1" ht="34.799999999999997">
      <c r="A37" s="4"/>
      <c r="B37" s="21">
        <f t="shared" si="2"/>
        <v>25</v>
      </c>
      <c r="C37" s="13" t="s">
        <v>1582</v>
      </c>
      <c r="D37" s="13" t="s">
        <v>1583</v>
      </c>
      <c r="E37" s="7"/>
      <c r="F37" s="7" t="s">
        <v>865</v>
      </c>
      <c r="G37" s="7" t="str">
        <f t="shared" si="3"/>
        <v>text</v>
      </c>
      <c r="H37" s="58"/>
      <c r="I37" s="23"/>
      <c r="J37" s="24" t="s">
        <v>1603</v>
      </c>
      <c r="M37" s="4"/>
      <c r="N37" s="76"/>
      <c r="O37" s="76"/>
      <c r="P37" s="76" t="str">
        <f t="shared" si="4"/>
        <v>,irai_ward_code_id</v>
      </c>
      <c r="Q37" s="76" t="str">
        <f t="shared" si="0"/>
        <v>TEXT</v>
      </c>
      <c r="R37" s="76" t="str">
        <f t="shared" si="1"/>
        <v/>
      </c>
      <c r="S37" s="76" t="str">
        <f t="shared" si="5"/>
        <v/>
      </c>
      <c r="T37" s="76" t="str">
        <f t="shared" si="6"/>
        <v>-- 依頼病棟コードID</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milscm_2023_009.sny_202310_base_merge_mml_lb_test.irai_ward_code_id IS '依頼病棟コードID';</v>
      </c>
    </row>
    <row r="38" spans="1:52" s="25" customFormat="1" ht="18" thickBot="1">
      <c r="A38" s="4"/>
      <c r="B38" s="27">
        <f>ROW()-12</f>
        <v>26</v>
      </c>
      <c r="C38" s="57" t="s">
        <v>1584</v>
      </c>
      <c r="D38" s="57" t="s">
        <v>1585</v>
      </c>
      <c r="E38" s="56"/>
      <c r="F38" s="56" t="s">
        <v>865</v>
      </c>
      <c r="G38" s="56" t="str">
        <f t="shared" si="3"/>
        <v>text</v>
      </c>
      <c r="H38" s="59"/>
      <c r="I38" s="60"/>
      <c r="J38" s="64" t="s">
        <v>1604</v>
      </c>
      <c r="N38" s="76"/>
      <c r="O38" s="76"/>
      <c r="P38" s="76" t="str">
        <f t="shared" si="4"/>
        <v>,report_free_comment</v>
      </c>
      <c r="Q38" s="76" t="str">
        <f t="shared" si="0"/>
        <v>TEXT</v>
      </c>
      <c r="R38" s="76" t="str">
        <f t="shared" si="1"/>
        <v/>
      </c>
      <c r="S38" s="76" t="str">
        <f t="shared" si="5"/>
        <v/>
      </c>
      <c r="T38" s="76" t="str">
        <f t="shared" si="6"/>
        <v>-- 報告フリーコメント</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milscm_2023_009.sny_202310_base_merge_mml_lb_test.report_free_comment IS '報告フリーコメント';</v>
      </c>
    </row>
    <row r="39" spans="1:52">
      <c r="L39" s="25"/>
      <c r="M39" s="25"/>
      <c r="N39" s="76" t="s">
        <v>142</v>
      </c>
      <c r="O39" s="76"/>
      <c r="P39" s="76"/>
      <c r="Q39" s="76"/>
      <c r="R39" s="76"/>
      <c r="S39" s="76"/>
      <c r="T39" s="76"/>
      <c r="V39" s="25"/>
      <c r="W39" s="25"/>
      <c r="X39" s="25"/>
      <c r="Y39" s="25"/>
      <c r="Z39" s="25"/>
      <c r="AJ39" s="76"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ENT_31_C4-33</v>
      </c>
      <c r="E6" s="234"/>
      <c r="F6" s="234"/>
      <c r="G6" s="234"/>
      <c r="H6" s="234"/>
      <c r="I6" s="234"/>
      <c r="J6" s="235"/>
    </row>
    <row r="7" spans="1:45">
      <c r="B7" s="223" t="s">
        <v>115</v>
      </c>
      <c r="C7" s="224"/>
      <c r="D7" s="225" t="s">
        <v>3693</v>
      </c>
      <c r="E7" s="226"/>
      <c r="F7" s="226"/>
      <c r="G7" s="226"/>
      <c r="H7" s="226"/>
      <c r="I7" s="226"/>
      <c r="J7" s="227"/>
    </row>
    <row r="8" spans="1:45">
      <c r="B8" s="223" t="s">
        <v>116</v>
      </c>
      <c r="C8" s="224"/>
      <c r="D8" s="225" t="str">
        <f>エンティティ一覧!AE2&amp;"_"&amp;D5&amp;"_merge_mml_lb_specimen"</f>
        <v>sny_202310_base_merge_mml_lb_specimen</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milscm_2023_009.sny_202310_base_merge_mml_lb_specimen;</v>
      </c>
      <c r="O10" s="76"/>
      <c r="P10" s="76"/>
      <c r="Q10" s="76"/>
      <c r="R10" s="76"/>
      <c r="S10" s="76"/>
      <c r="T10" s="76"/>
      <c r="AJ10" s="76" t="str">
        <f>"ALTER TABLE ONLY "&amp;エンティティ一覧!$O$2&amp;"."&amp;D$8</f>
        <v>ALTER TABLE ONLY milscm_2023_009.sny_202310_base_merge_mml_lb_specimen</v>
      </c>
      <c r="AS10" s="76" t="str">
        <f>"ALTER TABLE "&amp;エンティティ一覧!$O$2&amp;"."&amp;D$8&amp;" OWNER TO pgmisgrp1;"</f>
        <v>ALTER TABLE milscm_2023_009.sny_202310_base_merge_mml_lb_specimen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milscm_2023_009.sny_202310_base_merge_mml_lb_specimen</v>
      </c>
      <c r="O11" s="76"/>
      <c r="P11" s="76"/>
      <c r="Q11" s="76"/>
      <c r="R11" s="76"/>
      <c r="S11" s="76"/>
      <c r="T11" s="76"/>
      <c r="AJ11" s="76" t="str">
        <f>"ADD CONSTRAINT "&amp;D$8&amp;"_pkey PRIMARY KEY"</f>
        <v>ADD CONSTRAINT sny_202310_base_merge_mml_lb_specimen_pkey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milscm_2023_009.sny_202310_base_merge_mml_lb_specimen IS 'ベース_検歴情報モジュール_検歴検体材料';</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26" si="0">UPPER(G13)</f>
        <v>TEXT</v>
      </c>
      <c r="R13" s="76" t="str">
        <f t="shared" ref="R13:R26"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milscm_2023_009.sny_202310_base_merge_mml_lb_specimen.torikomi_ym IS '取込年月';</v>
      </c>
    </row>
    <row r="14" spans="1:45" s="25" customFormat="1">
      <c r="A14" s="4"/>
      <c r="B14" s="21">
        <f t="shared" ref="B14:B25" si="2">ROW()-12</f>
        <v>2</v>
      </c>
      <c r="C14" s="6" t="s">
        <v>202</v>
      </c>
      <c r="D14" s="6" t="s">
        <v>203</v>
      </c>
      <c r="E14" s="8"/>
      <c r="F14" s="7" t="s">
        <v>204</v>
      </c>
      <c r="G14" s="7" t="str">
        <f t="shared" ref="G14:G26" si="3">IF(F14="フラグ","boolean",IF(F14="文字列","text",IF(F14="整数","integer",IF(F14="実数","numeric",""))))</f>
        <v>integer</v>
      </c>
      <c r="H14" s="26"/>
      <c r="I14" s="10"/>
      <c r="J14" s="11" t="s">
        <v>1286</v>
      </c>
      <c r="M14" s="4"/>
      <c r="N14" s="76"/>
      <c r="O14" s="76"/>
      <c r="P14" s="76" t="str">
        <f t="shared" ref="P14:P26"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milscm_2023_009.sny_202310_base_merge_mml_lb_specimen.mil_karute_id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26" si="5">IF(I15="○","NOT NULL","")</f>
        <v>NOT NULL</v>
      </c>
      <c r="T15" s="76" t="str">
        <f t="shared" ref="T15:T26"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milscm_2023_009.sny_202310_base_merge_mml_lb_specimen.facility_id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milscm_2023_009.sny_202310_base_merge_mml_lb_specimen.shinryo_ymd IS '診療年月日';</v>
      </c>
    </row>
    <row r="17" spans="1:52"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milscm_2023_009.sny_202310_base_merge_mml_lb_specimen.data_type IS 'データ種別';</v>
      </c>
    </row>
    <row r="18" spans="1:52"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milscm_2023_009.sny_202310_base_merge_mml_lb_specimen.master_id IS '患者ID';</v>
      </c>
    </row>
    <row r="19" spans="1:52"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milscm_2023_009.sny_202310_base_merge_mml_lb_specimen.uid IS '文書ユニークID';</v>
      </c>
    </row>
    <row r="20" spans="1:52"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milscm_2023_009.sny_202310_base_merge_mml_lb_specimen.kenreki_seq IS '検歴SEQ';</v>
      </c>
    </row>
    <row r="21" spans="1:52" s="25" customFormat="1">
      <c r="A21" s="4"/>
      <c r="B21" s="21">
        <f t="shared" si="2"/>
        <v>9</v>
      </c>
      <c r="C21" s="13" t="s">
        <v>1606</v>
      </c>
      <c r="D21" s="13" t="s">
        <v>1607</v>
      </c>
      <c r="E21" s="7" t="s">
        <v>127</v>
      </c>
      <c r="F21" s="7" t="s">
        <v>204</v>
      </c>
      <c r="G21" s="7" t="str">
        <f t="shared" si="3"/>
        <v>integer</v>
      </c>
      <c r="H21" s="58"/>
      <c r="I21" s="23" t="s">
        <v>127</v>
      </c>
      <c r="J21" s="24" t="s">
        <v>1618</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milscm_2023_009.sny_202310_base_merge_mml_lb_specimen.labo_test_seq IS '検体結果情報SEQ';</v>
      </c>
    </row>
    <row r="22" spans="1:52" s="25" customFormat="1" ht="69.599999999999994">
      <c r="A22" s="4"/>
      <c r="B22" s="21">
        <f t="shared" si="2"/>
        <v>10</v>
      </c>
      <c r="C22" s="13" t="s">
        <v>1608</v>
      </c>
      <c r="D22" s="13" t="s">
        <v>1609</v>
      </c>
      <c r="E22" s="7" t="s">
        <v>127</v>
      </c>
      <c r="F22" s="7" t="s">
        <v>204</v>
      </c>
      <c r="G22" s="7" t="str">
        <f t="shared" si="3"/>
        <v>integer</v>
      </c>
      <c r="H22" s="58">
        <v>1</v>
      </c>
      <c r="I22" s="23" t="s">
        <v>127</v>
      </c>
      <c r="J22" s="24" t="s">
        <v>1619</v>
      </c>
      <c r="M22" s="4"/>
      <c r="N22" s="76"/>
      <c r="O22" s="76"/>
      <c r="P22" s="76" t="str">
        <f t="shared" si="4"/>
        <v>,specimen_seq</v>
      </c>
      <c r="Q22" s="76" t="str">
        <f t="shared" si="0"/>
        <v>INTEGER</v>
      </c>
      <c r="R22" s="76" t="str">
        <f t="shared" si="1"/>
        <v>default 1</v>
      </c>
      <c r="S22" s="76" t="str">
        <f t="shared" si="5"/>
        <v>NOT NULL</v>
      </c>
      <c r="T22" s="76" t="str">
        <f t="shared" si="6"/>
        <v>-- 検体材料SEQ</v>
      </c>
      <c r="U22" s="4"/>
      <c r="AA22" s="4"/>
      <c r="AB22" s="4"/>
      <c r="AC22" s="4"/>
      <c r="AD22" s="4"/>
      <c r="AE22" s="4"/>
      <c r="AF22" s="4"/>
      <c r="AG22" s="4"/>
      <c r="AH22" s="4"/>
      <c r="AI22" s="4"/>
      <c r="AJ22" s="76" t="str">
        <f>IF(E22="○",IF(COUNTA(E$13:E22)=1,"",",")&amp;D22,"")</f>
        <v>,specimen_seq</v>
      </c>
      <c r="AK22" s="4"/>
      <c r="AL22" s="4"/>
      <c r="AM22" s="4"/>
      <c r="AN22" s="4"/>
      <c r="AO22" s="4"/>
      <c r="AP22" s="4"/>
      <c r="AQ22" s="4"/>
      <c r="AR22" s="4"/>
      <c r="AS22" s="76" t="str">
        <f>"COMMENT ON COLUMN "&amp;エンティティ一覧!$O$2&amp;"."&amp;D$8&amp;"."&amp;D22&amp;" IS '"&amp;C22&amp;"';"</f>
        <v>COMMENT ON COLUMN milscm_2023_009.sny_202310_base_merge_mml_lb_specimen.specimen_seq IS '検体材料SEQ';</v>
      </c>
    </row>
    <row r="23" spans="1:52" s="25" customFormat="1">
      <c r="A23" s="4"/>
      <c r="B23" s="21">
        <f t="shared" si="2"/>
        <v>11</v>
      </c>
      <c r="C23" s="13" t="s">
        <v>1610</v>
      </c>
      <c r="D23" s="13" t="s">
        <v>1611</v>
      </c>
      <c r="E23" s="7"/>
      <c r="F23" s="7" t="s">
        <v>865</v>
      </c>
      <c r="G23" s="7" t="str">
        <f t="shared" si="3"/>
        <v>text</v>
      </c>
      <c r="H23" s="58"/>
      <c r="I23" s="23"/>
      <c r="J23" s="24" t="s">
        <v>1620</v>
      </c>
      <c r="M23" s="4"/>
      <c r="N23" s="76"/>
      <c r="O23" s="76"/>
      <c r="P23" s="76" t="str">
        <f t="shared" si="4"/>
        <v>,specimen_name</v>
      </c>
      <c r="Q23" s="76" t="str">
        <f t="shared" si="0"/>
        <v>TEXT</v>
      </c>
      <c r="R23" s="76" t="str">
        <f t="shared" si="1"/>
        <v/>
      </c>
      <c r="S23" s="76" t="str">
        <f t="shared" si="5"/>
        <v/>
      </c>
      <c r="T23" s="76" t="str">
        <f t="shared" si="6"/>
        <v>-- 検体材料</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milscm_2023_009.sny_202310_base_merge_mml_lb_specimen.specimen_name IS '検体材料';</v>
      </c>
    </row>
    <row r="24" spans="1:52" s="25" customFormat="1" ht="34.799999999999997">
      <c r="A24" s="4"/>
      <c r="B24" s="21">
        <f t="shared" si="2"/>
        <v>12</v>
      </c>
      <c r="C24" s="13" t="s">
        <v>1612</v>
      </c>
      <c r="D24" s="13" t="s">
        <v>1613</v>
      </c>
      <c r="E24" s="7"/>
      <c r="F24" s="7" t="s">
        <v>865</v>
      </c>
      <c r="G24" s="7" t="str">
        <f t="shared" si="3"/>
        <v>text</v>
      </c>
      <c r="H24" s="58"/>
      <c r="I24" s="23"/>
      <c r="J24" s="24" t="s">
        <v>1621</v>
      </c>
      <c r="M24" s="4"/>
      <c r="N24" s="76"/>
      <c r="O24" s="76"/>
      <c r="P24" s="76" t="str">
        <f t="shared" si="4"/>
        <v>,sp_code</v>
      </c>
      <c r="Q24" s="76" t="str">
        <f t="shared" si="0"/>
        <v>TEXT</v>
      </c>
      <c r="R24" s="76" t="str">
        <f t="shared" si="1"/>
        <v/>
      </c>
      <c r="S24" s="76" t="str">
        <f t="shared" si="5"/>
        <v/>
      </c>
      <c r="T24" s="76" t="str">
        <f t="shared" si="6"/>
        <v>-- 検体材料コード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milscm_2023_009.sny_202310_base_merge_mml_lb_specimen.sp_code IS '検体材料コード';</v>
      </c>
    </row>
    <row r="25" spans="1:52" s="25" customFormat="1" ht="52.2">
      <c r="A25" s="4"/>
      <c r="B25" s="21">
        <f t="shared" si="2"/>
        <v>13</v>
      </c>
      <c r="C25" s="13" t="s">
        <v>1614</v>
      </c>
      <c r="D25" s="13" t="s">
        <v>1615</v>
      </c>
      <c r="E25" s="7"/>
      <c r="F25" s="7" t="s">
        <v>865</v>
      </c>
      <c r="G25" s="7" t="str">
        <f t="shared" si="3"/>
        <v>text</v>
      </c>
      <c r="H25" s="58"/>
      <c r="I25" s="23"/>
      <c r="J25" s="24" t="s">
        <v>1622</v>
      </c>
      <c r="M25" s="4"/>
      <c r="N25" s="76"/>
      <c r="O25" s="76"/>
      <c r="P25" s="76" t="str">
        <f t="shared" si="4"/>
        <v>,sp_code_id</v>
      </c>
      <c r="Q25" s="76" t="str">
        <f t="shared" si="0"/>
        <v>TEXT</v>
      </c>
      <c r="R25" s="76" t="str">
        <f t="shared" si="1"/>
        <v/>
      </c>
      <c r="S25" s="76" t="str">
        <f t="shared" si="5"/>
        <v/>
      </c>
      <c r="T25" s="76" t="str">
        <f t="shared" si="6"/>
        <v>-- 検体材料コードのテーブル名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milscm_2023_009.sny_202310_base_merge_mml_lb_specimen.sp_code_id IS '検体材料コードのテーブル名';</v>
      </c>
    </row>
    <row r="26" spans="1:52" s="25" customFormat="1" ht="18" thickBot="1">
      <c r="A26" s="4"/>
      <c r="B26" s="27">
        <f>ROW()-12</f>
        <v>14</v>
      </c>
      <c r="C26" s="57" t="s">
        <v>1616</v>
      </c>
      <c r="D26" s="57" t="s">
        <v>1617</v>
      </c>
      <c r="E26" s="56"/>
      <c r="F26" s="56" t="s">
        <v>865</v>
      </c>
      <c r="G26" s="56" t="str">
        <f t="shared" si="3"/>
        <v>text</v>
      </c>
      <c r="H26" s="59"/>
      <c r="I26" s="60"/>
      <c r="J26" s="64" t="s">
        <v>1623</v>
      </c>
      <c r="N26" s="76"/>
      <c r="O26" s="76"/>
      <c r="P26" s="76" t="str">
        <f t="shared" si="4"/>
        <v>,specimen_free_comment</v>
      </c>
      <c r="Q26" s="76" t="str">
        <f t="shared" si="0"/>
        <v>TEXT</v>
      </c>
      <c r="R26" s="76" t="str">
        <f t="shared" si="1"/>
        <v/>
      </c>
      <c r="S26" s="76" t="str">
        <f t="shared" si="5"/>
        <v/>
      </c>
      <c r="T26" s="76" t="str">
        <f t="shared" si="6"/>
        <v>-- 検体フリーコメント</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milscm_2023_009.sny_202310_base_merge_mml_lb_specimen.specimen_free_comment IS '検体フリーコメント';</v>
      </c>
    </row>
    <row r="27" spans="1:52">
      <c r="L27" s="25"/>
      <c r="M27" s="25"/>
      <c r="N27" s="76" t="s">
        <v>142</v>
      </c>
      <c r="O27" s="76"/>
      <c r="P27" s="76"/>
      <c r="Q27" s="76"/>
      <c r="R27" s="76"/>
      <c r="S27" s="76"/>
      <c r="T27" s="76"/>
      <c r="V27" s="25"/>
      <c r="W27" s="25"/>
      <c r="X27" s="25"/>
      <c r="Y27" s="25"/>
      <c r="Z27" s="25"/>
      <c r="AJ27" s="76"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41" t="s">
        <v>110</v>
      </c>
      <c r="C1" s="242"/>
      <c r="D1" s="245" t="s">
        <v>111</v>
      </c>
      <c r="E1" s="246"/>
      <c r="F1" s="246"/>
      <c r="G1" s="237"/>
      <c r="H1" s="245" t="s">
        <v>112</v>
      </c>
      <c r="I1" s="237"/>
      <c r="J1" s="15" t="s">
        <v>113</v>
      </c>
    </row>
    <row r="2" spans="1:45" ht="18" thickBot="1">
      <c r="B2" s="243"/>
      <c r="C2" s="244"/>
      <c r="D2" s="247" t="s">
        <v>114</v>
      </c>
      <c r="E2" s="248"/>
      <c r="F2" s="248"/>
      <c r="G2" s="249"/>
      <c r="H2" s="250"/>
      <c r="I2" s="251"/>
      <c r="J2" s="17"/>
    </row>
    <row r="3" spans="1:45" ht="18" thickBot="1">
      <c r="B3" s="5"/>
      <c r="C3" s="5"/>
      <c r="D3" s="5"/>
      <c r="E3" s="5"/>
      <c r="F3" s="5"/>
      <c r="G3" s="5"/>
      <c r="H3" s="5"/>
      <c r="I3" s="5"/>
      <c r="J3" s="18"/>
    </row>
    <row r="4" spans="1:45">
      <c r="B4" s="236" t="s">
        <v>3705</v>
      </c>
      <c r="C4" s="237"/>
      <c r="D4" s="238" t="str">
        <f>VLOOKUP(D7,エンティティ一覧!A1:'エンティティ一覧'!AM10161,2,FALSE)</f>
        <v>31</v>
      </c>
      <c r="E4" s="239"/>
      <c r="F4" s="239"/>
      <c r="G4" s="239"/>
      <c r="H4" s="239"/>
      <c r="I4" s="239"/>
      <c r="J4" s="240"/>
    </row>
    <row r="5" spans="1:45">
      <c r="B5" s="223" t="s">
        <v>3706</v>
      </c>
      <c r="C5" s="224"/>
      <c r="D5" s="233" t="str">
        <f>VLOOKUP(D7,エンティティ一覧!A1:'エンティティ一覧'!AM10161,7,FALSE)</f>
        <v>base</v>
      </c>
      <c r="E5" s="234"/>
      <c r="F5" s="234"/>
      <c r="G5" s="234"/>
      <c r="H5" s="234"/>
      <c r="I5" s="234"/>
      <c r="J5" s="235"/>
    </row>
    <row r="6" spans="1:45">
      <c r="B6" s="223" t="s">
        <v>3707</v>
      </c>
      <c r="C6" s="224"/>
      <c r="D6" s="233" t="str">
        <f>VLOOKUP(D7,エンティティ一覧!A1:'エンティティ一覧'!AM10161,15,FALSE)</f>
        <v>ENT_31_C4-35</v>
      </c>
      <c r="E6" s="234"/>
      <c r="F6" s="234"/>
      <c r="G6" s="234"/>
      <c r="H6" s="234"/>
      <c r="I6" s="234"/>
      <c r="J6" s="235"/>
    </row>
    <row r="7" spans="1:45">
      <c r="B7" s="223" t="s">
        <v>115</v>
      </c>
      <c r="C7" s="224"/>
      <c r="D7" s="225" t="s">
        <v>3694</v>
      </c>
      <c r="E7" s="226"/>
      <c r="F7" s="226"/>
      <c r="G7" s="226"/>
      <c r="H7" s="226"/>
      <c r="I7" s="226"/>
      <c r="J7" s="227"/>
    </row>
    <row r="8" spans="1:45">
      <c r="B8" s="223" t="s">
        <v>116</v>
      </c>
      <c r="C8" s="224"/>
      <c r="D8" s="225" t="str">
        <f>エンティティ一覧!AE2&amp;"_"&amp;D5&amp;"_merge_mml_lb_item"</f>
        <v>sny_202310_base_merge_mml_lb_item</v>
      </c>
      <c r="E8" s="226"/>
      <c r="F8" s="226"/>
      <c r="G8" s="226"/>
      <c r="H8" s="226"/>
      <c r="I8" s="226"/>
      <c r="J8" s="227"/>
    </row>
    <row r="9" spans="1:45" ht="19.5" customHeight="1" thickBot="1">
      <c r="B9" s="228" t="s">
        <v>117</v>
      </c>
      <c r="C9" s="229"/>
      <c r="D9" s="230"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1"/>
      <c r="F9" s="231"/>
      <c r="G9" s="231"/>
      <c r="H9" s="231"/>
      <c r="I9" s="231"/>
      <c r="J9" s="232"/>
    </row>
    <row r="10" spans="1:45">
      <c r="B10" s="19"/>
      <c r="C10" s="19"/>
      <c r="D10" s="5"/>
      <c r="E10" s="5"/>
      <c r="F10" s="5"/>
      <c r="G10" s="5"/>
      <c r="H10" s="5"/>
      <c r="I10" s="5"/>
      <c r="J10" s="18"/>
      <c r="N10" s="76" t="str">
        <f>"--DROP TABLE  "&amp;エンティティ一覧!$O$2&amp;"."&amp;D$8&amp;";"</f>
        <v>--DROP TABLE  milscm_2023_009.sny_202310_base_merge_mml_lb_item;</v>
      </c>
      <c r="O10" s="76"/>
      <c r="P10" s="76"/>
      <c r="Q10" s="76"/>
      <c r="R10" s="76"/>
      <c r="S10" s="76"/>
      <c r="T10" s="76"/>
      <c r="AJ10" s="76" t="str">
        <f>"ALTER TABLE ONLY "&amp;エンティティ一覧!$O$2&amp;"."&amp;D$8</f>
        <v>ALTER TABLE ONLY milscm_2023_009.sny_202310_base_merge_mml_lb_item</v>
      </c>
      <c r="AS10" s="76" t="str">
        <f>"ALTER TABLE "&amp;エンティティ一覧!$O$2&amp;"."&amp;D$8&amp;" OWNER TO pgmisgrp1;"</f>
        <v>ALTER TABLE milscm_2023_009.sny_202310_base_merge_mml_lb_item OWNER TO pgmisgrp1;</v>
      </c>
    </row>
    <row r="11" spans="1:45" ht="18" thickBot="1">
      <c r="B11" s="20" t="s">
        <v>118</v>
      </c>
      <c r="C11" s="19"/>
      <c r="D11" s="5"/>
      <c r="E11" s="5"/>
      <c r="F11" s="5"/>
      <c r="G11" s="5"/>
      <c r="H11" s="5"/>
      <c r="I11" s="5"/>
      <c r="J11" s="18"/>
      <c r="N11" s="76" t="str">
        <f>"CREATE TABLE  "&amp;エンティティ一覧!$O$2&amp;"."&amp;D$8</f>
        <v>CREATE TABLE  milscm_2023_009.sny_202310_base_merge_mml_lb_item</v>
      </c>
      <c r="O11" s="76"/>
      <c r="P11" s="76"/>
      <c r="Q11" s="76"/>
      <c r="R11" s="76"/>
      <c r="S11" s="76"/>
      <c r="T11" s="76"/>
      <c r="AJ11" s="76" t="str">
        <f>"ADD CONSTRAINT "&amp;D$8&amp;"_pkey PRIMARY KEY"</f>
        <v>ADD CONSTRAINT sny_202310_base_merge_mml_lb_item_pkey PRIMARY KEY</v>
      </c>
      <c r="AS11" s="76"/>
    </row>
    <row r="12" spans="1:45">
      <c r="B12" s="47" t="s">
        <v>119</v>
      </c>
      <c r="C12" s="48" t="s">
        <v>120</v>
      </c>
      <c r="D12" s="46" t="s">
        <v>121</v>
      </c>
      <c r="E12" s="44" t="s">
        <v>161</v>
      </c>
      <c r="F12" s="49" t="s">
        <v>122</v>
      </c>
      <c r="G12" s="49" t="s">
        <v>123</v>
      </c>
      <c r="H12" s="44" t="s">
        <v>124</v>
      </c>
      <c r="I12" s="44" t="s">
        <v>125</v>
      </c>
      <c r="J12" s="45" t="s">
        <v>126</v>
      </c>
      <c r="N12" s="76" t="s">
        <v>141</v>
      </c>
      <c r="O12" s="76"/>
      <c r="P12" s="76"/>
      <c r="Q12" s="76"/>
      <c r="R12" s="76"/>
      <c r="S12" s="76"/>
      <c r="T12" s="76"/>
      <c r="AJ12" s="76" t="s">
        <v>141</v>
      </c>
      <c r="AS12" s="76" t="str">
        <f>"COMMENT ON TABLE "&amp;エンティティ一覧!$O$2&amp;"."&amp;D$8&amp;" IS '"&amp;D7&amp;"';"</f>
        <v>COMMENT ON TABLE milscm_2023_009.sny_202310_base_merge_mml_lb_item IS 'ベース_検歴情報モジュール_検歴項目情報';</v>
      </c>
    </row>
    <row r="13" spans="1:45" s="25" customFormat="1">
      <c r="A13" s="4"/>
      <c r="B13" s="21">
        <f>ROW()-12</f>
        <v>1</v>
      </c>
      <c r="C13" s="6" t="s">
        <v>864</v>
      </c>
      <c r="D13" s="6" t="s">
        <v>200</v>
      </c>
      <c r="E13" s="8"/>
      <c r="F13" s="8" t="s">
        <v>865</v>
      </c>
      <c r="G13" s="7" t="str">
        <f>IF(F13="フラグ","boolean",IF(F13="文字列","text",IF(F13="整数","integer",IF(F13="実数","numeric",""))))</f>
        <v>text</v>
      </c>
      <c r="H13" s="9"/>
      <c r="I13" s="10" t="s">
        <v>127</v>
      </c>
      <c r="J13" s="11" t="s">
        <v>806</v>
      </c>
      <c r="M13" s="4"/>
      <c r="N13" s="76"/>
      <c r="O13" s="76"/>
      <c r="P13" s="76" t="str">
        <f>IF(B13&lt;&gt;1,","&amp;D13,D13)</f>
        <v>torikomi_ym</v>
      </c>
      <c r="Q13" s="76" t="str">
        <f t="shared" ref="Q13:Q40" si="0">UPPER(G13)</f>
        <v>TEXT</v>
      </c>
      <c r="R13" s="76" t="str">
        <f t="shared" ref="R13:R40" si="1">IF(H13&lt;&gt;"","default "&amp;IF(G13="text","'"&amp;H13&amp;"'",H13),"")</f>
        <v/>
      </c>
      <c r="S13" s="76" t="str">
        <f>IF(I13="○","NOT NULL","")</f>
        <v>NOT NULL</v>
      </c>
      <c r="T13" s="76" t="str">
        <f>"-- "&amp;C13</f>
        <v>-- 取込年月</v>
      </c>
      <c r="U13" s="4"/>
      <c r="AA13" s="4"/>
      <c r="AB13" s="4"/>
      <c r="AC13" s="4"/>
      <c r="AD13" s="4"/>
      <c r="AE13" s="4"/>
      <c r="AF13" s="4"/>
      <c r="AG13" s="4"/>
      <c r="AH13" s="4"/>
      <c r="AI13" s="4"/>
      <c r="AJ13" s="76" t="str">
        <f>IF(E13="○",IF(COUNTA(E$13:E13)=1,"",",")&amp;D13,"")</f>
        <v/>
      </c>
      <c r="AK13" s="4"/>
      <c r="AL13" s="4"/>
      <c r="AM13" s="4"/>
      <c r="AN13" s="4"/>
      <c r="AO13" s="4"/>
      <c r="AP13" s="4"/>
      <c r="AQ13" s="4"/>
      <c r="AR13" s="4"/>
      <c r="AS13" s="76" t="str">
        <f>"COMMENT ON COLUMN "&amp;エンティティ一覧!$O$2&amp;"."&amp;D$8&amp;"."&amp;D13&amp;" IS '"&amp;C13&amp;"';"</f>
        <v>COMMENT ON COLUMN milscm_2023_009.sny_202310_base_merge_mml_lb_item.torikomi_ym IS '取込年月';</v>
      </c>
    </row>
    <row r="14" spans="1:45" s="25" customFormat="1">
      <c r="A14" s="4"/>
      <c r="B14" s="21">
        <f t="shared" ref="B14:B39" si="2">ROW()-12</f>
        <v>2</v>
      </c>
      <c r="C14" s="6" t="s">
        <v>202</v>
      </c>
      <c r="D14" s="6" t="s">
        <v>203</v>
      </c>
      <c r="E14" s="8"/>
      <c r="F14" s="7" t="s">
        <v>204</v>
      </c>
      <c r="G14" s="7" t="str">
        <f t="shared" ref="G14:G40" si="3">IF(F14="フラグ","boolean",IF(F14="文字列","text",IF(F14="整数","integer",IF(F14="実数","numeric",""))))</f>
        <v>integer</v>
      </c>
      <c r="H14" s="26"/>
      <c r="I14" s="10"/>
      <c r="J14" s="11" t="s">
        <v>1286</v>
      </c>
      <c r="M14" s="4"/>
      <c r="N14" s="76"/>
      <c r="O14" s="76"/>
      <c r="P14" s="76" t="str">
        <f t="shared" ref="P14:P40" si="4">IF(B14&lt;&gt;1,","&amp;D14,D14)</f>
        <v>,mil_karute_id</v>
      </c>
      <c r="Q14" s="76" t="str">
        <f t="shared" si="0"/>
        <v>INTEGER</v>
      </c>
      <c r="R14" s="76" t="str">
        <f t="shared" si="1"/>
        <v/>
      </c>
      <c r="S14" s="76" t="str">
        <f>IF(I14="○","NOT NULL","")</f>
        <v/>
      </c>
      <c r="T14" s="76" t="str">
        <f>"-- "&amp;C14</f>
        <v>-- 千年カルテID</v>
      </c>
      <c r="U14" s="4"/>
      <c r="AA14" s="4"/>
      <c r="AB14" s="4"/>
      <c r="AC14" s="4"/>
      <c r="AD14" s="4"/>
      <c r="AE14" s="4"/>
      <c r="AF14" s="4"/>
      <c r="AG14" s="4"/>
      <c r="AH14" s="4"/>
      <c r="AI14" s="4"/>
      <c r="AJ14" s="76" t="str">
        <f>IF(E14="○",IF(COUNTA(E$13:E14)=1,"",",")&amp;D14,"")</f>
        <v/>
      </c>
      <c r="AK14" s="4"/>
      <c r="AL14" s="4"/>
      <c r="AM14" s="4"/>
      <c r="AN14" s="4"/>
      <c r="AO14" s="4"/>
      <c r="AP14" s="4"/>
      <c r="AQ14" s="4"/>
      <c r="AR14" s="4"/>
      <c r="AS14" s="76" t="str">
        <f>"COMMENT ON COLUMN "&amp;エンティティ一覧!$O$2&amp;"."&amp;D$8&amp;"."&amp;D14&amp;" IS '"&amp;C14&amp;"';"</f>
        <v>COMMENT ON COLUMN milscm_2023_009.sny_202310_base_merge_mml_lb_item.mil_karute_id IS '千年カルテID';</v>
      </c>
    </row>
    <row r="15" spans="1:45" s="25" customFormat="1" ht="87">
      <c r="A15" s="4"/>
      <c r="B15" s="21">
        <f t="shared" si="2"/>
        <v>3</v>
      </c>
      <c r="C15" s="13" t="s">
        <v>137</v>
      </c>
      <c r="D15" s="13" t="s">
        <v>128</v>
      </c>
      <c r="E15" s="7" t="s">
        <v>127</v>
      </c>
      <c r="F15" s="7" t="s">
        <v>865</v>
      </c>
      <c r="G15" s="7" t="str">
        <f t="shared" si="3"/>
        <v>text</v>
      </c>
      <c r="H15" s="58"/>
      <c r="I15" s="23" t="s">
        <v>127</v>
      </c>
      <c r="J15" s="24" t="s">
        <v>1287</v>
      </c>
      <c r="M15" s="4"/>
      <c r="N15" s="76"/>
      <c r="O15" s="76"/>
      <c r="P15" s="76" t="str">
        <f t="shared" si="4"/>
        <v>,facility_id</v>
      </c>
      <c r="Q15" s="76" t="str">
        <f t="shared" si="0"/>
        <v>TEXT</v>
      </c>
      <c r="R15" s="76" t="str">
        <f t="shared" si="1"/>
        <v/>
      </c>
      <c r="S15" s="76" t="str">
        <f t="shared" ref="S15:S40" si="5">IF(I15="○","NOT NULL","")</f>
        <v>NOT NULL</v>
      </c>
      <c r="T15" s="76" t="str">
        <f t="shared" ref="T15:T40" si="6">"-- "&amp;C15</f>
        <v>-- 施設ID</v>
      </c>
      <c r="U15" s="4"/>
      <c r="AA15" s="4"/>
      <c r="AB15" s="4"/>
      <c r="AC15" s="4"/>
      <c r="AD15" s="4"/>
      <c r="AE15" s="4"/>
      <c r="AF15" s="4"/>
      <c r="AG15" s="4"/>
      <c r="AH15" s="4"/>
      <c r="AI15" s="4"/>
      <c r="AJ15" s="76" t="str">
        <f>IF(E15="○",IF(COUNTA(E$13:E15)=1,"",",")&amp;D15,"")</f>
        <v>facility_id</v>
      </c>
      <c r="AK15" s="4"/>
      <c r="AL15" s="4"/>
      <c r="AM15" s="4"/>
      <c r="AN15" s="4"/>
      <c r="AO15" s="4"/>
      <c r="AP15" s="4"/>
      <c r="AQ15" s="4"/>
      <c r="AR15" s="4"/>
      <c r="AS15" s="76" t="str">
        <f>"COMMENT ON COLUMN "&amp;エンティティ一覧!$O$2&amp;"."&amp;D$8&amp;"."&amp;D15&amp;" IS '"&amp;C15&amp;"';"</f>
        <v>COMMENT ON COLUMN milscm_2023_009.sny_202310_base_merge_mml_lb_item.facility_id IS '施設ID';</v>
      </c>
    </row>
    <row r="16" spans="1:45" s="25" customFormat="1" ht="69.599999999999994">
      <c r="A16" s="4"/>
      <c r="B16" s="21">
        <f t="shared" si="2"/>
        <v>4</v>
      </c>
      <c r="C16" s="13" t="s">
        <v>1246</v>
      </c>
      <c r="D16" s="13" t="s">
        <v>1247</v>
      </c>
      <c r="E16" s="7"/>
      <c r="F16" s="7" t="s">
        <v>865</v>
      </c>
      <c r="G16" s="7" t="str">
        <f t="shared" si="3"/>
        <v>text</v>
      </c>
      <c r="H16" s="58"/>
      <c r="I16" s="23" t="s">
        <v>127</v>
      </c>
      <c r="J16" s="24" t="s">
        <v>1315</v>
      </c>
      <c r="M16" s="4"/>
      <c r="N16" s="76"/>
      <c r="O16" s="76"/>
      <c r="P16" s="76" t="str">
        <f t="shared" si="4"/>
        <v>,shinryo_ymd</v>
      </c>
      <c r="Q16" s="76" t="str">
        <f t="shared" si="0"/>
        <v>TEXT</v>
      </c>
      <c r="R16" s="76" t="str">
        <f t="shared" si="1"/>
        <v/>
      </c>
      <c r="S16" s="76" t="str">
        <f t="shared" si="5"/>
        <v>NOT NULL</v>
      </c>
      <c r="T16" s="76" t="str">
        <f t="shared" si="6"/>
        <v>-- 診療年月日</v>
      </c>
      <c r="U16" s="4"/>
      <c r="AA16" s="4"/>
      <c r="AB16" s="4"/>
      <c r="AC16" s="4"/>
      <c r="AD16" s="4"/>
      <c r="AE16" s="4"/>
      <c r="AF16" s="4"/>
      <c r="AG16" s="4"/>
      <c r="AH16" s="4"/>
      <c r="AI16" s="4"/>
      <c r="AJ16" s="76" t="str">
        <f>IF(E16="○",IF(COUNTA(E$13:E16)=1,"",",")&amp;D16,"")</f>
        <v/>
      </c>
      <c r="AK16" s="4"/>
      <c r="AL16" s="4"/>
      <c r="AM16" s="4"/>
      <c r="AN16" s="4"/>
      <c r="AO16" s="4"/>
      <c r="AP16" s="4"/>
      <c r="AQ16" s="4"/>
      <c r="AR16" s="4"/>
      <c r="AS16" s="76" t="str">
        <f>"COMMENT ON COLUMN "&amp;エンティティ一覧!$O$2&amp;"."&amp;D$8&amp;"."&amp;D16&amp;" IS '"&amp;C16&amp;"';"</f>
        <v>COMMENT ON COLUMN milscm_2023_009.sny_202310_base_merge_mml_lb_item.shinryo_ymd IS '診療年月日';</v>
      </c>
    </row>
    <row r="17" spans="1:45" s="25" customFormat="1">
      <c r="A17" s="4"/>
      <c r="B17" s="21">
        <f t="shared" si="2"/>
        <v>5</v>
      </c>
      <c r="C17" s="13" t="s">
        <v>1304</v>
      </c>
      <c r="D17" s="13" t="s">
        <v>208</v>
      </c>
      <c r="E17" s="7"/>
      <c r="F17" s="7" t="s">
        <v>865</v>
      </c>
      <c r="G17" s="7" t="str">
        <f t="shared" si="3"/>
        <v>text</v>
      </c>
      <c r="H17" s="58" t="s">
        <v>1289</v>
      </c>
      <c r="I17" s="23" t="s">
        <v>127</v>
      </c>
      <c r="J17" s="24" t="s">
        <v>1290</v>
      </c>
      <c r="M17" s="4"/>
      <c r="N17" s="76"/>
      <c r="O17" s="76"/>
      <c r="P17" s="76" t="str">
        <f t="shared" si="4"/>
        <v>,data_type</v>
      </c>
      <c r="Q17" s="76" t="str">
        <f t="shared" si="0"/>
        <v>TEXT</v>
      </c>
      <c r="R17" s="76" t="str">
        <f t="shared" si="1"/>
        <v>default 'MML'</v>
      </c>
      <c r="S17" s="76" t="str">
        <f t="shared" si="5"/>
        <v>NOT NULL</v>
      </c>
      <c r="T17" s="76" t="str">
        <f t="shared" si="6"/>
        <v>-- データ種別</v>
      </c>
      <c r="U17" s="4"/>
      <c r="AA17" s="4"/>
      <c r="AB17" s="4"/>
      <c r="AC17" s="4"/>
      <c r="AD17" s="4"/>
      <c r="AE17" s="4"/>
      <c r="AF17" s="4"/>
      <c r="AG17" s="4"/>
      <c r="AH17" s="4"/>
      <c r="AI17" s="4"/>
      <c r="AJ17" s="76" t="str">
        <f>IF(E17="○",IF(COUNTA(E$13:E17)=1,"",",")&amp;D17,"")</f>
        <v/>
      </c>
      <c r="AK17" s="4"/>
      <c r="AL17" s="4"/>
      <c r="AM17" s="4"/>
      <c r="AN17" s="4"/>
      <c r="AO17" s="4"/>
      <c r="AP17" s="4"/>
      <c r="AQ17" s="4"/>
      <c r="AR17" s="4"/>
      <c r="AS17" s="76" t="str">
        <f>"COMMENT ON COLUMN "&amp;エンティティ一覧!$O$2&amp;"."&amp;D$8&amp;"."&amp;D17&amp;" IS '"&amp;C17&amp;"';"</f>
        <v>COMMENT ON COLUMN milscm_2023_009.sny_202310_base_merge_mml_lb_item.data_type IS 'データ種別';</v>
      </c>
    </row>
    <row r="18" spans="1:45" s="25" customFormat="1" ht="34.799999999999997">
      <c r="A18" s="4"/>
      <c r="B18" s="21">
        <f t="shared" si="2"/>
        <v>6</v>
      </c>
      <c r="C18" s="13" t="s">
        <v>1249</v>
      </c>
      <c r="D18" s="13" t="s">
        <v>1250</v>
      </c>
      <c r="E18" s="7" t="s">
        <v>127</v>
      </c>
      <c r="F18" s="7" t="s">
        <v>865</v>
      </c>
      <c r="G18" s="7" t="str">
        <f t="shared" si="3"/>
        <v>text</v>
      </c>
      <c r="H18" s="58"/>
      <c r="I18" s="23" t="s">
        <v>127</v>
      </c>
      <c r="J18" s="24" t="s">
        <v>1291</v>
      </c>
      <c r="M18" s="4"/>
      <c r="N18" s="76"/>
      <c r="O18" s="76"/>
      <c r="P18" s="76" t="str">
        <f t="shared" si="4"/>
        <v>,master_id</v>
      </c>
      <c r="Q18" s="76" t="str">
        <f t="shared" si="0"/>
        <v>TEXT</v>
      </c>
      <c r="R18" s="76" t="str">
        <f t="shared" si="1"/>
        <v/>
      </c>
      <c r="S18" s="76" t="str">
        <f t="shared" si="5"/>
        <v>NOT NULL</v>
      </c>
      <c r="T18" s="76" t="str">
        <f t="shared" si="6"/>
        <v>-- 患者ID</v>
      </c>
      <c r="U18" s="4"/>
      <c r="AA18" s="4"/>
      <c r="AB18" s="4"/>
      <c r="AC18" s="4"/>
      <c r="AD18" s="4"/>
      <c r="AE18" s="4"/>
      <c r="AF18" s="4"/>
      <c r="AG18" s="4"/>
      <c r="AH18" s="4"/>
      <c r="AI18" s="4"/>
      <c r="AJ18" s="76" t="str">
        <f>IF(E18="○",IF(COUNTA(E$13:E18)=1,"",",")&amp;D18,"")</f>
        <v>,master_id</v>
      </c>
      <c r="AK18" s="4"/>
      <c r="AL18" s="4"/>
      <c r="AM18" s="4"/>
      <c r="AN18" s="4"/>
      <c r="AO18" s="4"/>
      <c r="AP18" s="4"/>
      <c r="AQ18" s="4"/>
      <c r="AR18" s="4"/>
      <c r="AS18" s="76" t="str">
        <f>"COMMENT ON COLUMN "&amp;エンティティ一覧!$O$2&amp;"."&amp;D$8&amp;"."&amp;D18&amp;" IS '"&amp;C18&amp;"';"</f>
        <v>COMMENT ON COLUMN milscm_2023_009.sny_202310_base_merge_mml_lb_item.master_id IS '患者ID';</v>
      </c>
    </row>
    <row r="19" spans="1:45" s="25" customFormat="1" ht="34.799999999999997">
      <c r="A19" s="4"/>
      <c r="B19" s="21">
        <f t="shared" si="2"/>
        <v>7</v>
      </c>
      <c r="C19" s="13" t="s">
        <v>1251</v>
      </c>
      <c r="D19" s="13" t="s">
        <v>1252</v>
      </c>
      <c r="E19" s="7" t="s">
        <v>127</v>
      </c>
      <c r="F19" s="7" t="s">
        <v>865</v>
      </c>
      <c r="G19" s="7" t="str">
        <f t="shared" si="3"/>
        <v>text</v>
      </c>
      <c r="H19" s="58"/>
      <c r="I19" s="23" t="s">
        <v>127</v>
      </c>
      <c r="J19" s="24" t="s">
        <v>1292</v>
      </c>
      <c r="M19" s="4"/>
      <c r="N19" s="76"/>
      <c r="O19" s="76"/>
      <c r="P19" s="76" t="str">
        <f t="shared" si="4"/>
        <v>,uid</v>
      </c>
      <c r="Q19" s="76" t="str">
        <f t="shared" si="0"/>
        <v>TEXT</v>
      </c>
      <c r="R19" s="76" t="str">
        <f t="shared" si="1"/>
        <v/>
      </c>
      <c r="S19" s="76" t="str">
        <f t="shared" si="5"/>
        <v>NOT NULL</v>
      </c>
      <c r="T19" s="76" t="str">
        <f t="shared" si="6"/>
        <v>-- 文書ユニークID</v>
      </c>
      <c r="U19" s="4"/>
      <c r="AA19" s="4"/>
      <c r="AB19" s="4"/>
      <c r="AC19" s="4"/>
      <c r="AD19" s="4"/>
      <c r="AE19" s="4"/>
      <c r="AF19" s="4"/>
      <c r="AG19" s="4"/>
      <c r="AH19" s="4"/>
      <c r="AI19" s="4"/>
      <c r="AJ19" s="76" t="str">
        <f>IF(E19="○",IF(COUNTA(E$13:E19)=1,"",",")&amp;D19,"")</f>
        <v>,uid</v>
      </c>
      <c r="AK19" s="4"/>
      <c r="AL19" s="4"/>
      <c r="AM19" s="4"/>
      <c r="AN19" s="4"/>
      <c r="AO19" s="4"/>
      <c r="AP19" s="4"/>
      <c r="AQ19" s="4"/>
      <c r="AR19" s="4"/>
      <c r="AS19" s="76" t="str">
        <f>"COMMENT ON COLUMN "&amp;エンティティ一覧!$O$2&amp;"."&amp;D$8&amp;"."&amp;D19&amp;" IS '"&amp;C19&amp;"';"</f>
        <v>COMMENT ON COLUMN milscm_2023_009.sny_202310_base_merge_mml_lb_item.uid IS '文書ユニークID';</v>
      </c>
    </row>
    <row r="20" spans="1:45" s="25" customFormat="1">
      <c r="A20" s="4"/>
      <c r="B20" s="21">
        <f t="shared" si="2"/>
        <v>8</v>
      </c>
      <c r="C20" s="13" t="s">
        <v>1548</v>
      </c>
      <c r="D20" s="13" t="s">
        <v>1549</v>
      </c>
      <c r="E20" s="7" t="s">
        <v>127</v>
      </c>
      <c r="F20" s="7" t="s">
        <v>204</v>
      </c>
      <c r="G20" s="7" t="str">
        <f t="shared" si="3"/>
        <v>integer</v>
      </c>
      <c r="H20" s="58"/>
      <c r="I20" s="23" t="s">
        <v>127</v>
      </c>
      <c r="J20" s="24" t="s">
        <v>1586</v>
      </c>
      <c r="M20" s="4"/>
      <c r="N20" s="76"/>
      <c r="O20" s="76"/>
      <c r="P20" s="76" t="str">
        <f t="shared" si="4"/>
        <v>,kenreki_seq</v>
      </c>
      <c r="Q20" s="76" t="str">
        <f t="shared" si="0"/>
        <v>INTEGER</v>
      </c>
      <c r="R20" s="76" t="str">
        <f t="shared" si="1"/>
        <v/>
      </c>
      <c r="S20" s="76" t="str">
        <f t="shared" si="5"/>
        <v>NOT NULL</v>
      </c>
      <c r="T20" s="76" t="str">
        <f t="shared" si="6"/>
        <v>-- 検歴SEQ</v>
      </c>
      <c r="U20" s="4"/>
      <c r="AA20" s="4"/>
      <c r="AB20" s="4"/>
      <c r="AC20" s="4"/>
      <c r="AD20" s="4"/>
      <c r="AE20" s="4"/>
      <c r="AF20" s="4"/>
      <c r="AG20" s="4"/>
      <c r="AH20" s="4"/>
      <c r="AI20" s="4"/>
      <c r="AJ20" s="76" t="str">
        <f>IF(E20="○",IF(COUNTA(E$13:E20)=1,"",",")&amp;D20,"")</f>
        <v>,kenreki_seq</v>
      </c>
      <c r="AK20" s="4"/>
      <c r="AL20" s="4"/>
      <c r="AM20" s="4"/>
      <c r="AN20" s="4"/>
      <c r="AO20" s="4"/>
      <c r="AP20" s="4"/>
      <c r="AQ20" s="4"/>
      <c r="AR20" s="4"/>
      <c r="AS20" s="76" t="str">
        <f>"COMMENT ON COLUMN "&amp;エンティティ一覧!$O$2&amp;"."&amp;D$8&amp;"."&amp;D20&amp;" IS '"&amp;C20&amp;"';"</f>
        <v>COMMENT ON COLUMN milscm_2023_009.sny_202310_base_merge_mml_lb_item.kenreki_seq IS '検歴SEQ';</v>
      </c>
    </row>
    <row r="21" spans="1:45" s="25" customFormat="1">
      <c r="A21" s="4"/>
      <c r="B21" s="21">
        <f t="shared" si="2"/>
        <v>9</v>
      </c>
      <c r="C21" s="13" t="s">
        <v>1606</v>
      </c>
      <c r="D21" s="13" t="s">
        <v>1607</v>
      </c>
      <c r="E21" s="7" t="s">
        <v>127</v>
      </c>
      <c r="F21" s="7" t="s">
        <v>204</v>
      </c>
      <c r="G21" s="7" t="str">
        <f t="shared" si="3"/>
        <v>integer</v>
      </c>
      <c r="H21" s="58"/>
      <c r="I21" s="23" t="s">
        <v>127</v>
      </c>
      <c r="J21" s="24" t="s">
        <v>1662</v>
      </c>
      <c r="M21" s="4"/>
      <c r="N21" s="76"/>
      <c r="O21" s="76"/>
      <c r="P21" s="76" t="str">
        <f t="shared" si="4"/>
        <v>,labo_test_seq</v>
      </c>
      <c r="Q21" s="76" t="str">
        <f t="shared" si="0"/>
        <v>INTEGER</v>
      </c>
      <c r="R21" s="76" t="str">
        <f t="shared" si="1"/>
        <v/>
      </c>
      <c r="S21" s="76" t="str">
        <f t="shared" si="5"/>
        <v>NOT NULL</v>
      </c>
      <c r="T21" s="76" t="str">
        <f t="shared" si="6"/>
        <v>-- 検体結果情報SEQ</v>
      </c>
      <c r="U21" s="4"/>
      <c r="AA21" s="4"/>
      <c r="AB21" s="4"/>
      <c r="AC21" s="4"/>
      <c r="AD21" s="4"/>
      <c r="AE21" s="4"/>
      <c r="AF21" s="4"/>
      <c r="AG21" s="4"/>
      <c r="AH21" s="4"/>
      <c r="AI21" s="4"/>
      <c r="AJ21" s="76" t="str">
        <f>IF(E21="○",IF(COUNTA(E$13:E21)=1,"",",")&amp;D21,"")</f>
        <v>,labo_test_seq</v>
      </c>
      <c r="AK21" s="4"/>
      <c r="AL21" s="4"/>
      <c r="AM21" s="4"/>
      <c r="AN21" s="4"/>
      <c r="AO21" s="4"/>
      <c r="AP21" s="4"/>
      <c r="AQ21" s="4"/>
      <c r="AR21" s="4"/>
      <c r="AS21" s="76" t="str">
        <f>"COMMENT ON COLUMN "&amp;エンティティ一覧!$O$2&amp;"."&amp;D$8&amp;"."&amp;D21&amp;" IS '"&amp;C21&amp;"';"</f>
        <v>COMMENT ON COLUMN milscm_2023_009.sny_202310_base_merge_mml_lb_item.labo_test_seq IS '検体結果情報SEQ';</v>
      </c>
    </row>
    <row r="22" spans="1:45" s="25" customFormat="1">
      <c r="A22" s="4"/>
      <c r="B22" s="21">
        <f t="shared" si="2"/>
        <v>10</v>
      </c>
      <c r="C22" s="13" t="s">
        <v>1625</v>
      </c>
      <c r="D22" s="13" t="s">
        <v>1626</v>
      </c>
      <c r="E22" s="7" t="s">
        <v>127</v>
      </c>
      <c r="F22" s="7" t="s">
        <v>204</v>
      </c>
      <c r="G22" s="7" t="str">
        <f t="shared" si="3"/>
        <v>integer</v>
      </c>
      <c r="H22" s="58"/>
      <c r="I22" s="23" t="s">
        <v>127</v>
      </c>
      <c r="J22" s="24" t="s">
        <v>1663</v>
      </c>
      <c r="M22" s="4"/>
      <c r="N22" s="76"/>
      <c r="O22" s="76"/>
      <c r="P22" s="76" t="str">
        <f t="shared" si="4"/>
        <v>,item_info_seq</v>
      </c>
      <c r="Q22" s="76" t="str">
        <f t="shared" si="0"/>
        <v>INTEGER</v>
      </c>
      <c r="R22" s="76" t="str">
        <f t="shared" si="1"/>
        <v/>
      </c>
      <c r="S22" s="76" t="str">
        <f t="shared" si="5"/>
        <v>NOT NULL</v>
      </c>
      <c r="T22" s="76" t="str">
        <f t="shared" si="6"/>
        <v>-- 項目情報SEQ</v>
      </c>
      <c r="U22" s="4"/>
      <c r="AA22" s="4"/>
      <c r="AB22" s="4"/>
      <c r="AC22" s="4"/>
      <c r="AD22" s="4"/>
      <c r="AE22" s="4"/>
      <c r="AF22" s="4"/>
      <c r="AG22" s="4"/>
      <c r="AH22" s="4"/>
      <c r="AI22" s="4"/>
      <c r="AJ22" s="76" t="str">
        <f>IF(E22="○",IF(COUNTA(E$13:E22)=1,"",",")&amp;D22,"")</f>
        <v>,item_info_seq</v>
      </c>
      <c r="AK22" s="4"/>
      <c r="AL22" s="4"/>
      <c r="AM22" s="4"/>
      <c r="AN22" s="4"/>
      <c r="AO22" s="4"/>
      <c r="AP22" s="4"/>
      <c r="AQ22" s="4"/>
      <c r="AR22" s="4"/>
      <c r="AS22" s="76" t="str">
        <f>"COMMENT ON COLUMN "&amp;エンティティ一覧!$O$2&amp;"."&amp;D$8&amp;"."&amp;D22&amp;" IS '"&amp;C22&amp;"';"</f>
        <v>COMMENT ON COLUMN milscm_2023_009.sny_202310_base_merge_mml_lb_item.item_info_seq IS '項目情報SEQ';</v>
      </c>
    </row>
    <row r="23" spans="1:45" s="25" customFormat="1">
      <c r="A23" s="4"/>
      <c r="B23" s="21">
        <f t="shared" si="2"/>
        <v>11</v>
      </c>
      <c r="C23" s="13" t="s">
        <v>1627</v>
      </c>
      <c r="D23" s="13" t="s">
        <v>1628</v>
      </c>
      <c r="E23" s="7"/>
      <c r="F23" s="7" t="s">
        <v>865</v>
      </c>
      <c r="G23" s="7" t="str">
        <f t="shared" si="3"/>
        <v>text</v>
      </c>
      <c r="H23" s="58"/>
      <c r="I23" s="23"/>
      <c r="J23" s="24" t="s">
        <v>1664</v>
      </c>
      <c r="M23" s="4"/>
      <c r="N23" s="76"/>
      <c r="O23" s="76"/>
      <c r="P23" s="76" t="str">
        <f t="shared" si="4"/>
        <v>,item_name</v>
      </c>
      <c r="Q23" s="76" t="str">
        <f t="shared" si="0"/>
        <v>TEXT</v>
      </c>
      <c r="R23" s="76" t="str">
        <f t="shared" si="1"/>
        <v/>
      </c>
      <c r="S23" s="76" t="str">
        <f t="shared" si="5"/>
        <v/>
      </c>
      <c r="T23" s="76" t="str">
        <f t="shared" si="6"/>
        <v>-- 項目名</v>
      </c>
      <c r="U23" s="4"/>
      <c r="AA23" s="4"/>
      <c r="AB23" s="4"/>
      <c r="AC23" s="4"/>
      <c r="AD23" s="4"/>
      <c r="AE23" s="4"/>
      <c r="AF23" s="4"/>
      <c r="AG23" s="4"/>
      <c r="AH23" s="4"/>
      <c r="AI23" s="4"/>
      <c r="AJ23" s="76" t="str">
        <f>IF(E23="○",IF(COUNTA(E$13:E23)=1,"",",")&amp;D23,"")</f>
        <v/>
      </c>
      <c r="AK23" s="4"/>
      <c r="AL23" s="4"/>
      <c r="AM23" s="4"/>
      <c r="AN23" s="4"/>
      <c r="AO23" s="4"/>
      <c r="AP23" s="4"/>
      <c r="AQ23" s="4"/>
      <c r="AR23" s="4"/>
      <c r="AS23" s="76" t="str">
        <f>"COMMENT ON COLUMN "&amp;エンティティ一覧!$O$2&amp;"."&amp;D$8&amp;"."&amp;D23&amp;" IS '"&amp;C23&amp;"';"</f>
        <v>COMMENT ON COLUMN milscm_2023_009.sny_202310_base_merge_mml_lb_item.item_name IS '項目名';</v>
      </c>
    </row>
    <row r="24" spans="1:45" s="25" customFormat="1">
      <c r="A24" s="4"/>
      <c r="B24" s="21">
        <f t="shared" si="2"/>
        <v>12</v>
      </c>
      <c r="C24" s="13" t="s">
        <v>1629</v>
      </c>
      <c r="D24" s="13" t="s">
        <v>1630</v>
      </c>
      <c r="E24" s="7"/>
      <c r="F24" s="7" t="s">
        <v>865</v>
      </c>
      <c r="G24" s="7" t="str">
        <f t="shared" si="3"/>
        <v>text</v>
      </c>
      <c r="H24" s="58"/>
      <c r="I24" s="23"/>
      <c r="J24" s="24" t="s">
        <v>1665</v>
      </c>
      <c r="M24" s="4"/>
      <c r="N24" s="76"/>
      <c r="O24" s="76"/>
      <c r="P24" s="76" t="str">
        <f t="shared" si="4"/>
        <v>,facility_it_code</v>
      </c>
      <c r="Q24" s="76" t="str">
        <f t="shared" si="0"/>
        <v>TEXT</v>
      </c>
      <c r="R24" s="76" t="str">
        <f t="shared" si="1"/>
        <v/>
      </c>
      <c r="S24" s="76" t="str">
        <f t="shared" si="5"/>
        <v/>
      </c>
      <c r="T24" s="76" t="str">
        <f t="shared" si="6"/>
        <v>-- 施設固有コード</v>
      </c>
      <c r="U24" s="4"/>
      <c r="AA24" s="4"/>
      <c r="AB24" s="4"/>
      <c r="AC24" s="4"/>
      <c r="AD24" s="4"/>
      <c r="AE24" s="4"/>
      <c r="AF24" s="4"/>
      <c r="AG24" s="4"/>
      <c r="AH24" s="4"/>
      <c r="AI24" s="4"/>
      <c r="AJ24" s="76" t="str">
        <f>IF(E24="○",IF(COUNTA(E$13:E24)=1,"",",")&amp;D24,"")</f>
        <v/>
      </c>
      <c r="AK24" s="4"/>
      <c r="AL24" s="4"/>
      <c r="AM24" s="4"/>
      <c r="AN24" s="4"/>
      <c r="AO24" s="4"/>
      <c r="AP24" s="4"/>
      <c r="AQ24" s="4"/>
      <c r="AR24" s="4"/>
      <c r="AS24" s="76" t="str">
        <f>"COMMENT ON COLUMN "&amp;エンティティ一覧!$O$2&amp;"."&amp;D$8&amp;"."&amp;D24&amp;" IS '"&amp;C24&amp;"';"</f>
        <v>COMMENT ON COLUMN milscm_2023_009.sny_202310_base_merge_mml_lb_item.facility_it_code IS '施設固有コード';</v>
      </c>
    </row>
    <row r="25" spans="1:45" s="25" customFormat="1">
      <c r="A25" s="4"/>
      <c r="B25" s="21">
        <f t="shared" si="2"/>
        <v>13</v>
      </c>
      <c r="C25" s="13" t="s">
        <v>1631</v>
      </c>
      <c r="D25" s="13" t="s">
        <v>1632</v>
      </c>
      <c r="E25" s="7"/>
      <c r="F25" s="7" t="s">
        <v>865</v>
      </c>
      <c r="G25" s="7" t="str">
        <f t="shared" si="3"/>
        <v>text</v>
      </c>
      <c r="H25" s="58"/>
      <c r="I25" s="23"/>
      <c r="J25" s="24" t="s">
        <v>1666</v>
      </c>
      <c r="M25" s="4"/>
      <c r="N25" s="76"/>
      <c r="O25" s="76"/>
      <c r="P25" s="76" t="str">
        <f t="shared" si="4"/>
        <v>,facility_it_code_id</v>
      </c>
      <c r="Q25" s="76" t="str">
        <f t="shared" si="0"/>
        <v>TEXT</v>
      </c>
      <c r="R25" s="76" t="str">
        <f t="shared" si="1"/>
        <v/>
      </c>
      <c r="S25" s="76" t="str">
        <f t="shared" si="5"/>
        <v/>
      </c>
      <c r="T25" s="76" t="str">
        <f t="shared" si="6"/>
        <v>-- 施設固有コード体系名</v>
      </c>
      <c r="U25" s="4"/>
      <c r="AA25" s="4"/>
      <c r="AB25" s="4"/>
      <c r="AC25" s="4"/>
      <c r="AD25" s="4"/>
      <c r="AE25" s="4"/>
      <c r="AF25" s="4"/>
      <c r="AG25" s="4"/>
      <c r="AH25" s="4"/>
      <c r="AI25" s="4"/>
      <c r="AJ25" s="76" t="str">
        <f>IF(E25="○",IF(COUNTA(E$13:E25)=1,"",",")&amp;D25,"")</f>
        <v/>
      </c>
      <c r="AK25" s="4"/>
      <c r="AL25" s="4"/>
      <c r="AM25" s="4"/>
      <c r="AN25" s="4"/>
      <c r="AO25" s="4"/>
      <c r="AP25" s="4"/>
      <c r="AQ25" s="4"/>
      <c r="AR25" s="4"/>
      <c r="AS25" s="76" t="str">
        <f>"COMMENT ON COLUMN "&amp;エンティティ一覧!$O$2&amp;"."&amp;D$8&amp;"."&amp;D25&amp;" IS '"&amp;C25&amp;"';"</f>
        <v>COMMENT ON COLUMN milscm_2023_009.sny_202310_base_merge_mml_lb_item.facility_it_code_id IS '施設固有コード体系名';</v>
      </c>
    </row>
    <row r="26" spans="1:45" s="25" customFormat="1">
      <c r="A26" s="4"/>
      <c r="B26" s="21">
        <f t="shared" si="2"/>
        <v>14</v>
      </c>
      <c r="C26" s="13" t="s">
        <v>1633</v>
      </c>
      <c r="D26" s="13" t="s">
        <v>1634</v>
      </c>
      <c r="E26" s="7"/>
      <c r="F26" s="7" t="s">
        <v>865</v>
      </c>
      <c r="G26" s="7" t="str">
        <f t="shared" si="3"/>
        <v>text</v>
      </c>
      <c r="H26" s="58"/>
      <c r="I26" s="23"/>
      <c r="J26" s="24" t="s">
        <v>1667</v>
      </c>
      <c r="M26" s="4"/>
      <c r="N26" s="76"/>
      <c r="O26" s="76"/>
      <c r="P26" s="76" t="str">
        <f t="shared" si="4"/>
        <v>,jlac10_a_code</v>
      </c>
      <c r="Q26" s="76" t="str">
        <f t="shared" si="0"/>
        <v>TEXT</v>
      </c>
      <c r="R26" s="76" t="str">
        <f t="shared" si="1"/>
        <v/>
      </c>
      <c r="S26" s="76" t="str">
        <f t="shared" si="5"/>
        <v/>
      </c>
      <c r="T26" s="76" t="str">
        <f t="shared" si="6"/>
        <v>-- JLAC10の分析物コード</v>
      </c>
      <c r="U26" s="4"/>
      <c r="AA26" s="4"/>
      <c r="AB26" s="4"/>
      <c r="AC26" s="4"/>
      <c r="AD26" s="4"/>
      <c r="AE26" s="4"/>
      <c r="AF26" s="4"/>
      <c r="AG26" s="4"/>
      <c r="AH26" s="4"/>
      <c r="AI26" s="4"/>
      <c r="AJ26" s="76" t="str">
        <f>IF(E26="○",IF(COUNTA(E$13:E26)=1,"",",")&amp;D26,"")</f>
        <v/>
      </c>
      <c r="AK26" s="4"/>
      <c r="AL26" s="4"/>
      <c r="AM26" s="4"/>
      <c r="AN26" s="4"/>
      <c r="AO26" s="4"/>
      <c r="AP26" s="4"/>
      <c r="AQ26" s="4"/>
      <c r="AR26" s="4"/>
      <c r="AS26" s="76" t="str">
        <f>"COMMENT ON COLUMN "&amp;エンティティ一覧!$O$2&amp;"."&amp;D$8&amp;"."&amp;D26&amp;" IS '"&amp;C26&amp;"';"</f>
        <v>COMMENT ON COLUMN milscm_2023_009.sny_202310_base_merge_mml_lb_item.jlac10_a_code IS 'JLAC10の分析物コード';</v>
      </c>
    </row>
    <row r="27" spans="1:45" s="25" customFormat="1">
      <c r="A27" s="4"/>
      <c r="B27" s="21">
        <f t="shared" si="2"/>
        <v>15</v>
      </c>
      <c r="C27" s="13" t="s">
        <v>1635</v>
      </c>
      <c r="D27" s="13" t="s">
        <v>1636</v>
      </c>
      <c r="E27" s="7"/>
      <c r="F27" s="7" t="s">
        <v>865</v>
      </c>
      <c r="G27" s="7" t="str">
        <f t="shared" si="3"/>
        <v>text</v>
      </c>
      <c r="H27" s="58"/>
      <c r="I27" s="23"/>
      <c r="J27" s="24" t="s">
        <v>1668</v>
      </c>
      <c r="M27" s="4"/>
      <c r="N27" s="76"/>
      <c r="O27" s="76"/>
      <c r="P27" s="76" t="str">
        <f t="shared" si="4"/>
        <v>,jlac10_i_code</v>
      </c>
      <c r="Q27" s="76" t="str">
        <f t="shared" si="0"/>
        <v>TEXT</v>
      </c>
      <c r="R27" s="76" t="str">
        <f t="shared" si="1"/>
        <v/>
      </c>
      <c r="S27" s="76" t="str">
        <f t="shared" si="5"/>
        <v/>
      </c>
      <c r="T27" s="76" t="str">
        <f t="shared" si="6"/>
        <v>-- JLAC10の識別コード</v>
      </c>
      <c r="U27" s="4"/>
      <c r="AA27" s="4"/>
      <c r="AB27" s="4"/>
      <c r="AC27" s="4"/>
      <c r="AD27" s="4"/>
      <c r="AE27" s="4"/>
      <c r="AF27" s="4"/>
      <c r="AG27" s="4"/>
      <c r="AH27" s="4"/>
      <c r="AI27" s="4"/>
      <c r="AJ27" s="76" t="str">
        <f>IF(E27="○",IF(COUNTA(E$13:E27)=1,"",",")&amp;D27,"")</f>
        <v/>
      </c>
      <c r="AK27" s="4"/>
      <c r="AL27" s="4"/>
      <c r="AM27" s="4"/>
      <c r="AN27" s="4"/>
      <c r="AO27" s="4"/>
      <c r="AP27" s="4"/>
      <c r="AQ27" s="4"/>
      <c r="AR27" s="4"/>
      <c r="AS27" s="76" t="str">
        <f>"COMMENT ON COLUMN "&amp;エンティティ一覧!$O$2&amp;"."&amp;D$8&amp;"."&amp;D27&amp;" IS '"&amp;C27&amp;"';"</f>
        <v>COMMENT ON COLUMN milscm_2023_009.sny_202310_base_merge_mml_lb_item.jlac10_i_code IS 'JLAC10の識別コード';</v>
      </c>
    </row>
    <row r="28" spans="1:45" s="25" customFormat="1">
      <c r="A28" s="4"/>
      <c r="B28" s="21">
        <f t="shared" si="2"/>
        <v>16</v>
      </c>
      <c r="C28" s="13" t="s">
        <v>1637</v>
      </c>
      <c r="D28" s="13" t="s">
        <v>1638</v>
      </c>
      <c r="E28" s="7"/>
      <c r="F28" s="7" t="s">
        <v>865</v>
      </c>
      <c r="G28" s="7" t="str">
        <f t="shared" si="3"/>
        <v>text</v>
      </c>
      <c r="H28" s="58"/>
      <c r="I28" s="23"/>
      <c r="J28" s="24" t="s">
        <v>1669</v>
      </c>
      <c r="M28" s="4"/>
      <c r="N28" s="76"/>
      <c r="O28" s="76"/>
      <c r="P28" s="76" t="str">
        <f t="shared" si="4"/>
        <v>,jlac10_s_code</v>
      </c>
      <c r="Q28" s="76" t="str">
        <f t="shared" si="0"/>
        <v>TEXT</v>
      </c>
      <c r="R28" s="76" t="str">
        <f t="shared" si="1"/>
        <v/>
      </c>
      <c r="S28" s="76" t="str">
        <f t="shared" si="5"/>
        <v/>
      </c>
      <c r="T28" s="76" t="str">
        <f t="shared" si="6"/>
        <v>-- JLAC10の材料コード</v>
      </c>
      <c r="U28" s="4"/>
      <c r="AA28" s="4"/>
      <c r="AB28" s="4"/>
      <c r="AC28" s="4"/>
      <c r="AD28" s="4"/>
      <c r="AE28" s="4"/>
      <c r="AF28" s="4"/>
      <c r="AG28" s="4"/>
      <c r="AH28" s="4"/>
      <c r="AI28" s="4"/>
      <c r="AJ28" s="76" t="str">
        <f>IF(E28="○",IF(COUNTA(E$13:E28)=1,"",",")&amp;D28,"")</f>
        <v/>
      </c>
      <c r="AK28" s="4"/>
      <c r="AL28" s="4"/>
      <c r="AM28" s="4"/>
      <c r="AN28" s="4"/>
      <c r="AO28" s="4"/>
      <c r="AP28" s="4"/>
      <c r="AQ28" s="4"/>
      <c r="AR28" s="4"/>
      <c r="AS28" s="76" t="str">
        <f>"COMMENT ON COLUMN "&amp;エンティティ一覧!$O$2&amp;"."&amp;D$8&amp;"."&amp;D28&amp;" IS '"&amp;C28&amp;"';"</f>
        <v>COMMENT ON COLUMN milscm_2023_009.sny_202310_base_merge_mml_lb_item.jlac10_s_code IS 'JLAC10の材料コード';</v>
      </c>
    </row>
    <row r="29" spans="1:45" s="25" customFormat="1">
      <c r="A29" s="4"/>
      <c r="B29" s="21">
        <f t="shared" si="2"/>
        <v>17</v>
      </c>
      <c r="C29" s="13" t="s">
        <v>1639</v>
      </c>
      <c r="D29" s="13" t="s">
        <v>1640</v>
      </c>
      <c r="E29" s="7"/>
      <c r="F29" s="7" t="s">
        <v>865</v>
      </c>
      <c r="G29" s="7" t="str">
        <f t="shared" si="3"/>
        <v>text</v>
      </c>
      <c r="H29" s="58"/>
      <c r="I29" s="23"/>
      <c r="J29" s="24" t="s">
        <v>1670</v>
      </c>
      <c r="M29" s="4"/>
      <c r="N29" s="76"/>
      <c r="O29" s="76"/>
      <c r="P29" s="76" t="str">
        <f t="shared" si="4"/>
        <v>,jlac10_m_code</v>
      </c>
      <c r="Q29" s="76" t="str">
        <f t="shared" si="0"/>
        <v>TEXT</v>
      </c>
      <c r="R29" s="76" t="str">
        <f t="shared" si="1"/>
        <v/>
      </c>
      <c r="S29" s="76" t="str">
        <f t="shared" si="5"/>
        <v/>
      </c>
      <c r="T29" s="76" t="str">
        <f t="shared" si="6"/>
        <v>-- JLAC10の測定法コード</v>
      </c>
      <c r="U29" s="4"/>
      <c r="AA29" s="4"/>
      <c r="AB29" s="4"/>
      <c r="AC29" s="4"/>
      <c r="AD29" s="4"/>
      <c r="AE29" s="4"/>
      <c r="AF29" s="4"/>
      <c r="AG29" s="4"/>
      <c r="AH29" s="4"/>
      <c r="AI29" s="4"/>
      <c r="AJ29" s="76" t="str">
        <f>IF(E29="○",IF(COUNTA(E$13:E29)=1,"",",")&amp;D29,"")</f>
        <v/>
      </c>
      <c r="AK29" s="4"/>
      <c r="AL29" s="4"/>
      <c r="AM29" s="4"/>
      <c r="AN29" s="4"/>
      <c r="AO29" s="4"/>
      <c r="AP29" s="4"/>
      <c r="AQ29" s="4"/>
      <c r="AR29" s="4"/>
      <c r="AS29" s="76" t="str">
        <f>"COMMENT ON COLUMN "&amp;エンティティ一覧!$O$2&amp;"."&amp;D$8&amp;"."&amp;D29&amp;" IS '"&amp;C29&amp;"';"</f>
        <v>COMMENT ON COLUMN milscm_2023_009.sny_202310_base_merge_mml_lb_item.jlac10_m_code IS 'JLAC10の測定法コード';</v>
      </c>
    </row>
    <row r="30" spans="1:45" s="25" customFormat="1">
      <c r="A30" s="4"/>
      <c r="B30" s="21">
        <f t="shared" si="2"/>
        <v>18</v>
      </c>
      <c r="C30" s="13" t="s">
        <v>1641</v>
      </c>
      <c r="D30" s="13" t="s">
        <v>1642</v>
      </c>
      <c r="E30" s="7"/>
      <c r="F30" s="7" t="s">
        <v>865</v>
      </c>
      <c r="G30" s="7" t="str">
        <f t="shared" si="3"/>
        <v>text</v>
      </c>
      <c r="H30" s="58"/>
      <c r="I30" s="23"/>
      <c r="J30" s="24" t="s">
        <v>1671</v>
      </c>
      <c r="M30" s="4"/>
      <c r="N30" s="76"/>
      <c r="O30" s="76"/>
      <c r="P30" s="76" t="str">
        <f t="shared" si="4"/>
        <v>,jlac10_r_code</v>
      </c>
      <c r="Q30" s="76" t="str">
        <f t="shared" si="0"/>
        <v>TEXT</v>
      </c>
      <c r="R30" s="76" t="str">
        <f t="shared" si="1"/>
        <v/>
      </c>
      <c r="S30" s="76" t="str">
        <f t="shared" si="5"/>
        <v/>
      </c>
      <c r="T30" s="76" t="str">
        <f t="shared" si="6"/>
        <v>-- JLAC10の結果識別コード</v>
      </c>
      <c r="U30" s="4"/>
      <c r="AA30" s="4"/>
      <c r="AB30" s="4"/>
      <c r="AC30" s="4"/>
      <c r="AD30" s="4"/>
      <c r="AE30" s="4"/>
      <c r="AF30" s="4"/>
      <c r="AG30" s="4"/>
      <c r="AH30" s="4"/>
      <c r="AI30" s="4"/>
      <c r="AJ30" s="76" t="str">
        <f>IF(E30="○",IF(COUNTA(E$13:E30)=1,"",",")&amp;D30,"")</f>
        <v/>
      </c>
      <c r="AK30" s="4"/>
      <c r="AL30" s="4"/>
      <c r="AM30" s="4"/>
      <c r="AN30" s="4"/>
      <c r="AO30" s="4"/>
      <c r="AP30" s="4"/>
      <c r="AQ30" s="4"/>
      <c r="AR30" s="4"/>
      <c r="AS30" s="76" t="str">
        <f>"COMMENT ON COLUMN "&amp;エンティティ一覧!$O$2&amp;"."&amp;D$8&amp;"."&amp;D30&amp;" IS '"&amp;C30&amp;"';"</f>
        <v>COMMENT ON COLUMN milscm_2023_009.sny_202310_base_merge_mml_lb_item.jlac10_r_code IS 'JLAC10の結果識別コード';</v>
      </c>
    </row>
    <row r="31" spans="1:45" s="25" customFormat="1">
      <c r="A31" s="4"/>
      <c r="B31" s="21">
        <f t="shared" si="2"/>
        <v>19</v>
      </c>
      <c r="C31" s="13" t="s">
        <v>1643</v>
      </c>
      <c r="D31" s="13" t="s">
        <v>1644</v>
      </c>
      <c r="E31" s="7"/>
      <c r="F31" s="7" t="s">
        <v>865</v>
      </c>
      <c r="G31" s="7" t="str">
        <f t="shared" si="3"/>
        <v>text</v>
      </c>
      <c r="H31" s="58"/>
      <c r="I31" s="23"/>
      <c r="J31" s="24" t="s">
        <v>1672</v>
      </c>
      <c r="M31" s="4"/>
      <c r="N31" s="76"/>
      <c r="O31" s="76"/>
      <c r="P31" s="76" t="str">
        <f t="shared" si="4"/>
        <v>,value</v>
      </c>
      <c r="Q31" s="76" t="str">
        <f t="shared" si="0"/>
        <v>TEXT</v>
      </c>
      <c r="R31" s="76" t="str">
        <f t="shared" si="1"/>
        <v/>
      </c>
      <c r="S31" s="76" t="str">
        <f t="shared" si="5"/>
        <v/>
      </c>
      <c r="T31" s="76" t="str">
        <f t="shared" si="6"/>
        <v>-- 検査結果値</v>
      </c>
      <c r="U31" s="4"/>
      <c r="AA31" s="4"/>
      <c r="AB31" s="4"/>
      <c r="AC31" s="4"/>
      <c r="AD31" s="4"/>
      <c r="AE31" s="4"/>
      <c r="AF31" s="4"/>
      <c r="AG31" s="4"/>
      <c r="AH31" s="4"/>
      <c r="AI31" s="4"/>
      <c r="AJ31" s="76" t="str">
        <f>IF(E31="○",IF(COUNTA(E$13:E31)=1,"",",")&amp;D31,"")</f>
        <v/>
      </c>
      <c r="AK31" s="4"/>
      <c r="AL31" s="4"/>
      <c r="AM31" s="4"/>
      <c r="AN31" s="4"/>
      <c r="AO31" s="4"/>
      <c r="AP31" s="4"/>
      <c r="AQ31" s="4"/>
      <c r="AR31" s="4"/>
      <c r="AS31" s="76" t="str">
        <f>"COMMENT ON COLUMN "&amp;エンティティ一覧!$O$2&amp;"."&amp;D$8&amp;"."&amp;D31&amp;" IS '"&amp;C31&amp;"';"</f>
        <v>COMMENT ON COLUMN milscm_2023_009.sny_202310_base_merge_mml_lb_item.value IS '検査結果値';</v>
      </c>
    </row>
    <row r="32" spans="1:45" s="25" customFormat="1">
      <c r="A32" s="4"/>
      <c r="B32" s="21">
        <f t="shared" si="2"/>
        <v>20</v>
      </c>
      <c r="C32" s="13" t="s">
        <v>1645</v>
      </c>
      <c r="D32" s="13" t="s">
        <v>1646</v>
      </c>
      <c r="E32" s="7"/>
      <c r="F32" s="7" t="s">
        <v>865</v>
      </c>
      <c r="G32" s="7" t="str">
        <f t="shared" si="3"/>
        <v>text</v>
      </c>
      <c r="H32" s="58"/>
      <c r="I32" s="23"/>
      <c r="J32" s="24" t="s">
        <v>1673</v>
      </c>
      <c r="M32" s="4"/>
      <c r="N32" s="76"/>
      <c r="O32" s="76"/>
      <c r="P32" s="76" t="str">
        <f t="shared" si="4"/>
        <v>,num_value</v>
      </c>
      <c r="Q32" s="76" t="str">
        <f t="shared" si="0"/>
        <v>TEXT</v>
      </c>
      <c r="R32" s="76" t="str">
        <f t="shared" si="1"/>
        <v/>
      </c>
      <c r="S32" s="76" t="str">
        <f t="shared" si="5"/>
        <v/>
      </c>
      <c r="T32" s="76" t="str">
        <f t="shared" si="6"/>
        <v>-- 数値結果</v>
      </c>
      <c r="U32" s="4"/>
      <c r="AA32" s="4"/>
      <c r="AB32" s="4"/>
      <c r="AC32" s="4"/>
      <c r="AD32" s="4"/>
      <c r="AE32" s="4"/>
      <c r="AF32" s="4"/>
      <c r="AG32" s="4"/>
      <c r="AH32" s="4"/>
      <c r="AI32" s="4"/>
      <c r="AJ32" s="76" t="str">
        <f>IF(E32="○",IF(COUNTA(E$13:E32)=1,"",",")&amp;D32,"")</f>
        <v/>
      </c>
      <c r="AK32" s="4"/>
      <c r="AL32" s="4"/>
      <c r="AM32" s="4"/>
      <c r="AN32" s="4"/>
      <c r="AO32" s="4"/>
      <c r="AP32" s="4"/>
      <c r="AQ32" s="4"/>
      <c r="AR32" s="4"/>
      <c r="AS32" s="76" t="str">
        <f>"COMMENT ON COLUMN "&amp;エンティティ一覧!$O$2&amp;"."&amp;D$8&amp;"."&amp;D32&amp;" IS '"&amp;C32&amp;"';"</f>
        <v>COMMENT ON COLUMN milscm_2023_009.sny_202310_base_merge_mml_lb_item.num_value IS '数値結果';</v>
      </c>
    </row>
    <row r="33" spans="1:52" s="25" customFormat="1">
      <c r="A33" s="4"/>
      <c r="B33" s="21">
        <f t="shared" si="2"/>
        <v>21</v>
      </c>
      <c r="C33" s="13" t="s">
        <v>1647</v>
      </c>
      <c r="D33" s="13" t="s">
        <v>1648</v>
      </c>
      <c r="E33" s="7"/>
      <c r="F33" s="7" t="s">
        <v>865</v>
      </c>
      <c r="G33" s="7" t="str">
        <f t="shared" si="3"/>
        <v>text</v>
      </c>
      <c r="H33" s="58"/>
      <c r="I33" s="23"/>
      <c r="J33" s="24" t="s">
        <v>1674</v>
      </c>
      <c r="M33" s="4"/>
      <c r="N33" s="76"/>
      <c r="O33" s="76"/>
      <c r="P33" s="76" t="str">
        <f t="shared" si="4"/>
        <v>,up_value</v>
      </c>
      <c r="Q33" s="76" t="str">
        <f t="shared" si="0"/>
        <v>TEXT</v>
      </c>
      <c r="R33" s="76" t="str">
        <f t="shared" si="1"/>
        <v/>
      </c>
      <c r="S33" s="76" t="str">
        <f t="shared" si="5"/>
        <v/>
      </c>
      <c r="T33" s="76" t="str">
        <f t="shared" si="6"/>
        <v>-- 上限値</v>
      </c>
      <c r="U33" s="4"/>
      <c r="AA33" s="4"/>
      <c r="AB33" s="4"/>
      <c r="AC33" s="4"/>
      <c r="AD33" s="4"/>
      <c r="AE33" s="4"/>
      <c r="AF33" s="4"/>
      <c r="AG33" s="4"/>
      <c r="AH33" s="4"/>
      <c r="AI33" s="4"/>
      <c r="AJ33" s="76" t="str">
        <f>IF(E33="○",IF(COUNTA(E$13:E33)=1,"",",")&amp;D33,"")</f>
        <v/>
      </c>
      <c r="AK33" s="4"/>
      <c r="AL33" s="4"/>
      <c r="AM33" s="4"/>
      <c r="AN33" s="4"/>
      <c r="AO33" s="4"/>
      <c r="AP33" s="4"/>
      <c r="AQ33" s="4"/>
      <c r="AR33" s="4"/>
      <c r="AS33" s="76" t="str">
        <f>"COMMENT ON COLUMN "&amp;エンティティ一覧!$O$2&amp;"."&amp;D$8&amp;"."&amp;D33&amp;" IS '"&amp;C33&amp;"';"</f>
        <v>COMMENT ON COLUMN milscm_2023_009.sny_202310_base_merge_mml_lb_item.up_value IS '上限値';</v>
      </c>
    </row>
    <row r="34" spans="1:52" s="25" customFormat="1">
      <c r="A34" s="4"/>
      <c r="B34" s="21">
        <f t="shared" si="2"/>
        <v>22</v>
      </c>
      <c r="C34" s="13" t="s">
        <v>1649</v>
      </c>
      <c r="D34" s="13" t="s">
        <v>1650</v>
      </c>
      <c r="E34" s="7"/>
      <c r="F34" s="7" t="s">
        <v>865</v>
      </c>
      <c r="G34" s="7" t="str">
        <f t="shared" si="3"/>
        <v>text</v>
      </c>
      <c r="H34" s="58"/>
      <c r="I34" s="23"/>
      <c r="J34" s="24" t="s">
        <v>1675</v>
      </c>
      <c r="M34" s="4"/>
      <c r="N34" s="76"/>
      <c r="O34" s="76"/>
      <c r="P34" s="76" t="str">
        <f t="shared" si="4"/>
        <v>,low_value</v>
      </c>
      <c r="Q34" s="76" t="str">
        <f t="shared" si="0"/>
        <v>TEXT</v>
      </c>
      <c r="R34" s="76" t="str">
        <f t="shared" si="1"/>
        <v/>
      </c>
      <c r="S34" s="76" t="str">
        <f t="shared" si="5"/>
        <v/>
      </c>
      <c r="T34" s="76" t="str">
        <f t="shared" si="6"/>
        <v>-- 下限値</v>
      </c>
      <c r="U34" s="4"/>
      <c r="AA34" s="4"/>
      <c r="AB34" s="4"/>
      <c r="AC34" s="4"/>
      <c r="AD34" s="4"/>
      <c r="AE34" s="4"/>
      <c r="AF34" s="4"/>
      <c r="AG34" s="4"/>
      <c r="AH34" s="4"/>
      <c r="AI34" s="4"/>
      <c r="AJ34" s="76" t="str">
        <f>IF(E34="○",IF(COUNTA(E$13:E34)=1,"",",")&amp;D34,"")</f>
        <v/>
      </c>
      <c r="AK34" s="4"/>
      <c r="AL34" s="4"/>
      <c r="AM34" s="4"/>
      <c r="AN34" s="4"/>
      <c r="AO34" s="4"/>
      <c r="AP34" s="4"/>
      <c r="AQ34" s="4"/>
      <c r="AR34" s="4"/>
      <c r="AS34" s="76" t="str">
        <f>"COMMENT ON COLUMN "&amp;エンティティ一覧!$O$2&amp;"."&amp;D$8&amp;"."&amp;D34&amp;" IS '"&amp;C34&amp;"';"</f>
        <v>COMMENT ON COLUMN milscm_2023_009.sny_202310_base_merge_mml_lb_item.low_value IS '下限値';</v>
      </c>
    </row>
    <row r="35" spans="1:52" s="25" customFormat="1">
      <c r="A35" s="4"/>
      <c r="B35" s="21">
        <f t="shared" si="2"/>
        <v>23</v>
      </c>
      <c r="C35" s="13" t="s">
        <v>1651</v>
      </c>
      <c r="D35" s="13" t="s">
        <v>1652</v>
      </c>
      <c r="E35" s="7"/>
      <c r="F35" s="7" t="s">
        <v>865</v>
      </c>
      <c r="G35" s="7" t="str">
        <f t="shared" si="3"/>
        <v>text</v>
      </c>
      <c r="H35" s="58"/>
      <c r="I35" s="23"/>
      <c r="J35" s="24" t="s">
        <v>1676</v>
      </c>
      <c r="M35" s="4"/>
      <c r="N35" s="76"/>
      <c r="O35" s="76"/>
      <c r="P35" s="76" t="str">
        <f t="shared" si="4"/>
        <v>,normal_value</v>
      </c>
      <c r="Q35" s="76" t="str">
        <f t="shared" si="0"/>
        <v>TEXT</v>
      </c>
      <c r="R35" s="76" t="str">
        <f t="shared" si="1"/>
        <v/>
      </c>
      <c r="S35" s="76" t="str">
        <f t="shared" si="5"/>
        <v/>
      </c>
      <c r="T35" s="76" t="str">
        <f t="shared" si="6"/>
        <v>-- 文字列で示す基準値</v>
      </c>
      <c r="U35" s="4"/>
      <c r="AA35" s="4"/>
      <c r="AB35" s="4"/>
      <c r="AC35" s="4"/>
      <c r="AD35" s="4"/>
      <c r="AE35" s="4"/>
      <c r="AF35" s="4"/>
      <c r="AG35" s="4"/>
      <c r="AH35" s="4"/>
      <c r="AI35" s="4"/>
      <c r="AJ35" s="76" t="str">
        <f>IF(E35="○",IF(COUNTA(E$13:E35)=1,"",",")&amp;D35,"")</f>
        <v/>
      </c>
      <c r="AK35" s="4"/>
      <c r="AL35" s="4"/>
      <c r="AM35" s="4"/>
      <c r="AN35" s="4"/>
      <c r="AO35" s="4"/>
      <c r="AP35" s="4"/>
      <c r="AQ35" s="4"/>
      <c r="AR35" s="4"/>
      <c r="AS35" s="76" t="str">
        <f>"COMMENT ON COLUMN "&amp;エンティティ一覧!$O$2&amp;"."&amp;D$8&amp;"."&amp;D35&amp;" IS '"&amp;C35&amp;"';"</f>
        <v>COMMENT ON COLUMN milscm_2023_009.sny_202310_base_merge_mml_lb_item.normal_value IS '文字列で示す基準値';</v>
      </c>
    </row>
    <row r="36" spans="1:52" s="25" customFormat="1" ht="52.2">
      <c r="A36" s="4"/>
      <c r="B36" s="21">
        <f t="shared" si="2"/>
        <v>24</v>
      </c>
      <c r="C36" s="13" t="s">
        <v>1653</v>
      </c>
      <c r="D36" s="13" t="s">
        <v>1654</v>
      </c>
      <c r="E36" s="7"/>
      <c r="F36" s="7" t="s">
        <v>865</v>
      </c>
      <c r="G36" s="7" t="str">
        <f t="shared" si="3"/>
        <v>text</v>
      </c>
      <c r="H36" s="58"/>
      <c r="I36" s="23"/>
      <c r="J36" s="24" t="s">
        <v>1677</v>
      </c>
      <c r="M36" s="4"/>
      <c r="N36" s="76"/>
      <c r="O36" s="76"/>
      <c r="P36" s="76" t="str">
        <f t="shared" si="4"/>
        <v>,out_flag</v>
      </c>
      <c r="Q36" s="76" t="str">
        <f t="shared" si="0"/>
        <v>TEXT</v>
      </c>
      <c r="R36" s="76" t="str">
        <f t="shared" si="1"/>
        <v/>
      </c>
      <c r="S36" s="76" t="str">
        <f t="shared" si="5"/>
        <v/>
      </c>
      <c r="T36" s="76" t="str">
        <f t="shared" si="6"/>
        <v>-- 異常値フラグ</v>
      </c>
      <c r="U36" s="4"/>
      <c r="AA36" s="4"/>
      <c r="AB36" s="4"/>
      <c r="AC36" s="4"/>
      <c r="AD36" s="4"/>
      <c r="AE36" s="4"/>
      <c r="AF36" s="4"/>
      <c r="AG36" s="4"/>
      <c r="AH36" s="4"/>
      <c r="AI36" s="4"/>
      <c r="AJ36" s="76" t="str">
        <f>IF(E36="○",IF(COUNTA(E$13:E36)=1,"",",")&amp;D36,"")</f>
        <v/>
      </c>
      <c r="AK36" s="4"/>
      <c r="AL36" s="4"/>
      <c r="AM36" s="4"/>
      <c r="AN36" s="4"/>
      <c r="AO36" s="4"/>
      <c r="AP36" s="4"/>
      <c r="AQ36" s="4"/>
      <c r="AR36" s="4"/>
      <c r="AS36" s="76" t="str">
        <f>"COMMENT ON COLUMN "&amp;エンティティ一覧!$O$2&amp;"."&amp;D$8&amp;"."&amp;D36&amp;" IS '"&amp;C36&amp;"';"</f>
        <v>COMMENT ON COLUMN milscm_2023_009.sny_202310_base_merge_mml_lb_item.out_flag IS '異常値フラグ';</v>
      </c>
    </row>
    <row r="37" spans="1:52" s="25" customFormat="1">
      <c r="A37" s="4"/>
      <c r="B37" s="21">
        <f t="shared" si="2"/>
        <v>25</v>
      </c>
      <c r="C37" s="13" t="s">
        <v>1655</v>
      </c>
      <c r="D37" s="13" t="s">
        <v>276</v>
      </c>
      <c r="E37" s="7"/>
      <c r="F37" s="7" t="s">
        <v>865</v>
      </c>
      <c r="G37" s="7" t="str">
        <f t="shared" si="3"/>
        <v>text</v>
      </c>
      <c r="H37" s="58"/>
      <c r="I37" s="23"/>
      <c r="J37" s="24" t="s">
        <v>1678</v>
      </c>
      <c r="M37" s="4"/>
      <c r="N37" s="76"/>
      <c r="O37" s="76"/>
      <c r="P37" s="76" t="str">
        <f t="shared" si="4"/>
        <v>,unit</v>
      </c>
      <c r="Q37" s="76" t="str">
        <f t="shared" si="0"/>
        <v>TEXT</v>
      </c>
      <c r="R37" s="76" t="str">
        <f t="shared" si="1"/>
        <v/>
      </c>
      <c r="S37" s="76" t="str">
        <f t="shared" si="5"/>
        <v/>
      </c>
      <c r="T37" s="76" t="str">
        <f t="shared" si="6"/>
        <v>-- 単位</v>
      </c>
      <c r="U37" s="4"/>
      <c r="AA37" s="4"/>
      <c r="AB37" s="4"/>
      <c r="AC37" s="4"/>
      <c r="AD37" s="4"/>
      <c r="AE37" s="4"/>
      <c r="AF37" s="4"/>
      <c r="AG37" s="4"/>
      <c r="AH37" s="4"/>
      <c r="AI37" s="4"/>
      <c r="AJ37" s="76" t="str">
        <f>IF(E37="○",IF(COUNTA(E$13:E37)=1,"",",")&amp;D37,"")</f>
        <v/>
      </c>
      <c r="AK37" s="4"/>
      <c r="AL37" s="4"/>
      <c r="AM37" s="4"/>
      <c r="AN37" s="4"/>
      <c r="AO37" s="4"/>
      <c r="AP37" s="4"/>
      <c r="AQ37" s="4"/>
      <c r="AR37" s="4"/>
      <c r="AS37" s="76" t="str">
        <f>"COMMENT ON COLUMN "&amp;エンティティ一覧!$O$2&amp;"."&amp;D$8&amp;"."&amp;D37&amp;" IS '"&amp;C37&amp;"';"</f>
        <v>COMMENT ON COLUMN milscm_2023_009.sny_202310_base_merge_mml_lb_item.unit IS '単位';</v>
      </c>
    </row>
    <row r="38" spans="1:52" s="25" customFormat="1" ht="34.799999999999997">
      <c r="A38" s="4"/>
      <c r="B38" s="21">
        <f t="shared" si="2"/>
        <v>26</v>
      </c>
      <c r="C38" s="13" t="s">
        <v>1656</v>
      </c>
      <c r="D38" s="13" t="s">
        <v>1657</v>
      </c>
      <c r="E38" s="7"/>
      <c r="F38" s="7" t="s">
        <v>865</v>
      </c>
      <c r="G38" s="7" t="str">
        <f t="shared" si="3"/>
        <v>text</v>
      </c>
      <c r="H38" s="58"/>
      <c r="I38" s="23"/>
      <c r="J38" s="24" t="s">
        <v>1679</v>
      </c>
      <c r="M38" s="4"/>
      <c r="N38" s="76"/>
      <c r="O38" s="76"/>
      <c r="P38" s="76" t="str">
        <f t="shared" si="4"/>
        <v>,unit_code</v>
      </c>
      <c r="Q38" s="76" t="str">
        <f t="shared" si="0"/>
        <v>TEXT</v>
      </c>
      <c r="R38" s="76" t="str">
        <f t="shared" si="1"/>
        <v/>
      </c>
      <c r="S38" s="76" t="str">
        <f t="shared" si="5"/>
        <v/>
      </c>
      <c r="T38" s="76" t="str">
        <f t="shared" si="6"/>
        <v>-- 単位コード</v>
      </c>
      <c r="U38" s="4"/>
      <c r="AA38" s="4"/>
      <c r="AB38" s="4"/>
      <c r="AC38" s="4"/>
      <c r="AD38" s="4"/>
      <c r="AE38" s="4"/>
      <c r="AF38" s="4"/>
      <c r="AG38" s="4"/>
      <c r="AH38" s="4"/>
      <c r="AI38" s="4"/>
      <c r="AJ38" s="76" t="str">
        <f>IF(E38="○",IF(COUNTA(E$13:E38)=1,"",",")&amp;D38,"")</f>
        <v/>
      </c>
      <c r="AK38" s="4"/>
      <c r="AL38" s="4"/>
      <c r="AM38" s="4"/>
      <c r="AN38" s="4"/>
      <c r="AO38" s="4"/>
      <c r="AP38" s="4"/>
      <c r="AQ38" s="4"/>
      <c r="AR38" s="4"/>
      <c r="AS38" s="76" t="str">
        <f>"COMMENT ON COLUMN "&amp;エンティティ一覧!$O$2&amp;"."&amp;D$8&amp;"."&amp;D38&amp;" IS '"&amp;C38&amp;"';"</f>
        <v>COMMENT ON COLUMN milscm_2023_009.sny_202310_base_merge_mml_lb_item.unit_code IS '単位コード';</v>
      </c>
    </row>
    <row r="39" spans="1:52" s="25" customFormat="1" ht="34.799999999999997">
      <c r="A39" s="4"/>
      <c r="B39" s="21">
        <f t="shared" si="2"/>
        <v>27</v>
      </c>
      <c r="C39" s="13" t="s">
        <v>1658</v>
      </c>
      <c r="D39" s="13" t="s">
        <v>1659</v>
      </c>
      <c r="E39" s="7"/>
      <c r="F39" s="7" t="s">
        <v>865</v>
      </c>
      <c r="G39" s="7" t="str">
        <f t="shared" si="3"/>
        <v>text</v>
      </c>
      <c r="H39" s="58"/>
      <c r="I39" s="23"/>
      <c r="J39" s="24" t="s">
        <v>1680</v>
      </c>
      <c r="M39" s="4"/>
      <c r="N39" s="76"/>
      <c r="O39" s="76"/>
      <c r="P39" s="76" t="str">
        <f t="shared" si="4"/>
        <v>,unit_code_id</v>
      </c>
      <c r="Q39" s="76" t="str">
        <f t="shared" si="0"/>
        <v>TEXT</v>
      </c>
      <c r="R39" s="76" t="str">
        <f t="shared" si="1"/>
        <v/>
      </c>
      <c r="S39" s="76" t="str">
        <f t="shared" si="5"/>
        <v/>
      </c>
      <c r="T39" s="76" t="str">
        <f t="shared" si="6"/>
        <v>-- 単位コードID</v>
      </c>
      <c r="U39" s="4"/>
      <c r="AA39" s="4"/>
      <c r="AB39" s="4"/>
      <c r="AC39" s="4"/>
      <c r="AD39" s="4"/>
      <c r="AE39" s="4"/>
      <c r="AF39" s="4"/>
      <c r="AG39" s="4"/>
      <c r="AH39" s="4"/>
      <c r="AI39" s="4"/>
      <c r="AJ39" s="76" t="str">
        <f>IF(E39="○",IF(COUNTA(E$13:E39)=1,"",",")&amp;D39,"")</f>
        <v/>
      </c>
      <c r="AK39" s="4"/>
      <c r="AL39" s="4"/>
      <c r="AM39" s="4"/>
      <c r="AN39" s="4"/>
      <c r="AO39" s="4"/>
      <c r="AP39" s="4"/>
      <c r="AQ39" s="4"/>
      <c r="AR39" s="4"/>
      <c r="AS39" s="76" t="str">
        <f>"COMMENT ON COLUMN "&amp;エンティティ一覧!$O$2&amp;"."&amp;D$8&amp;"."&amp;D39&amp;" IS '"&amp;C39&amp;"';"</f>
        <v>COMMENT ON COLUMN milscm_2023_009.sny_202310_base_merge_mml_lb_item.unit_code_id IS '単位コードID';</v>
      </c>
    </row>
    <row r="40" spans="1:52" s="25" customFormat="1" ht="18" thickBot="1">
      <c r="A40" s="4"/>
      <c r="B40" s="27">
        <f>ROW()-12</f>
        <v>28</v>
      </c>
      <c r="C40" s="57" t="s">
        <v>1660</v>
      </c>
      <c r="D40" s="57" t="s">
        <v>1661</v>
      </c>
      <c r="E40" s="56"/>
      <c r="F40" s="56" t="s">
        <v>865</v>
      </c>
      <c r="G40" s="56" t="str">
        <f t="shared" si="3"/>
        <v>text</v>
      </c>
      <c r="H40" s="59"/>
      <c r="I40" s="60"/>
      <c r="J40" s="64" t="s">
        <v>1681</v>
      </c>
      <c r="N40" s="76"/>
      <c r="O40" s="76"/>
      <c r="P40" s="76" t="str">
        <f t="shared" si="4"/>
        <v>,item_free_comment</v>
      </c>
      <c r="Q40" s="76" t="str">
        <f t="shared" si="0"/>
        <v>TEXT</v>
      </c>
      <c r="R40" s="76" t="str">
        <f t="shared" si="1"/>
        <v/>
      </c>
      <c r="S40" s="76" t="str">
        <f t="shared" si="5"/>
        <v/>
      </c>
      <c r="T40" s="76" t="str">
        <f t="shared" si="6"/>
        <v>-- 項目フリーコメント</v>
      </c>
      <c r="U40" s="4"/>
      <c r="AA40" s="4"/>
      <c r="AB40" s="4"/>
      <c r="AC40" s="4"/>
      <c r="AD40" s="4"/>
      <c r="AE40" s="4"/>
      <c r="AF40" s="4"/>
      <c r="AG40" s="4"/>
      <c r="AH40" s="4"/>
      <c r="AI40" s="4"/>
      <c r="AJ40" s="76" t="str">
        <f>IF(E40="○",IF(COUNTA(E$13:E40)=1,"",",")&amp;D40,"")</f>
        <v/>
      </c>
      <c r="AK40" s="4"/>
      <c r="AL40" s="4"/>
      <c r="AM40" s="4"/>
      <c r="AN40" s="4"/>
      <c r="AO40" s="4"/>
      <c r="AP40" s="4"/>
      <c r="AQ40" s="4"/>
      <c r="AR40" s="4"/>
      <c r="AS40" s="76" t="str">
        <f>"COMMENT ON COLUMN "&amp;エンティティ一覧!$O$2&amp;"."&amp;D$8&amp;"."&amp;D40&amp;" IS '"&amp;C40&amp;"';"</f>
        <v>COMMENT ON COLUMN milscm_2023_009.sny_202310_base_merge_mml_lb_item.item_free_comment IS '項目フリーコメント';</v>
      </c>
    </row>
    <row r="41" spans="1:52">
      <c r="L41" s="25"/>
      <c r="M41" s="25"/>
      <c r="N41" s="76" t="s">
        <v>142</v>
      </c>
      <c r="O41" s="76"/>
      <c r="P41" s="76"/>
      <c r="Q41" s="76"/>
      <c r="R41" s="76"/>
      <c r="S41" s="76"/>
      <c r="T41" s="76"/>
      <c r="V41" s="25"/>
      <c r="W41" s="25"/>
      <c r="X41" s="25"/>
      <c r="Y41" s="25"/>
      <c r="Z41" s="25"/>
      <c r="AJ41" s="76"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203</vt:i4>
      </vt:variant>
      <vt:variant>
        <vt:lpstr>名前付き一覧</vt:lpstr>
      </vt:variant>
      <vt:variant>
        <vt:i4>1</vt:i4>
      </vt:variant>
    </vt:vector>
  </HeadingPairs>
  <TitlesOfParts>
    <vt:vector size="204" baseType="lpstr">
      <vt:lpstr>Sheet1</vt:lpstr>
      <vt:lpstr>データフロー_backup</vt:lpstr>
      <vt:lpstr>データフロー_enroll</vt:lpstr>
      <vt:lpstr>データフロー_mt</vt:lpstr>
      <vt:lpstr>データフロー_base</vt:lpstr>
      <vt:lpstr>エンティティ一覧</vt:lpstr>
      <vt:lpstr>バックアップ_疾患データ_組み入れ第一条件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組入れ_対象診療行為</vt:lpstr>
      <vt:lpstr>組入れ_検体検査マスタ</vt:lpstr>
      <vt:lpstr>組入れ_対象検体検査</vt:lpstr>
      <vt:lpstr>組入れ_対象検体検査_対象患者</vt:lpstr>
      <vt:lpstr>組入れ_対象患者</vt:lpstr>
      <vt:lpstr>患者ID一覧マスタ</vt:lpstr>
      <vt:lpstr>施設マスタ</vt:lpstr>
      <vt:lpstr>患者マスタ</vt:lpstr>
      <vt:lpstr>疾患マスタ</vt:lpstr>
      <vt:lpstr>薬剤マスタ</vt:lpstr>
      <vt:lpstr>検体検査マスタ</vt:lpstr>
      <vt:lpstr>診療行為マスタ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2023-11-02T07:56:59Z</dcterms:modified>
</cp:coreProperties>
</file>