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13812" windowHeight="3528" tabRatio="891" firstSheet="2" activeTab="2"/>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疾患データ_組み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処方箋モジュール_本文" sheetId="282" r:id="rId74"/>
    <sheet name="バックアップ_MML_処方箋モジュール_投薬" sheetId="283" r:id="rId75"/>
    <sheet name="バックアップ_MML_処方箋モジュール_薬剤" sheetId="284" r:id="rId76"/>
    <sheet name="バックアップ_MML_注射記録モジュール_本文" sheetId="285" r:id="rId77"/>
    <sheet name="バックアップ_MML_注射記録モジュール_投薬" sheetId="286" r:id="rId78"/>
    <sheet name="バックアップ_MML_注射記録モジュール_薬剤" sheetId="287" r:id="rId79"/>
    <sheet name="バックアップ_MML_手術モジュール_手術項目" sheetId="288" r:id="rId80"/>
    <sheet name="バックアップ_MML_手術モジュール_診療科情報" sheetId="289" r:id="rId81"/>
    <sheet name="バックアップ_MML_手術モジュール_診断履歴情報" sheetId="290" r:id="rId82"/>
    <sheet name="バックアップ_MML_手術モジュール_病名" sheetId="291" r:id="rId83"/>
    <sheet name="バックアップ_MML_手術モジュール_カテゴリ名" sheetId="292" r:id="rId84"/>
    <sheet name="バックアップ_MML_手術モジュール_手術法" sheetId="293" r:id="rId85"/>
    <sheet name="バックアップ_MML_手術モジュール_手術要素" sheetId="294" r:id="rId86"/>
    <sheet name="バックアップ_MML_手術モジュール_麻酔法" sheetId="295" r:id="rId87"/>
    <sheet name="バックアップ_MML_報告書情報モジュール_本文" sheetId="296" r:id="rId88"/>
    <sheet name="バックアップ_MML_報告書情報モジュール_検査コメント" sheetId="297" r:id="rId89"/>
    <sheet name="バックアップ_MML_生活習慣情報モジュール_本文" sheetId="310" r:id="rId90"/>
    <sheet name="バックアップ_MML_紹介状モジュール_本文" sheetId="298" r:id="rId91"/>
    <sheet name="バックアップ_MML_紹介状モジュール_注射記録" sheetId="299" r:id="rId92"/>
    <sheet name="バックアップ_MML_紹介状モジュール_注射記録投薬" sheetId="300" r:id="rId93"/>
    <sheet name="バックアップ_MML_紹介状モジュール_注射記録薬剤" sheetId="301" r:id="rId94"/>
    <sheet name="バックアップ_MML_紹介状モジュール_患者情報" sheetId="302" r:id="rId95"/>
    <sheet name="バックアップ_MML_紹介状モジュール_患者情報住所" sheetId="303" r:id="rId96"/>
    <sheet name="バックアップ_MML_紹介状モジュール_処方箋" sheetId="304" r:id="rId97"/>
    <sheet name="バックアップ_MML_紹介状モジュール_処方箋投薬" sheetId="305" r:id="rId98"/>
    <sheet name="バックアップ_MML_紹介状モジュール_処方箋薬剤" sheetId="306" r:id="rId99"/>
    <sheet name="BK_MML_紹介状モジュール_臨床サマリー情報経過記録" sheetId="307" r:id="rId100"/>
    <sheet name="バックアップ_MML_紹介状モジュール_診療科情報" sheetId="308" r:id="rId101"/>
    <sheet name="バックアップ_DPC調査データ_Dファイル" sheetId="172" r:id="rId102"/>
    <sheet name="バックアップ_DPC調査データ_入院EF統合ファイル" sheetId="179" r:id="rId103"/>
    <sheet name="バックアップ_DPC調査データ_外来EF統合ファイル" sheetId="181" r:id="rId104"/>
    <sheet name="バックアップ_DPC調査データ_Hファイル" sheetId="182" r:id="rId105"/>
    <sheet name="バックアップ_DPC調査データ_様式1" sheetId="185" r:id="rId106"/>
    <sheet name="バックアップ_DPC調査データ_様式1_診断情報_併存症" sheetId="186" r:id="rId107"/>
    <sheet name="バックアップ_DPC調査データ_様式1_診断情報_続発症" sheetId="187" r:id="rId108"/>
    <sheet name="バックアップ_医科レセプト_医療機関情報レコード" sheetId="197" r:id="rId109"/>
    <sheet name="バックアップ_医科レセプト_レセプト共通レコード" sheetId="198" r:id="rId110"/>
    <sheet name="バックアップ_医科レセプト_傷病名レコード" sheetId="199" r:id="rId111"/>
    <sheet name="バックアップ_医科レセプト_診療行為レコード" sheetId="200" r:id="rId112"/>
    <sheet name="バックアップ_医科レセプト_診療行為レコード_算定日情報" sheetId="201" r:id="rId113"/>
    <sheet name="バックアップ_医科レセプト_医薬品レコード" sheetId="202" r:id="rId114"/>
    <sheet name="バックアップ_医科レセプト_医薬品レコード_算定日情報" sheetId="203" r:id="rId115"/>
    <sheet name="バックアップ_医科レセプト_臓器提供者レセプト情報レコード" sheetId="204" r:id="rId116"/>
    <sheet name="バックアップ_DPCレセプト_医療機関情報レコード" sheetId="205" r:id="rId117"/>
    <sheet name="バックアップ_DPCレセプト_レセプト共通レコード" sheetId="206" r:id="rId118"/>
    <sheet name="バックアップ_DPCレセプト_診断群分類レコード" sheetId="207" r:id="rId119"/>
    <sheet name="バックアップ_DPCレセプト_傷病レコード" sheetId="208" r:id="rId120"/>
    <sheet name="バックアップ_DPCレセプト_傷病名レコード" sheetId="209" r:id="rId121"/>
    <sheet name="バックアップ_DPCレセプト_診療行為レコード" sheetId="210" r:id="rId122"/>
    <sheet name="バックアップ_DPCレセプト_診療行為レコード_算定日情報" sheetId="211" r:id="rId123"/>
    <sheet name="バックアップ_DPCレセプト_医薬品レコード" sheetId="212" r:id="rId124"/>
    <sheet name="バックアップ_DPCレセプト_医薬品レコード_算定日情報" sheetId="213" r:id="rId125"/>
    <sheet name="バックアップ_DPCレセプト_臓器提供者レセプト情報レコード" sheetId="214" r:id="rId126"/>
    <sheet name="バックアップ_患者情報モジュール_患者情報" sheetId="215" r:id="rId127"/>
    <sheet name="バックアップ_診断履歴情報モジュール_診断履歴情報レコード" sheetId="216" r:id="rId128"/>
    <sheet name="バックアップ_診断履歴情報モジュール_診断病名レコード" sheetId="217" r:id="rId129"/>
    <sheet name="バックアップ_診断履歴情報モジュール_診断分類レコード" sheetId="218" r:id="rId130"/>
    <sheet name="バックアップ_経過記録情報モジュール_経過記録情報レコード" sheetId="219" r:id="rId131"/>
    <sheet name="バックアップ_経過記録情報モジュール_プロブレムレコード" sheetId="220" r:id="rId132"/>
    <sheet name="バックアップ_経過記録情報モジュール_身体所見レコード" sheetId="221" r:id="rId133"/>
    <sheet name="バックアップ_経過記録情報モジュール_アセスメントレコード" sheetId="222" r:id="rId134"/>
    <sheet name="バックアップ_経過記録情報モジュール_外部参照レコード" sheetId="223" r:id="rId135"/>
    <sheet name="バックアップ_臨床サマリーモジュール_臨床サマリー情報レコード" sheetId="224" r:id="rId136"/>
    <sheet name="バックアップ_臨床サマリーモジュール_外来受診レコード" sheetId="225" r:id="rId137"/>
    <sheet name="バックアップ_臨床サマリーモジュール_入院レコード" sheetId="226" r:id="rId138"/>
    <sheet name="バックアップ_臨床サマリーモジュール_経過記録レコード" sheetId="227" r:id="rId139"/>
    <sheet name="バックアップ_臨床サマリーモジュール_検査結果レコード" sheetId="228" r:id="rId140"/>
    <sheet name="バックアップ_検歴情報モジュール_検歴情報" sheetId="229" r:id="rId141"/>
    <sheet name="バックアップ_検歴情報モジュール_検歴検体材料" sheetId="230" r:id="rId142"/>
    <sheet name="バックアップ_検歴情報モジュール_検歴項目情報" sheetId="231" r:id="rId143"/>
    <sheet name="バックアップ_バイタルサインモジュール_バイタルサイン" sheetId="232" r:id="rId144"/>
    <sheet name="バックアップ_バイタルサインモジュール_記録項目" sheetId="233" r:id="rId145"/>
    <sheet name="バックアップ_体温表モジュール_バイタルサイン" sheetId="234" r:id="rId146"/>
    <sheet name="バックアップ_体温表モジュール_記録項目" sheetId="235" r:id="rId147"/>
    <sheet name="組入れ_対象施設" sheetId="358" r:id="rId148"/>
    <sheet name="組入れ_対象疾患" sheetId="189" r:id="rId149"/>
    <sheet name="組入れ_対象診療行為" sheetId="361" r:id="rId150"/>
    <sheet name="組入れ_検体検査マスタ" sheetId="362" r:id="rId151"/>
    <sheet name="組入れ_対象検体検査" sheetId="360" r:id="rId152"/>
    <sheet name="組入れ_対象患者" sheetId="188" r:id="rId153"/>
    <sheet name="患者ID一覧マスタ" sheetId="364" r:id="rId154"/>
    <sheet name="施設マスタ" sheetId="363" r:id="rId155"/>
    <sheet name="患者マスタ" sheetId="190" r:id="rId156"/>
    <sheet name="疾患マスタ" sheetId="191" r:id="rId157"/>
    <sheet name="ベース_処方データ" sheetId="348" r:id="rId158"/>
    <sheet name="ベース_診療行為データ" sheetId="349" r:id="rId159"/>
    <sheet name="ベース_入院退院データ" sheetId="350" r:id="rId160"/>
    <sheet name="ベース_患者基本データ" sheetId="351" r:id="rId161"/>
    <sheet name="ベース_MML共通" sheetId="352" r:id="rId162"/>
    <sheet name="ベース_MML_診断履歴情報モジュール_本文" sheetId="353" r:id="rId163"/>
    <sheet name="ベース_MML_診断履歴情報モジュール_病名" sheetId="354" r:id="rId164"/>
    <sheet name="ベース_MML_処方箋モジュール_本文" sheetId="355" r:id="rId165"/>
    <sheet name="ベース_MML_処方箋モジュール_投薬" sheetId="356" r:id="rId166"/>
    <sheet name="ベース_MML_処方箋モジュール_薬剤" sheetId="357" r:id="rId167"/>
    <sheet name="ベース_DPC調査データ_入院EF統合ファイル" sheetId="192" r:id="rId168"/>
    <sheet name="ベース_DPC調査データ_外来EF統合ファイル" sheetId="193" r:id="rId169"/>
    <sheet name="ベース_DPC調査データ_様式1" sheetId="194" r:id="rId170"/>
    <sheet name="ベース_DPC調査データ_様式1_診断情報_併存症" sheetId="195" r:id="rId171"/>
    <sheet name="ベース_DPC調査データ_様式1_診断情報_続発症" sheetId="196" r:id="rId172"/>
    <sheet name="ベース_診断履歴情報モジュール_診断履歴情報レコード" sheetId="333" r:id="rId173"/>
    <sheet name="ベース_診断履歴情報モジュール_診断病名レコード" sheetId="334" r:id="rId174"/>
    <sheet name="ベース_経過記録情報モジュール_経過記録情報レコード" sheetId="335" r:id="rId175"/>
    <sheet name="ベース_経過記録情報モジュール_プロブレムレコード" sheetId="336" r:id="rId176"/>
    <sheet name="ベース_経過記録情報モジュール_身体所見レコード" sheetId="337" r:id="rId177"/>
    <sheet name="ベース_経過記録情報モジュール_アセスメントレコード" sheetId="338" r:id="rId178"/>
    <sheet name="ベース_経過記録情報モジュール_外部参照レコード" sheetId="339" r:id="rId179"/>
    <sheet name="ベース_臨床サマリーモジュール_臨床サマリー情報レコード" sheetId="340" r:id="rId180"/>
    <sheet name="ベース_臨床サマリーモジュール_外来受診レコード" sheetId="341" r:id="rId181"/>
    <sheet name="ベース_臨床サマリーモジュール_入院レコード" sheetId="342" r:id="rId182"/>
    <sheet name="ベース_臨床サマリーモジュール_経過記録レコード" sheetId="343" r:id="rId183"/>
    <sheet name="ベース_臨床サマリーモジュール_検査結果レコード" sheetId="344" r:id="rId184"/>
    <sheet name="ベース_検歴情報モジュール_検歴情報" sheetId="345" r:id="rId185"/>
    <sheet name="ベース_検歴情報モジュール_検歴検体材料" sheetId="346" r:id="rId186"/>
    <sheet name="ベース_検歴情報モジュール_検歴項目情報" sheetId="347" r:id="rId187"/>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8" i="191" l="1"/>
  <c r="T18" i="191"/>
  <c r="S18" i="191"/>
  <c r="R18" i="191"/>
  <c r="P18" i="191"/>
  <c r="G18" i="191"/>
  <c r="Q18" i="191" s="1"/>
  <c r="B18" i="191"/>
  <c r="AJ17" i="191"/>
  <c r="T17" i="191"/>
  <c r="S17" i="191"/>
  <c r="R17" i="191"/>
  <c r="Q17" i="191"/>
  <c r="P17" i="191"/>
  <c r="G17" i="191"/>
  <c r="B17" i="191"/>
  <c r="AJ17" i="364"/>
  <c r="T17" i="364"/>
  <c r="S17" i="364"/>
  <c r="R17" i="364"/>
  <c r="P17" i="364"/>
  <c r="G17" i="364"/>
  <c r="Q17" i="364" s="1"/>
  <c r="B17" i="364"/>
  <c r="AJ16" i="364"/>
  <c r="T16" i="364"/>
  <c r="S16" i="364"/>
  <c r="R16" i="364"/>
  <c r="Q16" i="364"/>
  <c r="P16" i="364"/>
  <c r="G16" i="364"/>
  <c r="B16" i="364"/>
  <c r="AJ15" i="364"/>
  <c r="T15" i="364"/>
  <c r="S15" i="364"/>
  <c r="R15" i="364"/>
  <c r="Q15" i="364"/>
  <c r="G15" i="364"/>
  <c r="B15" i="364"/>
  <c r="P15" i="364" s="1"/>
  <c r="AJ14" i="364"/>
  <c r="T14" i="364"/>
  <c r="S14" i="364"/>
  <c r="R14" i="364"/>
  <c r="G14" i="364"/>
  <c r="Q14" i="364" s="1"/>
  <c r="B14" i="364"/>
  <c r="P14" i="364" s="1"/>
  <c r="AJ13" i="364"/>
  <c r="T13" i="364"/>
  <c r="S13" i="364"/>
  <c r="R13" i="364"/>
  <c r="G13" i="364"/>
  <c r="Q13" i="364" s="1"/>
  <c r="B13" i="364"/>
  <c r="P13" i="364" s="1"/>
  <c r="AJ18" i="363"/>
  <c r="T18" i="363"/>
  <c r="S18" i="363"/>
  <c r="R18" i="363"/>
  <c r="G18" i="363"/>
  <c r="Q18" i="363" s="1"/>
  <c r="B18" i="363"/>
  <c r="P18" i="363" s="1"/>
  <c r="AJ19" i="363"/>
  <c r="T19" i="363"/>
  <c r="S19" i="363"/>
  <c r="R19" i="363"/>
  <c r="G19" i="363"/>
  <c r="Q19" i="363" s="1"/>
  <c r="B19" i="363"/>
  <c r="P19" i="363" s="1"/>
  <c r="AJ20" i="363"/>
  <c r="T20" i="363"/>
  <c r="S20" i="363"/>
  <c r="R20" i="363"/>
  <c r="G20" i="363"/>
  <c r="Q20" i="363" s="1"/>
  <c r="B20" i="363"/>
  <c r="P20"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J20" i="360"/>
  <c r="T20" i="360"/>
  <c r="S20" i="360"/>
  <c r="R20" i="360"/>
  <c r="P20" i="360"/>
  <c r="G20" i="360"/>
  <c r="Q20" i="360" s="1"/>
  <c r="B20" i="360"/>
  <c r="AJ18" i="360"/>
  <c r="T18" i="360"/>
  <c r="S18" i="360"/>
  <c r="R18" i="360"/>
  <c r="G18" i="360"/>
  <c r="Q18" i="360" s="1"/>
  <c r="B18" i="360"/>
  <c r="P18" i="360" s="1"/>
  <c r="AJ17" i="360"/>
  <c r="T17" i="360"/>
  <c r="S17" i="360"/>
  <c r="R17" i="360"/>
  <c r="G17" i="360"/>
  <c r="Q17" i="360" s="1"/>
  <c r="B17" i="360"/>
  <c r="P17" i="360" s="1"/>
  <c r="AJ19" i="360" l="1"/>
  <c r="T19" i="360"/>
  <c r="S19" i="360"/>
  <c r="R19" i="360"/>
  <c r="G19" i="360"/>
  <c r="Q19" i="360" s="1"/>
  <c r="B19" i="360"/>
  <c r="P19" i="360" s="1"/>
  <c r="AJ16" i="360"/>
  <c r="T16" i="360"/>
  <c r="S16" i="360"/>
  <c r="R16" i="360"/>
  <c r="Q16" i="360"/>
  <c r="G16" i="360"/>
  <c r="B16" i="360"/>
  <c r="P16" i="360" s="1"/>
  <c r="AJ21" i="362"/>
  <c r="T21" i="362"/>
  <c r="S21" i="362"/>
  <c r="R21" i="362"/>
  <c r="P21" i="362"/>
  <c r="G21" i="362"/>
  <c r="Q21" i="362" s="1"/>
  <c r="B21" i="362"/>
  <c r="AJ20" i="362"/>
  <c r="T20" i="362"/>
  <c r="S20" i="362"/>
  <c r="R20" i="362"/>
  <c r="Q20" i="362"/>
  <c r="P20" i="362"/>
  <c r="G20" i="362"/>
  <c r="B20" i="362"/>
  <c r="AJ19" i="362"/>
  <c r="T19" i="362"/>
  <c r="S19" i="362"/>
  <c r="R19" i="362"/>
  <c r="Q19" i="362"/>
  <c r="G19" i="362"/>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P15" i="362"/>
  <c r="G15" i="362"/>
  <c r="Q15" i="362" s="1"/>
  <c r="B15" i="362"/>
  <c r="AJ14" i="362"/>
  <c r="T14" i="362"/>
  <c r="S14" i="362"/>
  <c r="R14" i="362"/>
  <c r="Q14" i="362"/>
  <c r="G14" i="362"/>
  <c r="B14" i="362"/>
  <c r="P14" i="362" s="1"/>
  <c r="AJ13" i="362"/>
  <c r="T13" i="362"/>
  <c r="S13" i="362"/>
  <c r="R13" i="362"/>
  <c r="P13" i="362"/>
  <c r="G13" i="362"/>
  <c r="Q13" i="362" s="1"/>
  <c r="B13" i="362"/>
  <c r="AJ16" i="361"/>
  <c r="T16" i="361"/>
  <c r="S16" i="361"/>
  <c r="R16" i="361"/>
  <c r="P16" i="361"/>
  <c r="G16" i="361"/>
  <c r="Q16" i="361" s="1"/>
  <c r="B16" i="361"/>
  <c r="AJ15" i="361"/>
  <c r="T15" i="361"/>
  <c r="S15" i="361"/>
  <c r="R15" i="361"/>
  <c r="Q15" i="361"/>
  <c r="P15" i="361"/>
  <c r="G15" i="361"/>
  <c r="B15" i="361"/>
  <c r="AJ14" i="361"/>
  <c r="T14" i="361"/>
  <c r="S14" i="361"/>
  <c r="R14" i="361"/>
  <c r="Q14" i="361"/>
  <c r="G14" i="361"/>
  <c r="B14" i="361"/>
  <c r="P14" i="361" s="1"/>
  <c r="AJ13" i="361"/>
  <c r="T13" i="361"/>
  <c r="S13" i="361"/>
  <c r="R13" i="361"/>
  <c r="G13" i="361"/>
  <c r="Q13" i="361" s="1"/>
  <c r="B13" i="361"/>
  <c r="P13" i="361" s="1"/>
  <c r="AJ21" i="360"/>
  <c r="T21" i="360"/>
  <c r="S21" i="360"/>
  <c r="R21" i="360"/>
  <c r="P21" i="360"/>
  <c r="G21" i="360"/>
  <c r="Q21" i="360" s="1"/>
  <c r="B21" i="360"/>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C54" i="176"/>
  <c r="AJ15" i="189"/>
  <c r="T15" i="189"/>
  <c r="S15" i="189"/>
  <c r="R15" i="189"/>
  <c r="P15" i="189"/>
  <c r="G15" i="189"/>
  <c r="Q15" i="189" s="1"/>
  <c r="B15" i="189"/>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P13" i="358"/>
  <c r="G13" i="358"/>
  <c r="Q13" i="358" s="1"/>
  <c r="B13" i="358"/>
  <c r="B151" i="25"/>
  <c r="O151" i="25" s="1"/>
  <c r="BK151" i="25" s="1"/>
  <c r="A151" i="25"/>
  <c r="B150" i="25"/>
  <c r="O150" i="25" s="1"/>
  <c r="BK150" i="25" s="1"/>
  <c r="A150" i="25"/>
  <c r="B149" i="25"/>
  <c r="O149" i="25" s="1"/>
  <c r="BK149" i="25" s="1"/>
  <c r="A149" i="25"/>
  <c r="B148" i="25"/>
  <c r="O148" i="25" s="1"/>
  <c r="BK148" i="25" s="1"/>
  <c r="A148" i="25"/>
  <c r="E59" i="176"/>
  <c r="O34" i="176"/>
  <c r="B157" i="25"/>
  <c r="O157" i="25" s="1"/>
  <c r="BK157" i="25" s="1"/>
  <c r="A157" i="25"/>
  <c r="B156" i="25"/>
  <c r="O156" i="25" s="1"/>
  <c r="BK156" i="25" s="1"/>
  <c r="A156" i="25"/>
  <c r="A158" i="25"/>
  <c r="B158" i="25"/>
  <c r="O158" i="25" s="1"/>
  <c r="AE158" i="25"/>
  <c r="AM151" i="25"/>
  <c r="AM158" i="25"/>
  <c r="AM148" i="25"/>
  <c r="AE157" i="25"/>
  <c r="AM157" i="25"/>
  <c r="AM156" i="25"/>
  <c r="AM150" i="25"/>
  <c r="AM149" i="25"/>
  <c r="BK158" i="25" l="1"/>
  <c r="AJ18" i="358" l="1"/>
  <c r="T18" i="358"/>
  <c r="S18" i="358"/>
  <c r="R18" i="358"/>
  <c r="G18" i="358"/>
  <c r="Q18" i="358" s="1"/>
  <c r="B18" i="358"/>
  <c r="P18" i="358" s="1"/>
  <c r="E98" i="176"/>
  <c r="E95" i="176"/>
  <c r="E92" i="176"/>
  <c r="E89" i="176"/>
  <c r="C81" i="176"/>
  <c r="W81" i="176" s="1"/>
  <c r="E86" i="176"/>
  <c r="T83" i="176"/>
  <c r="E83" i="176"/>
  <c r="C80" i="176"/>
  <c r="W80" i="176" s="1"/>
  <c r="W79" i="176"/>
  <c r="O74" i="176"/>
  <c r="J65" i="176"/>
  <c r="J71" i="176"/>
  <c r="J62" i="176"/>
  <c r="J22" i="176"/>
  <c r="C41" i="176"/>
  <c r="W41" i="176" s="1"/>
  <c r="T44" i="176"/>
  <c r="W42" i="176"/>
  <c r="W40" i="176"/>
  <c r="C29" i="176"/>
  <c r="C17" i="176"/>
  <c r="C28" i="176"/>
  <c r="C5" i="176"/>
  <c r="C5" i="174" l="1"/>
  <c r="R355" i="178" l="1"/>
  <c r="C353" i="178" s="1"/>
  <c r="W353" i="178" s="1"/>
  <c r="W351" i="178"/>
  <c r="R343" i="178"/>
  <c r="C341" i="178"/>
  <c r="W341" i="178" s="1"/>
  <c r="C340" i="178"/>
  <c r="W340" i="178" s="1"/>
  <c r="W339" i="178"/>
  <c r="R331" i="178"/>
  <c r="C329" i="178" s="1"/>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52" i="178" l="1"/>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C22" i="177"/>
  <c r="T25" i="177"/>
  <c r="W22" i="177"/>
  <c r="W21" i="177"/>
  <c r="C4" i="177"/>
  <c r="C5" i="177"/>
  <c r="E13" i="177"/>
  <c r="T7" i="177"/>
  <c r="B101"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87" i="25"/>
  <c r="O187" i="25" s="1"/>
  <c r="BK187" i="25" s="1"/>
  <c r="A187" i="25"/>
  <c r="B186" i="25"/>
  <c r="O186" i="25" s="1"/>
  <c r="BK186" i="25" s="1"/>
  <c r="A186" i="25"/>
  <c r="B185" i="25"/>
  <c r="O185" i="25" s="1"/>
  <c r="BK185" i="25" s="1"/>
  <c r="A185" i="25"/>
  <c r="B184" i="25"/>
  <c r="O184" i="25" s="1"/>
  <c r="BK184" i="25" s="1"/>
  <c r="A184" i="25"/>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B163" i="25"/>
  <c r="O163" i="25" s="1"/>
  <c r="BK163" i="25" s="1"/>
  <c r="A163" i="25"/>
  <c r="B162" i="25"/>
  <c r="O162" i="25" s="1"/>
  <c r="BK162" i="25" s="1"/>
  <c r="A162" i="25"/>
  <c r="B161" i="25"/>
  <c r="O161" i="25" s="1"/>
  <c r="BK161" i="25" s="1"/>
  <c r="A161" i="25"/>
  <c r="B160" i="25"/>
  <c r="O160" i="25" s="1"/>
  <c r="BK160" i="25" s="1"/>
  <c r="A160" i="25"/>
  <c r="C173" i="178"/>
  <c r="C161" i="178"/>
  <c r="C149" i="178"/>
  <c r="C137" i="178"/>
  <c r="C125" i="178"/>
  <c r="AM183" i="25"/>
  <c r="AM182" i="25"/>
  <c r="AM165" i="25"/>
  <c r="AM186" i="25"/>
  <c r="AM177" i="25"/>
  <c r="AM166" i="25"/>
  <c r="AM178" i="25"/>
  <c r="AM170" i="25"/>
  <c r="AM187" i="25"/>
  <c r="AM176" i="25"/>
  <c r="AM171" i="25"/>
  <c r="AM164" i="25"/>
  <c r="AM184" i="25"/>
  <c r="AM181" i="25"/>
  <c r="AM172" i="25"/>
  <c r="AM163" i="25"/>
  <c r="AM167" i="25"/>
  <c r="AM161" i="25"/>
  <c r="AM174" i="25"/>
  <c r="AM162" i="25"/>
  <c r="AM169" i="25"/>
  <c r="AM173" i="25"/>
  <c r="AM175" i="25"/>
  <c r="AM160" i="25"/>
  <c r="AM180" i="25"/>
  <c r="AM168" i="25"/>
  <c r="AM179" i="25"/>
  <c r="AM185" i="25"/>
  <c r="Q23" i="352" l="1"/>
  <c r="Q17" i="347"/>
  <c r="Q22" i="346"/>
  <c r="Q17" i="345"/>
  <c r="Q17" i="344"/>
  <c r="Q17" i="343"/>
  <c r="Q17" i="341"/>
  <c r="Q17" i="340"/>
  <c r="Q17" i="338"/>
  <c r="R17" i="337"/>
  <c r="Q17" i="336"/>
  <c r="Q17" i="335"/>
  <c r="R17" i="334"/>
  <c r="Q17" i="333"/>
  <c r="B155" i="25"/>
  <c r="O155" i="25" s="1"/>
  <c r="BK155" i="25" s="1"/>
  <c r="A155"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7" i="25"/>
  <c r="AM155" i="25"/>
  <c r="D4" i="331" l="1"/>
  <c r="D6" i="332"/>
  <c r="D5" i="331"/>
  <c r="D8" i="331" s="1"/>
  <c r="D5" i="332"/>
  <c r="D8" i="332" s="1"/>
  <c r="D4" i="332"/>
  <c r="D6" i="331"/>
  <c r="C53" i="176"/>
  <c r="W53" i="176" s="1"/>
  <c r="J68" i="176"/>
  <c r="T56" i="176"/>
  <c r="E56" i="176"/>
  <c r="W54" i="176"/>
  <c r="W52" i="176"/>
  <c r="T31" i="176"/>
  <c r="E31" i="176"/>
  <c r="E19" i="176"/>
  <c r="T19" i="176"/>
  <c r="C16" i="176"/>
  <c r="W5" i="176" l="1"/>
  <c r="E7" i="176"/>
  <c r="T7" i="176"/>
  <c r="C4" i="176"/>
  <c r="W4" i="176" s="1"/>
  <c r="W3" i="176"/>
  <c r="E1000" i="174" l="1"/>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8" i="174" s="1"/>
  <c r="W958"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3" i="174" s="1"/>
  <c r="W863" i="174" s="1"/>
  <c r="W861" i="174"/>
  <c r="E856" i="174"/>
  <c r="T853" i="174"/>
  <c r="R853" i="174"/>
  <c r="C851" i="174" s="1"/>
  <c r="W851" i="174" s="1"/>
  <c r="W849" i="174"/>
  <c r="E844" i="174"/>
  <c r="T841" i="174"/>
  <c r="R841" i="174"/>
  <c r="C839" i="174" s="1"/>
  <c r="W839" i="174" s="1"/>
  <c r="W837" i="174"/>
  <c r="E832" i="174"/>
  <c r="T829" i="174"/>
  <c r="R829" i="174"/>
  <c r="C827" i="174" s="1"/>
  <c r="W827" i="174" s="1"/>
  <c r="W825" i="174"/>
  <c r="E820" i="174"/>
  <c r="T817" i="174"/>
  <c r="R817" i="174"/>
  <c r="C815" i="174" s="1"/>
  <c r="W815" i="174" s="1"/>
  <c r="W813" i="174"/>
  <c r="E808" i="174"/>
  <c r="T805" i="174"/>
  <c r="R805" i="174"/>
  <c r="C802" i="174" s="1"/>
  <c r="W802" i="174" s="1"/>
  <c r="W801" i="174"/>
  <c r="E796" i="174"/>
  <c r="T793" i="174"/>
  <c r="R793" i="174"/>
  <c r="C791" i="174" s="1"/>
  <c r="W791" i="174" s="1"/>
  <c r="W789" i="174"/>
  <c r="E784" i="174"/>
  <c r="T781" i="174"/>
  <c r="R781" i="174"/>
  <c r="C778" i="174" s="1"/>
  <c r="W778"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724" i="174"/>
  <c r="T721" i="174"/>
  <c r="R721" i="174"/>
  <c r="C719" i="174" s="1"/>
  <c r="W719" i="174" s="1"/>
  <c r="W717" i="174"/>
  <c r="E712" i="174"/>
  <c r="T709" i="174"/>
  <c r="R709" i="174"/>
  <c r="C707" i="174" s="1"/>
  <c r="W707" i="174" s="1"/>
  <c r="W705" i="174"/>
  <c r="E700" i="174"/>
  <c r="T697" i="174"/>
  <c r="R697" i="174"/>
  <c r="C695" i="174" s="1"/>
  <c r="W695" i="174" s="1"/>
  <c r="W693" i="174"/>
  <c r="E688" i="174"/>
  <c r="T685" i="174"/>
  <c r="R685" i="174"/>
  <c r="C683" i="174" s="1"/>
  <c r="W683" i="174" s="1"/>
  <c r="W681" i="174"/>
  <c r="E676" i="174"/>
  <c r="T673" i="174"/>
  <c r="R673" i="174"/>
  <c r="C671" i="174" s="1"/>
  <c r="W671" i="174" s="1"/>
  <c r="W669" i="174"/>
  <c r="E664" i="174"/>
  <c r="T661" i="174"/>
  <c r="R661" i="174"/>
  <c r="C659" i="174" s="1"/>
  <c r="W659" i="174" s="1"/>
  <c r="W657" i="174"/>
  <c r="E652" i="174"/>
  <c r="T649" i="174"/>
  <c r="R649" i="174"/>
  <c r="C647" i="174" s="1"/>
  <c r="W647" i="174" s="1"/>
  <c r="W645" i="174"/>
  <c r="E640" i="174"/>
  <c r="T637" i="174"/>
  <c r="R637" i="174"/>
  <c r="C635" i="174" s="1"/>
  <c r="W635" i="174" s="1"/>
  <c r="W633"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982" i="174" l="1"/>
  <c r="W982" i="174" s="1"/>
  <c r="C97" i="174"/>
  <c r="W97" i="174" s="1"/>
  <c r="C559" i="174"/>
  <c r="W559" i="174" s="1"/>
  <c r="C406" i="174"/>
  <c r="W406" i="174" s="1"/>
  <c r="C550" i="174"/>
  <c r="W550" i="174" s="1"/>
  <c r="C182" i="174"/>
  <c r="W182" i="174" s="1"/>
  <c r="C532" i="174"/>
  <c r="W532" i="174" s="1"/>
  <c r="C634" i="174"/>
  <c r="W634" i="174" s="1"/>
  <c r="C469" i="174"/>
  <c r="W469" i="174" s="1"/>
  <c r="C970" i="174"/>
  <c r="W970" i="174" s="1"/>
  <c r="C577" i="174"/>
  <c r="W577" i="174" s="1"/>
  <c r="C272" i="174"/>
  <c r="W272" i="174" s="1"/>
  <c r="C433" i="174"/>
  <c r="W433" i="174" s="1"/>
  <c r="C604" i="174"/>
  <c r="W604" i="174" s="1"/>
  <c r="C766" i="174"/>
  <c r="W766" i="174" s="1"/>
  <c r="C506" i="174"/>
  <c r="W506" i="174" s="1"/>
  <c r="C994" i="174"/>
  <c r="W994" i="174" s="1"/>
  <c r="C959" i="174"/>
  <c r="W959" i="174" s="1"/>
  <c r="C946" i="174"/>
  <c r="W946" i="174" s="1"/>
  <c r="C934" i="174"/>
  <c r="W934" i="174" s="1"/>
  <c r="C922" i="174"/>
  <c r="W922" i="174" s="1"/>
  <c r="C910" i="174"/>
  <c r="W910" i="174" s="1"/>
  <c r="C898" i="174"/>
  <c r="W898" i="174" s="1"/>
  <c r="C886" i="174"/>
  <c r="W886" i="174" s="1"/>
  <c r="C874" i="174"/>
  <c r="W874" i="174" s="1"/>
  <c r="C862" i="174"/>
  <c r="W862" i="174" s="1"/>
  <c r="C850" i="174"/>
  <c r="W850" i="174" s="1"/>
  <c r="C838" i="174"/>
  <c r="W838" i="174" s="1"/>
  <c r="C826" i="174"/>
  <c r="W826" i="174" s="1"/>
  <c r="C814" i="174"/>
  <c r="W814" i="174" s="1"/>
  <c r="C803" i="174"/>
  <c r="W803" i="174" s="1"/>
  <c r="C790" i="174"/>
  <c r="W790" i="174" s="1"/>
  <c r="C779" i="174"/>
  <c r="W779" i="174" s="1"/>
  <c r="C754" i="174"/>
  <c r="W754" i="174" s="1"/>
  <c r="C742" i="174"/>
  <c r="W742" i="174" s="1"/>
  <c r="C730" i="174"/>
  <c r="W730" i="174" s="1"/>
  <c r="C718" i="174"/>
  <c r="W718" i="174" s="1"/>
  <c r="C706" i="174"/>
  <c r="W706" i="174" s="1"/>
  <c r="C694" i="174"/>
  <c r="W694" i="174" s="1"/>
  <c r="C682" i="174"/>
  <c r="W682" i="174" s="1"/>
  <c r="C670" i="174"/>
  <c r="W670" i="174" s="1"/>
  <c r="C658" i="174"/>
  <c r="W658" i="174" s="1"/>
  <c r="C646" i="174"/>
  <c r="W646"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552" i="174"/>
  <c r="T1549" i="174"/>
  <c r="R1549" i="174"/>
  <c r="C1547" i="174" s="1"/>
  <c r="W1547" i="174" s="1"/>
  <c r="W1545" i="174"/>
  <c r="E1540" i="174"/>
  <c r="T1537" i="174"/>
  <c r="R1537" i="174"/>
  <c r="C1535" i="174" s="1"/>
  <c r="W1535" i="174" s="1"/>
  <c r="W1533" i="174"/>
  <c r="E1528" i="174"/>
  <c r="T1525" i="174"/>
  <c r="R1525" i="174"/>
  <c r="C1523" i="174" s="1"/>
  <c r="W1523" i="174" s="1"/>
  <c r="W1521" i="174"/>
  <c r="E1516" i="174"/>
  <c r="T1513" i="174"/>
  <c r="R1513" i="174"/>
  <c r="C1511" i="174" s="1"/>
  <c r="W1511" i="174" s="1"/>
  <c r="W1509" i="174"/>
  <c r="E1504" i="174"/>
  <c r="T1501" i="174"/>
  <c r="R1501" i="174"/>
  <c r="C1499" i="174" s="1"/>
  <c r="W1499" i="174" s="1"/>
  <c r="W1497" i="174"/>
  <c r="E1492" i="174"/>
  <c r="T1489" i="174"/>
  <c r="R1489" i="174"/>
  <c r="C1487" i="174" s="1"/>
  <c r="W1487" i="174" s="1"/>
  <c r="W1485" i="174"/>
  <c r="E1480" i="174"/>
  <c r="T1477" i="174"/>
  <c r="R1477" i="174"/>
  <c r="C1474" i="174" s="1"/>
  <c r="W1474" i="174" s="1"/>
  <c r="W1473" i="174"/>
  <c r="E1468" i="174"/>
  <c r="T1465" i="174"/>
  <c r="R1465" i="174"/>
  <c r="C1462" i="174" s="1"/>
  <c r="W1462" i="174" s="1"/>
  <c r="W1461" i="174"/>
  <c r="E1456" i="174"/>
  <c r="T1453" i="174"/>
  <c r="R1453" i="174"/>
  <c r="C1450" i="174" s="1"/>
  <c r="W1450"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3" i="174" s="1"/>
  <c r="W1403" i="174" s="1"/>
  <c r="W1401" i="174"/>
  <c r="E1396" i="174"/>
  <c r="T1393" i="174"/>
  <c r="R1393" i="174"/>
  <c r="C1391" i="174" s="1"/>
  <c r="W1391" i="174" s="1"/>
  <c r="W1389" i="174"/>
  <c r="E1384" i="174"/>
  <c r="T1381" i="174"/>
  <c r="R1381" i="174"/>
  <c r="C1379" i="174" s="1"/>
  <c r="W1379" i="174" s="1"/>
  <c r="W1377" i="174"/>
  <c r="E1372" i="174"/>
  <c r="T1369" i="174"/>
  <c r="R1369" i="174"/>
  <c r="C1366" i="174" s="1"/>
  <c r="W1366" i="174" s="1"/>
  <c r="W1365" i="174"/>
  <c r="E1360" i="174"/>
  <c r="T1357" i="174"/>
  <c r="R1357" i="174"/>
  <c r="C1355" i="174" s="1"/>
  <c r="W1355" i="174" s="1"/>
  <c r="W1353" i="174"/>
  <c r="E1348" i="174"/>
  <c r="T1345" i="174"/>
  <c r="R1345" i="174"/>
  <c r="C1342" i="174" s="1"/>
  <c r="W1342" i="174" s="1"/>
  <c r="W1341" i="174"/>
  <c r="E1336" i="174"/>
  <c r="T1333" i="174"/>
  <c r="R1333" i="174"/>
  <c r="C1331" i="174" s="1"/>
  <c r="W1331" i="174" s="1"/>
  <c r="W1329" i="174"/>
  <c r="E1324" i="174"/>
  <c r="T1321" i="174"/>
  <c r="R1321" i="174"/>
  <c r="C1319" i="174" s="1"/>
  <c r="W1319"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8" i="174" s="1"/>
  <c r="W1258" i="174" s="1"/>
  <c r="W1257" i="174"/>
  <c r="E1252" i="174"/>
  <c r="T1249" i="174"/>
  <c r="R1249" i="174"/>
  <c r="C1247" i="174" s="1"/>
  <c r="W1247" i="174" s="1"/>
  <c r="W1245" i="174"/>
  <c r="E1240" i="174"/>
  <c r="T1237" i="174"/>
  <c r="R1237" i="174"/>
  <c r="C1235" i="174" s="1"/>
  <c r="W1235" i="174" s="1"/>
  <c r="W1233" i="174"/>
  <c r="E1228" i="174"/>
  <c r="T1225" i="174"/>
  <c r="R1225" i="174"/>
  <c r="C1223" i="174" s="1"/>
  <c r="W1223" i="174" s="1"/>
  <c r="W1221" i="174"/>
  <c r="E1216" i="174"/>
  <c r="T1213" i="174"/>
  <c r="R1213" i="174"/>
  <c r="C1210" i="174" s="1"/>
  <c r="W1210"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2" i="174" s="1"/>
  <c r="W1162" i="174" s="1"/>
  <c r="W1161" i="174"/>
  <c r="E1156" i="174"/>
  <c r="T1153" i="174"/>
  <c r="R1153" i="174"/>
  <c r="C1151" i="174" s="1"/>
  <c r="W1151" i="174" s="1"/>
  <c r="W1149" i="174"/>
  <c r="E1144" i="174"/>
  <c r="T1141" i="174"/>
  <c r="R1141" i="174"/>
  <c r="C1139" i="174" s="1"/>
  <c r="W1139" i="174" s="1"/>
  <c r="W1137" i="174"/>
  <c r="E1132" i="174"/>
  <c r="T1129" i="174"/>
  <c r="R1129" i="174"/>
  <c r="C1127" i="174" s="1"/>
  <c r="W1127" i="174" s="1"/>
  <c r="W1125" i="174"/>
  <c r="E1120" i="174"/>
  <c r="T1117" i="174"/>
  <c r="R1117" i="174"/>
  <c r="C1115" i="174" s="1"/>
  <c r="W1115" i="174" s="1"/>
  <c r="W1113" i="174"/>
  <c r="E1108" i="174"/>
  <c r="T1105" i="174"/>
  <c r="R1105" i="174"/>
  <c r="C1103" i="174" s="1"/>
  <c r="W1103" i="174" s="1"/>
  <c r="W1101" i="174"/>
  <c r="C1318" i="174" l="1"/>
  <c r="W1318" i="174" s="1"/>
  <c r="C1271" i="174"/>
  <c r="W1271" i="174" s="1"/>
  <c r="C52" i="174"/>
  <c r="W52" i="174" s="1"/>
  <c r="C40" i="174"/>
  <c r="W40" i="174" s="1"/>
  <c r="C1546" i="174"/>
  <c r="W1546" i="174" s="1"/>
  <c r="C1534" i="174"/>
  <c r="W1534" i="174" s="1"/>
  <c r="C1522" i="174"/>
  <c r="W1522" i="174" s="1"/>
  <c r="C1510" i="174"/>
  <c r="W1510" i="174" s="1"/>
  <c r="C1498" i="174"/>
  <c r="W1498" i="174" s="1"/>
  <c r="C1486" i="174"/>
  <c r="W1486" i="174" s="1"/>
  <c r="C1475" i="174"/>
  <c r="W1475" i="174" s="1"/>
  <c r="C1463" i="174"/>
  <c r="W1463" i="174" s="1"/>
  <c r="C1451" i="174"/>
  <c r="W1451" i="174" s="1"/>
  <c r="C1438" i="174"/>
  <c r="W1438" i="174" s="1"/>
  <c r="C1427" i="174"/>
  <c r="W1427" i="174" s="1"/>
  <c r="C1414" i="174"/>
  <c r="W1414" i="174" s="1"/>
  <c r="C1402" i="174"/>
  <c r="W1402" i="174" s="1"/>
  <c r="C1390" i="174"/>
  <c r="W1390" i="174" s="1"/>
  <c r="C1378" i="174"/>
  <c r="W1378" i="174" s="1"/>
  <c r="C1367" i="174"/>
  <c r="W1367" i="174" s="1"/>
  <c r="C1354" i="174"/>
  <c r="W1354" i="174" s="1"/>
  <c r="C1343" i="174"/>
  <c r="W1343" i="174" s="1"/>
  <c r="C1330" i="174"/>
  <c r="W1330" i="174" s="1"/>
  <c r="C1306" i="174"/>
  <c r="W1306" i="174" s="1"/>
  <c r="C1294" i="174"/>
  <c r="W1294" i="174" s="1"/>
  <c r="C1282" i="174"/>
  <c r="W1282" i="174" s="1"/>
  <c r="C1259" i="174"/>
  <c r="W1259" i="174" s="1"/>
  <c r="C1246" i="174"/>
  <c r="W1246" i="174" s="1"/>
  <c r="C1234" i="174"/>
  <c r="W1234" i="174" s="1"/>
  <c r="C1222" i="174"/>
  <c r="W1222" i="174" s="1"/>
  <c r="C1211" i="174"/>
  <c r="W1211" i="174" s="1"/>
  <c r="C1198" i="174"/>
  <c r="W1198" i="174" s="1"/>
  <c r="C1186" i="174"/>
  <c r="W1186" i="174" s="1"/>
  <c r="C1174" i="174"/>
  <c r="W1174" i="174" s="1"/>
  <c r="C1163" i="174"/>
  <c r="W1163" i="174" s="1"/>
  <c r="C1150" i="174"/>
  <c r="W1150" i="174" s="1"/>
  <c r="C1138" i="174"/>
  <c r="W1138" i="174" s="1"/>
  <c r="C1126" i="174"/>
  <c r="W1126" i="174" s="1"/>
  <c r="C1114" i="174"/>
  <c r="W1114" i="174" s="1"/>
  <c r="C1102" i="174"/>
  <c r="W1102" i="174" s="1"/>
  <c r="E1096" i="174" l="1"/>
  <c r="T1093" i="174"/>
  <c r="R1093" i="174"/>
  <c r="C1091" i="174" s="1"/>
  <c r="W1091" i="174" s="1"/>
  <c r="W1089"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090" i="174" l="1"/>
  <c r="W109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E1084" i="174" l="1"/>
  <c r="E1072" i="174"/>
  <c r="E1060" i="174"/>
  <c r="E1048" i="174"/>
  <c r="E1036" i="174"/>
  <c r="E1024" i="174"/>
  <c r="T1081" i="174"/>
  <c r="T1069" i="174"/>
  <c r="T1057" i="174"/>
  <c r="T1045" i="174"/>
  <c r="T1033" i="174"/>
  <c r="T1021" i="174"/>
  <c r="E1012" i="174"/>
  <c r="T1009"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38" i="25"/>
  <c r="AM46" i="25"/>
  <c r="AM41" i="25"/>
  <c r="AM53" i="25"/>
  <c r="AM43" i="25"/>
  <c r="AM48" i="25"/>
  <c r="AM44" i="25"/>
  <c r="AM49" i="25"/>
  <c r="AM52" i="25"/>
  <c r="AM50" i="25"/>
  <c r="AM55" i="25"/>
  <c r="AM36" i="25"/>
  <c r="AM47" i="25"/>
  <c r="AM42" i="25"/>
  <c r="AM39" i="25"/>
  <c r="AM45" i="25"/>
  <c r="AM51" i="25"/>
  <c r="AM40" i="25"/>
  <c r="AM37" i="25"/>
  <c r="AM54" i="25"/>
  <c r="Q23" i="309" l="1"/>
  <c r="Q22" i="309"/>
  <c r="BK90" i="25"/>
  <c r="A90" i="25"/>
  <c r="O192" i="25"/>
  <c r="BK70" i="25"/>
  <c r="A70" i="25"/>
  <c r="C22" i="174"/>
  <c r="W22" i="174" s="1"/>
  <c r="C21" i="174"/>
  <c r="W21" i="174" s="1"/>
  <c r="W20" i="174"/>
  <c r="AM70" i="25"/>
  <c r="AM90" i="25"/>
  <c r="W5" i="174" l="1"/>
  <c r="W3" i="174"/>
  <c r="W1005" i="174"/>
  <c r="R1009" i="174"/>
  <c r="C1006" i="174" s="1"/>
  <c r="W1006" i="174" s="1"/>
  <c r="C4" i="174" l="1"/>
  <c r="W4" i="174" s="1"/>
  <c r="C1007" i="174"/>
  <c r="W100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1" i="25"/>
  <c r="A91" i="25"/>
  <c r="BK97" i="25"/>
  <c r="A97" i="25"/>
  <c r="BK96" i="25"/>
  <c r="A96" i="25"/>
  <c r="BK95" i="25"/>
  <c r="A95" i="25"/>
  <c r="BK94" i="25"/>
  <c r="A94" i="25"/>
  <c r="BK93" i="25"/>
  <c r="A93" i="25"/>
  <c r="BK92" i="25"/>
  <c r="A92" i="25"/>
  <c r="BK89" i="25"/>
  <c r="A89"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86" i="25"/>
  <c r="A86" i="25"/>
  <c r="BK85" i="25"/>
  <c r="A85" i="25"/>
  <c r="BK84" i="25"/>
  <c r="A84" i="25"/>
  <c r="BK83" i="25"/>
  <c r="A83" i="25"/>
  <c r="BK82" i="25"/>
  <c r="A82" i="25"/>
  <c r="BK81" i="25"/>
  <c r="A81" i="25"/>
  <c r="BK80" i="25"/>
  <c r="A80" i="25"/>
  <c r="BK79" i="25"/>
  <c r="A79" i="25"/>
  <c r="BK98" i="25"/>
  <c r="A98" i="25"/>
  <c r="BK88" i="25"/>
  <c r="A88" i="25"/>
  <c r="BK87" i="25"/>
  <c r="A87"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78" i="25"/>
  <c r="A78" i="25"/>
  <c r="BK77" i="25"/>
  <c r="A77" i="25"/>
  <c r="BK76" i="25"/>
  <c r="A76"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75" i="25"/>
  <c r="A75" i="25"/>
  <c r="BK74" i="25"/>
  <c r="A74" i="25"/>
  <c r="BK73" i="25"/>
  <c r="A73"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94" i="25"/>
  <c r="AM35" i="25"/>
  <c r="AM72" i="25"/>
  <c r="AM87" i="25"/>
  <c r="AM28" i="25"/>
  <c r="AM98" i="25"/>
  <c r="AM27" i="25"/>
  <c r="AM31" i="25"/>
  <c r="AM86" i="25"/>
  <c r="AM92" i="25"/>
  <c r="AM29" i="25"/>
  <c r="AM89" i="25"/>
  <c r="AM21" i="25"/>
  <c r="AM68" i="25"/>
  <c r="AM80" i="25"/>
  <c r="AM58" i="25"/>
  <c r="AM65" i="25"/>
  <c r="AM64" i="25"/>
  <c r="AM22" i="25"/>
  <c r="AM57" i="25"/>
  <c r="AM85" i="25"/>
  <c r="AM84" i="25"/>
  <c r="AM24" i="25"/>
  <c r="AM63" i="25"/>
  <c r="AM79" i="25"/>
  <c r="AM33" i="25"/>
  <c r="AM96" i="25"/>
  <c r="AM75" i="25"/>
  <c r="AM69" i="25"/>
  <c r="AM83" i="25"/>
  <c r="AM91" i="25"/>
  <c r="AM71" i="25"/>
  <c r="AM81" i="25"/>
  <c r="AM95" i="25"/>
  <c r="AM66" i="25"/>
  <c r="AM34" i="25"/>
  <c r="AM62" i="25"/>
  <c r="AM78" i="25"/>
  <c r="AM61" i="25"/>
  <c r="AM73" i="25"/>
  <c r="AM60" i="25"/>
  <c r="AM59" i="25"/>
  <c r="AM97" i="25"/>
  <c r="AM23" i="25"/>
  <c r="AM20" i="25"/>
  <c r="AM77" i="25"/>
  <c r="AM26" i="25"/>
  <c r="AM67" i="25"/>
  <c r="AM88" i="25"/>
  <c r="AM32" i="25"/>
  <c r="AM74" i="25"/>
  <c r="AM56" i="25"/>
  <c r="AM82" i="25"/>
  <c r="AM76" i="25"/>
  <c r="AM25" i="25"/>
  <c r="AM93"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8" i="25"/>
  <c r="AM12" i="25"/>
  <c r="AM11" i="25"/>
  <c r="AM10" i="25"/>
  <c r="Q17" i="236" l="1"/>
  <c r="AJ23" i="235" l="1"/>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45" i="25"/>
  <c r="A145" i="25"/>
  <c r="BK144" i="25"/>
  <c r="A144" i="25"/>
  <c r="BK143" i="25"/>
  <c r="A143"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4" i="25"/>
  <c r="AM145" i="25"/>
  <c r="AM143"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99" i="25"/>
  <c r="BK146" i="25"/>
  <c r="BK142" i="25"/>
  <c r="BK141" i="25"/>
  <c r="BK140" i="25"/>
  <c r="BK139" i="25"/>
  <c r="BK138" i="25"/>
  <c r="BK137" i="25"/>
  <c r="BK136" i="25"/>
  <c r="BK135" i="25"/>
  <c r="BK134" i="25"/>
  <c r="BK133" i="25"/>
  <c r="BK132" i="25"/>
  <c r="BK131" i="25"/>
  <c r="BK130" i="25"/>
  <c r="BK129" i="25"/>
  <c r="BK128" i="25"/>
  <c r="BK127" i="25"/>
  <c r="BK126" i="25"/>
  <c r="A99" i="25"/>
  <c r="A146" i="25"/>
  <c r="A142" i="25"/>
  <c r="A141" i="25"/>
  <c r="A140" i="25"/>
  <c r="A139" i="25"/>
  <c r="A138" i="25"/>
  <c r="A137" i="25"/>
  <c r="A136" i="25"/>
  <c r="A135" i="25"/>
  <c r="A134" i="25"/>
  <c r="A133" i="25"/>
  <c r="A132" i="25"/>
  <c r="A131" i="25"/>
  <c r="A130" i="25"/>
  <c r="A129" i="25"/>
  <c r="A128" i="25"/>
  <c r="A127" i="25"/>
  <c r="A126"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4" i="25"/>
  <c r="BK121" i="25"/>
  <c r="BK120" i="25"/>
  <c r="BK119" i="25"/>
  <c r="BK118" i="25"/>
  <c r="BK117" i="25"/>
  <c r="BK116" i="25"/>
  <c r="BK124" i="25"/>
  <c r="A124" i="25"/>
  <c r="BK123" i="25"/>
  <c r="A123" i="25"/>
  <c r="BK122" i="25"/>
  <c r="A122" i="25"/>
  <c r="A121" i="25"/>
  <c r="A120" i="25"/>
  <c r="A119" i="25"/>
  <c r="A118" i="25"/>
  <c r="A117" i="25"/>
  <c r="A116" i="25"/>
  <c r="BK125" i="25"/>
  <c r="A125"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3" i="189"/>
  <c r="T13" i="189"/>
  <c r="S13" i="189"/>
  <c r="R13" i="189"/>
  <c r="AJ15" i="190"/>
  <c r="T15" i="190"/>
  <c r="S15" i="190"/>
  <c r="R15" i="190"/>
  <c r="AJ14" i="190"/>
  <c r="T14" i="190"/>
  <c r="S14" i="190"/>
  <c r="R14" i="190"/>
  <c r="AJ13" i="190"/>
  <c r="T13" i="190"/>
  <c r="S13" i="190"/>
  <c r="R13" i="190"/>
  <c r="AJ22" i="191"/>
  <c r="T22" i="191"/>
  <c r="S22" i="191"/>
  <c r="R22" i="191"/>
  <c r="AJ21" i="191"/>
  <c r="T21" i="191"/>
  <c r="S21" i="191"/>
  <c r="R21" i="191"/>
  <c r="AJ20" i="191"/>
  <c r="T20" i="191"/>
  <c r="S20" i="191"/>
  <c r="R20" i="191"/>
  <c r="AJ19" i="191"/>
  <c r="T19" i="191"/>
  <c r="S19" i="191"/>
  <c r="R19" i="191"/>
  <c r="AJ14" i="191"/>
  <c r="T14" i="191"/>
  <c r="S14" i="191"/>
  <c r="R14" i="191"/>
  <c r="AJ13" i="191"/>
  <c r="T13" i="191"/>
  <c r="S13" i="191"/>
  <c r="R13" i="191"/>
  <c r="AJ16" i="191"/>
  <c r="T16" i="191"/>
  <c r="S16" i="191"/>
  <c r="R16" i="191"/>
  <c r="AJ15" i="191"/>
  <c r="T15" i="191"/>
  <c r="S15" i="191"/>
  <c r="R15" i="191"/>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15" i="25"/>
  <c r="A115" i="25"/>
  <c r="BK114" i="25"/>
  <c r="A114" i="25"/>
  <c r="BK113" i="25"/>
  <c r="A113" i="25"/>
  <c r="B112" i="25"/>
  <c r="BK112" i="25" s="1"/>
  <c r="A112" i="25"/>
  <c r="B111" i="25"/>
  <c r="BK111" i="25" s="1"/>
  <c r="A111" i="25"/>
  <c r="B110" i="25"/>
  <c r="BK110" i="25" s="1"/>
  <c r="A110" i="25"/>
  <c r="B109" i="25"/>
  <c r="BK109" i="25" s="1"/>
  <c r="A109" i="25"/>
  <c r="B108" i="25"/>
  <c r="BK108" i="25" s="1"/>
  <c r="A108" i="25"/>
  <c r="B107" i="25"/>
  <c r="BK107" i="25" s="1"/>
  <c r="A107" i="25"/>
  <c r="AM113" i="25"/>
  <c r="AM122" i="25"/>
  <c r="AM136" i="25"/>
  <c r="AM138" i="25"/>
  <c r="AM108" i="25"/>
  <c r="AM127" i="25"/>
  <c r="AM132" i="25"/>
  <c r="AM124" i="25"/>
  <c r="AM131" i="25"/>
  <c r="AM112" i="25"/>
  <c r="AM125" i="25"/>
  <c r="AM116" i="25"/>
  <c r="AM128" i="25"/>
  <c r="AM123" i="25"/>
  <c r="AM114" i="25"/>
  <c r="AM140" i="25"/>
  <c r="AM115" i="25"/>
  <c r="AM146" i="25"/>
  <c r="AM119" i="25"/>
  <c r="AM109" i="25"/>
  <c r="AM129" i="25"/>
  <c r="AM134" i="25"/>
  <c r="AM126" i="25"/>
  <c r="AM118" i="25"/>
  <c r="AM141" i="25"/>
  <c r="AM121" i="25"/>
  <c r="AM120" i="25"/>
  <c r="AM117" i="25"/>
  <c r="AM111" i="25"/>
  <c r="AM130" i="25"/>
  <c r="AM107" i="25"/>
  <c r="AM133" i="25"/>
  <c r="AM139" i="25"/>
  <c r="AM110" i="25"/>
  <c r="AM142" i="25"/>
  <c r="AM135" i="25"/>
  <c r="AM137"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45" i="177"/>
  <c r="W43" i="177"/>
  <c r="W5" i="177"/>
  <c r="W4" i="177"/>
  <c r="W3" i="177"/>
  <c r="C44" i="177"/>
  <c r="W44" i="177" s="1"/>
  <c r="W105" i="176"/>
  <c r="W104" i="176"/>
  <c r="W103" i="176"/>
  <c r="W29" i="176"/>
  <c r="W28" i="176"/>
  <c r="W27" i="176"/>
  <c r="W17" i="176"/>
  <c r="W16" i="176"/>
  <c r="W15" i="176"/>
  <c r="W1077" i="174"/>
  <c r="W1065" i="174"/>
  <c r="W1053" i="174"/>
  <c r="W1041" i="174"/>
  <c r="W1029" i="174"/>
  <c r="W1017"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2" i="25" l="1"/>
  <c r="A152" i="25"/>
  <c r="A100" i="25"/>
  <c r="B154" i="25"/>
  <c r="B191" i="25"/>
  <c r="A191" i="25"/>
  <c r="B192" i="25"/>
  <c r="B190" i="25"/>
  <c r="O190" i="25" s="1"/>
  <c r="B189" i="25"/>
  <c r="O189" i="25" s="1"/>
  <c r="B188" i="25"/>
  <c r="O188" i="25" s="1"/>
  <c r="B159" i="25"/>
  <c r="O159" i="25" s="1"/>
  <c r="B153" i="25"/>
  <c r="O153" i="25" s="1"/>
  <c r="B147" i="25"/>
  <c r="O147" i="25" s="1"/>
  <c r="B106" i="25"/>
  <c r="B105" i="25"/>
  <c r="B104" i="25"/>
  <c r="B103" i="25"/>
  <c r="B102" i="25"/>
  <c r="AE191" i="25"/>
  <c r="AM152" i="25"/>
  <c r="AM191" i="25"/>
  <c r="AM154" i="25"/>
  <c r="AM100" i="25"/>
  <c r="O191" i="25" l="1"/>
  <c r="BK191" i="25" s="1"/>
  <c r="O154" i="25"/>
  <c r="BK154" i="25" s="1"/>
  <c r="O152" i="25"/>
  <c r="BK152" i="25" s="1"/>
  <c r="BK100" i="25"/>
  <c r="G14" i="188"/>
  <c r="Q14" i="188" s="1"/>
  <c r="B14" i="188"/>
  <c r="P14" i="188" s="1"/>
  <c r="G15" i="190"/>
  <c r="Q15" i="190" s="1"/>
  <c r="B15" i="190"/>
  <c r="P15"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2" i="191" l="1"/>
  <c r="Q22" i="191" s="1"/>
  <c r="B22" i="191"/>
  <c r="P22" i="191" s="1"/>
  <c r="G20" i="191"/>
  <c r="Q20" i="191" s="1"/>
  <c r="B20" i="191"/>
  <c r="P20" i="191" s="1"/>
  <c r="G14" i="191"/>
  <c r="Q14" i="191" s="1"/>
  <c r="B14" i="191"/>
  <c r="P14" i="191" s="1"/>
  <c r="G21" i="191"/>
  <c r="Q21" i="191" s="1"/>
  <c r="B21" i="191"/>
  <c r="P21" i="191" s="1"/>
  <c r="G19" i="191"/>
  <c r="Q19" i="191" s="1"/>
  <c r="B19" i="191"/>
  <c r="P19" i="191" s="1"/>
  <c r="G13" i="191"/>
  <c r="Q13" i="191" s="1"/>
  <c r="B13" i="191"/>
  <c r="P13" i="191" s="1"/>
  <c r="G16" i="191"/>
  <c r="Q16" i="191" s="1"/>
  <c r="B16" i="191"/>
  <c r="P16" i="191" s="1"/>
  <c r="G15" i="191"/>
  <c r="Q15" i="191" s="1"/>
  <c r="B15" i="191"/>
  <c r="P15"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192" i="25"/>
  <c r="A190" i="25"/>
  <c r="A189" i="25"/>
  <c r="A188" i="25"/>
  <c r="A159" i="25"/>
  <c r="A153" i="25"/>
  <c r="A147" i="25"/>
  <c r="A106" i="25"/>
  <c r="A105" i="25"/>
  <c r="A104" i="25"/>
  <c r="A103" i="25"/>
  <c r="A102" i="25"/>
  <c r="AE189" i="25"/>
  <c r="AE190" i="25"/>
  <c r="AE192" i="25"/>
  <c r="AM189" i="25"/>
  <c r="AM192" i="25"/>
  <c r="AM190" i="25"/>
  <c r="BK189" i="25" l="1"/>
  <c r="BK190" i="25"/>
  <c r="BK192" i="25"/>
  <c r="G152" i="182" l="1"/>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59" i="25" l="1"/>
  <c r="BK188" i="25"/>
  <c r="BK153" i="25"/>
  <c r="BK147" i="25"/>
  <c r="B45" i="179"/>
  <c r="BK104" i="25"/>
  <c r="BK103"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9" i="25"/>
  <c r="AM101" i="25"/>
  <c r="AM153" i="25"/>
  <c r="AM106" i="25"/>
  <c r="AM147" i="25"/>
  <c r="AM105" i="25"/>
  <c r="AM188" i="25"/>
  <c r="BK105" i="25" l="1"/>
  <c r="BK102" i="25"/>
  <c r="BK106" i="25"/>
  <c r="R175" i="178"/>
  <c r="R163" i="178"/>
  <c r="R151" i="178"/>
  <c r="R139" i="178"/>
  <c r="R127" i="178"/>
  <c r="AM104" i="25"/>
  <c r="AM102" i="25"/>
  <c r="AM103" i="25"/>
  <c r="R1081" i="174" l="1"/>
  <c r="R1069" i="174"/>
  <c r="C1066" i="174" s="1"/>
  <c r="W1066" i="174" s="1"/>
  <c r="R1057" i="174"/>
  <c r="R1045" i="174"/>
  <c r="R1033" i="174"/>
  <c r="R1021" i="174"/>
  <c r="C1019" i="174" l="1"/>
  <c r="W1019" i="174" s="1"/>
  <c r="C1018" i="174"/>
  <c r="W1018" i="174" s="1"/>
  <c r="C1079" i="174"/>
  <c r="W1079" i="174" s="1"/>
  <c r="C1078" i="174"/>
  <c r="W1078" i="174" s="1"/>
  <c r="C1043" i="174"/>
  <c r="W1043" i="174" s="1"/>
  <c r="C1042" i="174"/>
  <c r="W1042" i="174" s="1"/>
  <c r="C1055" i="174"/>
  <c r="W1055" i="174" s="1"/>
  <c r="C1054" i="174"/>
  <c r="W1054" i="174" s="1"/>
  <c r="C1031" i="174"/>
  <c r="W1031" i="174" s="1"/>
  <c r="C1030" i="174"/>
  <c r="W1030" i="174" s="1"/>
  <c r="C1067" i="174"/>
  <c r="W1067" i="174" s="1"/>
  <c r="S13" i="172" l="1"/>
  <c r="B46" i="172" l="1"/>
  <c r="B23" i="172"/>
  <c r="B22" i="172"/>
  <c r="B21" i="172"/>
  <c r="B20" i="172"/>
  <c r="B19" i="172"/>
  <c r="B18" i="172"/>
  <c r="B17" i="172"/>
  <c r="B16" i="172"/>
  <c r="B15" i="172"/>
  <c r="B14" i="172"/>
  <c r="B13" i="172"/>
  <c r="P13" i="172" s="1"/>
  <c r="BK101" i="25"/>
  <c r="A101" i="25" l="1"/>
  <c r="D6" i="364" l="1"/>
  <c r="D5" i="361"/>
  <c r="D8" i="361" s="1"/>
  <c r="D4" i="361"/>
  <c r="D6" i="361"/>
  <c r="D4" i="360"/>
  <c r="D5" i="360"/>
  <c r="D8" i="360" s="1"/>
  <c r="D5" i="364"/>
  <c r="D8" i="364" s="1"/>
  <c r="D5" i="362"/>
  <c r="D4" i="362"/>
  <c r="D6" i="362"/>
  <c r="D4" i="364"/>
  <c r="D6" i="360"/>
  <c r="D4" i="363"/>
  <c r="D6" i="363"/>
  <c r="D5" i="363"/>
  <c r="D8"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154" i="25"/>
  <c r="AE175" i="25"/>
  <c r="AE82" i="25"/>
  <c r="AE137" i="25"/>
  <c r="AE14" i="25"/>
  <c r="AE91" i="25"/>
  <c r="AE29" i="25"/>
  <c r="AE25" i="25"/>
  <c r="AE41" i="25"/>
  <c r="AE140" i="25"/>
  <c r="AE139" i="25"/>
  <c r="AE34" i="25"/>
  <c r="AE27" i="25"/>
  <c r="AE145" i="25"/>
  <c r="AE9" i="25"/>
  <c r="AE109" i="25"/>
  <c r="AE63" i="25"/>
  <c r="AE48" i="25"/>
  <c r="AE138" i="25"/>
  <c r="AE179" i="25"/>
  <c r="AE78" i="25"/>
  <c r="AE111" i="25"/>
  <c r="AE122" i="25"/>
  <c r="AE170" i="25"/>
  <c r="AE28" i="25"/>
  <c r="AE98" i="25"/>
  <c r="AE117" i="25"/>
  <c r="AE92" i="25"/>
  <c r="AE87" i="25"/>
  <c r="AE42" i="25"/>
  <c r="AE130" i="25"/>
  <c r="AE32" i="25"/>
  <c r="AE55" i="25"/>
  <c r="AE90" i="25"/>
  <c r="AE86" i="25"/>
  <c r="AE123" i="25"/>
  <c r="AE142" i="25"/>
  <c r="AE24" i="25"/>
  <c r="AE101" i="25"/>
  <c r="AE20" i="25"/>
  <c r="AE73" i="25"/>
  <c r="AE17" i="25"/>
  <c r="AE71" i="25"/>
  <c r="AE132" i="25"/>
  <c r="AE100" i="25"/>
  <c r="AE164" i="25"/>
  <c r="AE74" i="25"/>
  <c r="AE72" i="25"/>
  <c r="AE12" i="25"/>
  <c r="AE146" i="25"/>
  <c r="AE26" i="25"/>
  <c r="AE31" i="25"/>
  <c r="AE136" i="25"/>
  <c r="AE163" i="25"/>
  <c r="AE51" i="25"/>
  <c r="AE18" i="25"/>
  <c r="AE181" i="25"/>
  <c r="AE151" i="25"/>
  <c r="AE129" i="25"/>
  <c r="AE7" i="25"/>
  <c r="AE79" i="25"/>
  <c r="AE83" i="25"/>
  <c r="AE113" i="25"/>
  <c r="AE119" i="25"/>
  <c r="AE165" i="25"/>
  <c r="AE65" i="25"/>
  <c r="AE159" i="25"/>
  <c r="AE80" i="25"/>
  <c r="AE19" i="25"/>
  <c r="AE141" i="25"/>
  <c r="AE128" i="25"/>
  <c r="AE77" i="25"/>
  <c r="AE124" i="25"/>
  <c r="AE188" i="25"/>
  <c r="AE173" i="25"/>
  <c r="AE57" i="25"/>
  <c r="AE127" i="25"/>
  <c r="AE185" i="25"/>
  <c r="AE64" i="25"/>
  <c r="AE149" i="25"/>
  <c r="AE186" i="25"/>
  <c r="AE6" i="25"/>
  <c r="AE46" i="25"/>
  <c r="AE21" i="25"/>
  <c r="AE155" i="25"/>
  <c r="AE171" i="25"/>
  <c r="AE152" i="25"/>
  <c r="AE33" i="25"/>
  <c r="AE110" i="25"/>
  <c r="AE66" i="25"/>
  <c r="AE11" i="25"/>
  <c r="AE10" i="25"/>
  <c r="AE38" i="25"/>
  <c r="AE85" i="25"/>
  <c r="AE16" i="25"/>
  <c r="AE168" i="25"/>
  <c r="AE53" i="25"/>
  <c r="AE36" i="25"/>
  <c r="AE107" i="25"/>
  <c r="AE184" i="25"/>
  <c r="AE156" i="25"/>
  <c r="AE177" i="25"/>
  <c r="AE61" i="25"/>
  <c r="AE47" i="25"/>
  <c r="AE144" i="25"/>
  <c r="AE22" i="25"/>
  <c r="AE174" i="25"/>
  <c r="AE58" i="25"/>
  <c r="AE176" i="25"/>
  <c r="AE133" i="25"/>
  <c r="AE59" i="25"/>
  <c r="AE96" i="25"/>
  <c r="AE95" i="25"/>
  <c r="AE84" i="25"/>
  <c r="AE126" i="25"/>
  <c r="AE108" i="25"/>
  <c r="AE93" i="25"/>
  <c r="AE116" i="25"/>
  <c r="AE76" i="25"/>
  <c r="AE49" i="25"/>
  <c r="AE125" i="25"/>
  <c r="AE178" i="25"/>
  <c r="AE169" i="25"/>
  <c r="AE70" i="25"/>
  <c r="AE166" i="25"/>
  <c r="AE89" i="25"/>
  <c r="AE56" i="25"/>
  <c r="AE15" i="25"/>
  <c r="AE67" i="25"/>
  <c r="AE183" i="25"/>
  <c r="AE161" i="25"/>
  <c r="AE182" i="25"/>
  <c r="AE8" i="25"/>
  <c r="AE172" i="25"/>
  <c r="AE81" i="25"/>
  <c r="AE23" i="25"/>
  <c r="AE167" i="25"/>
  <c r="AE118" i="25"/>
  <c r="AE54" i="25"/>
  <c r="AE112" i="25"/>
  <c r="AE143" i="25"/>
  <c r="AE115" i="25"/>
  <c r="AE97" i="25"/>
  <c r="AE50" i="25"/>
  <c r="AE162" i="25"/>
  <c r="AE39" i="25"/>
  <c r="AE147" i="25"/>
  <c r="AE94" i="25"/>
  <c r="AE114" i="25"/>
  <c r="AE75" i="25"/>
  <c r="AE120" i="25"/>
  <c r="AE44" i="25"/>
  <c r="AE134" i="25"/>
  <c r="AE180" i="25"/>
  <c r="AE187" i="25"/>
  <c r="AE13" i="25"/>
  <c r="AE69" i="25"/>
  <c r="AE62" i="25"/>
  <c r="AE68" i="25"/>
  <c r="AE40" i="25"/>
  <c r="AE35" i="25"/>
  <c r="AE52" i="25"/>
  <c r="AE135" i="25"/>
  <c r="AE60" i="25"/>
  <c r="AE153" i="25"/>
  <c r="AE45" i="25"/>
  <c r="AE105" i="25"/>
  <c r="AE131" i="25"/>
  <c r="AE106" i="25"/>
  <c r="AE37" i="25"/>
  <c r="AE121" i="25"/>
  <c r="AE88" i="25"/>
  <c r="AE160" i="25"/>
  <c r="AE43" i="25"/>
  <c r="AS10" i="363" l="1"/>
  <c r="AJ11" i="363"/>
  <c r="AS14" i="363"/>
  <c r="AS18" i="363"/>
  <c r="AS20" i="363"/>
  <c r="AS13" i="363"/>
  <c r="AS16" i="363"/>
  <c r="AS12" i="363"/>
  <c r="AS19" i="363"/>
  <c r="AS15" i="363"/>
  <c r="N10" i="363"/>
  <c r="AJ10" i="363"/>
  <c r="N11" i="363"/>
  <c r="AS17" i="363"/>
  <c r="AS17" i="364"/>
  <c r="AS14" i="364"/>
  <c r="N11" i="364"/>
  <c r="AS13" i="364"/>
  <c r="AJ11" i="364"/>
  <c r="AS16" i="364"/>
  <c r="AS12" i="364"/>
  <c r="N10" i="364"/>
  <c r="AS10" i="364"/>
  <c r="AS15" i="364"/>
  <c r="AJ10" i="364"/>
  <c r="AS20" i="360"/>
  <c r="AS21" i="360"/>
  <c r="AS18" i="360"/>
  <c r="AJ10" i="360"/>
  <c r="AS10" i="360"/>
  <c r="AS17" i="360"/>
  <c r="N10" i="360"/>
  <c r="AS16" i="360"/>
  <c r="AS12" i="360"/>
  <c r="AS19" i="360"/>
  <c r="AS15" i="360"/>
  <c r="AS14" i="360"/>
  <c r="AS13" i="360"/>
  <c r="AJ11" i="360"/>
  <c r="N11" i="360"/>
  <c r="AS15" i="361"/>
  <c r="N10" i="361"/>
  <c r="AS14" i="361"/>
  <c r="AS13" i="361"/>
  <c r="AS12" i="361"/>
  <c r="AJ11" i="361"/>
  <c r="AS16" i="361"/>
  <c r="N11" i="361"/>
  <c r="AJ10" i="361"/>
  <c r="AS10" i="361"/>
  <c r="AS18" i="191"/>
  <c r="AS17" i="191"/>
  <c r="D8" i="362"/>
  <c r="D8" i="189"/>
  <c r="AS14" i="189" s="1"/>
  <c r="AS16" i="358"/>
  <c r="AS15" i="358"/>
  <c r="AS14" i="358"/>
  <c r="AS17" i="358"/>
  <c r="AS13" i="358"/>
  <c r="AS18"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3" i="190"/>
  <c r="AS10" i="190"/>
  <c r="AS15" i="190"/>
  <c r="AJ10" i="190"/>
  <c r="N10" i="190"/>
  <c r="AJ11" i="190"/>
  <c r="AS14" i="190"/>
  <c r="AS12" i="190"/>
  <c r="N11" i="190"/>
  <c r="AS13" i="191"/>
  <c r="AJ11" i="191"/>
  <c r="AS12" i="191"/>
  <c r="AS20" i="191"/>
  <c r="N11" i="191"/>
  <c r="AS19" i="191"/>
  <c r="AS15" i="191"/>
  <c r="AS10" i="191"/>
  <c r="AS22" i="191"/>
  <c r="AS14" i="191"/>
  <c r="AJ10" i="191"/>
  <c r="AS21"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48" i="25"/>
  <c r="AE150" i="25"/>
  <c r="AS13" i="362" l="1"/>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3" i="25"/>
  <c r="AE104" i="25"/>
  <c r="AE102"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<sst xmlns="http://schemas.openxmlformats.org/spreadsheetml/2006/main" count="20839" uniqueCount="3892">
  <si>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</si>
  <si>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</si>
  <si>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</si>
  <si>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</si>
  <si>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</si>
  <si>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</si>
  <si>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</si>
  <si>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</si>
  <si>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</si>
  <si>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</si>
  <si>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</si>
  <si>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</si>
  <si>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</si>
  <si>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</si>
  <si>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</si>
  <si>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</si>
  <si>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</si>
  <si>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</si>
  <si>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</si>
  <si>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</si>
  <si>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</si>
  <si>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</si>
  <si>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</si>
  <si>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</si>
  <si>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</si>
  <si>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</si>
  <si>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</si>
  <si>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</si>
  <si>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</si>
  <si>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</si>
  <si>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</si>
  <si>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</si>
  <si>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</si>
  <si>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</si>
  <si>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</si>
  <si>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</si>
  <si>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</si>
  <si>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</si>
  <si>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</si>
  <si>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</si>
  <si>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</si>
  <si>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</si>
  <si>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</si>
  <si>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</si>
  <si>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</si>
  <si>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</si>
  <si>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</si>
  <si>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</si>
  <si>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</si>
  <si>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</si>
  <si>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</si>
  <si>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</si>
  <si>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</si>
  <si>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</si>
  <si>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</si>
  <si>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</si>
  <si>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</si>
  <si>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</si>
  <si>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</si>
  <si>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</si>
  <si>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</si>
  <si>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</si>
  <si>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</si>
  <si>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</si>
  <si>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</si>
  <si>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</si>
  <si>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</si>
  <si>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</si>
  <si>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</si>
  <si>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</si>
  <si>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</si>
  <si>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</si>
  <si>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</si>
  <si>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</si>
  <si>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</si>
  <si>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</si>
  <si>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</si>
  <si>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</si>
  <si>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</si>
  <si>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</si>
  <si>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</si>
  <si>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</si>
  <si>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</si>
  <si>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</si>
  <si>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</si>
  <si>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</si>
  <si>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</si>
  <si>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</si>
  <si>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</si>
  <si>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</si>
  <si>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</si>
  <si>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</si>
  <si>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</si>
  <si>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</si>
  <si>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</si>
  <si>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</si>
  <si>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</si>
  <si>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</si>
  <si>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</si>
  <si>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</si>
  <si>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</si>
  <si>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</si>
  <si>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</si>
  <si>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</si>
  <si>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</si>
  <si>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</si>
  <si>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</si>
  <si>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</si>
  <si>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</si>
  <si>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</si>
  <si>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</si>
  <si>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</si>
  <si>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</si>
  <si>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</si>
  <si>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</si>
  <si>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</si>
  <si>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</si>
  <si>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</si>
  <si>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</si>
  <si>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</si>
  <si>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</si>
  <si>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</si>
  <si>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</si>
  <si>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</si>
  <si>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</si>
  <si>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</si>
  <si>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</si>
  <si>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</si>
  <si>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</si>
  <si>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</si>
  <si>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</si>
  <si>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</si>
  <si>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</si>
  <si>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</si>
  <si>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</si>
  <si>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</si>
  <si>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</si>
  <si>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</si>
  <si>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</si>
  <si>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</si>
  <si>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</si>
  <si>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</si>
  <si>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</si>
  <si>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</si>
  <si>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</si>
  <si>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</si>
  <si>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</si>
  <si>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</si>
  <si>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</si>
  <si>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</si>
  <si>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</si>
  <si>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</si>
  <si>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</si>
  <si>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</si>
  <si>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</si>
  <si>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</si>
  <si>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</si>
  <si>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</si>
  <si>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</si>
  <si>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</si>
  <si>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</si>
  <si>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</si>
  <si>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</si>
  <si>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</si>
  <si>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</si>
  <si>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</si>
  <si>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</si>
  <si>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</si>
  <si>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</si>
  <si>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</si>
  <si>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</si>
  <si>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</si>
  <si>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</si>
  <si>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</si>
  <si>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</si>
  <si>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</si>
  <si>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</si>
  <si>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</si>
  <si>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</si>
  <si>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</si>
  <si>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</si>
  <si>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</si>
  <si>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</si>
  <si>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</si>
  <si>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</si>
  <si>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</si>
  <si>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</si>
  <si>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</si>
  <si>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</si>
  <si>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</si>
  <si>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</si>
  <si>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</si>
  <si>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</si>
  <si>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</si>
  <si>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</si>
  <si>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</si>
  <si>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</si>
  <si>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</si>
  <si>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</si>
  <si>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</si>
  <si>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</si>
  <si>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</si>
  <si>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</si>
  <si>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</si>
  <si>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</si>
  <si>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</si>
  <si>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</si>
  <si>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</si>
  <si>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</si>
  <si>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</si>
  <si>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</si>
  <si>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</si>
  <si>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</si>
  <si>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</si>
  <si>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</si>
  <si>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</si>
  <si>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</si>
  <si>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</si>
  <si>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</si>
  <si>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</si>
  <si>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</si>
  <si>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</si>
  <si>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</si>
  <si>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</si>
  <si>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</si>
  <si>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</si>
  <si>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</si>
  <si>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</si>
  <si>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</si>
  <si>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</si>
  <si>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</si>
  <si>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</si>
  <si>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</si>
  <si>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</si>
  <si>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</si>
  <si>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</si>
  <si>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</si>
  <si>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</si>
  <si>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</si>
  <si>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</si>
  <si>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</si>
  <si>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</si>
  <si>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</si>
  <si>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</si>
  <si>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</si>
  <si>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</si>
  <si>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</si>
  <si>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</si>
  <si>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</si>
  <si>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</si>
  <si>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</si>
  <si>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</si>
  <si>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</si>
  <si>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</si>
  <si>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</si>
  <si>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</si>
  <si>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</si>
  <si>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</si>
  <si>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</si>
  <si>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</si>
  <si>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</si>
  <si>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</si>
  <si>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</si>
  <si>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</si>
  <si>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</si>
  <si>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</si>
  <si>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</si>
  <si>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</si>
  <si>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</si>
  <si>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</si>
  <si>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</si>
  <si>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</si>
  <si>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</si>
  <si>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</si>
  <si>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</si>
  <si>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</si>
  <si>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</si>
  <si>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</si>
  <si>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</si>
  <si>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</si>
  <si>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</si>
  <si>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</si>
  <si>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</si>
  <si>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</si>
  <si>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</si>
  <si>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</si>
  <si>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</si>
  <si>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</si>
  <si>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</si>
  <si>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</si>
  <si>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</si>
  <si>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</si>
  <si>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</si>
  <si>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</si>
  <si>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</si>
  <si>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</si>
  <si>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</si>
  <si>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</si>
  <si>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</si>
  <si>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</si>
  <si>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</si>
  <si>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</si>
  <si>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</si>
  <si>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</si>
  <si>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</si>
  <si>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</si>
  <si>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</si>
  <si>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</si>
  <si>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</si>
  <si>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</si>
  <si>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</si>
  <si>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</si>
  <si>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</si>
  <si>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</si>
  <si>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</si>
  <si>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</si>
  <si>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</si>
  <si>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</si>
  <si>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</si>
  <si>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</si>
  <si>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</si>
  <si>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</si>
  <si>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</si>
  <si>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</si>
  <si>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</si>
  <si>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</si>
  <si>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</si>
  <si>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</si>
  <si>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</si>
  <si>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</si>
  <si>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</si>
  <si>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</si>
  <si>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</si>
  <si>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</si>
  <si>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</si>
  <si>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</si>
  <si>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</si>
  <si>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</si>
  <si>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</si>
  <si>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</si>
  <si>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</si>
  <si>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</si>
  <si>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</si>
  <si>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</si>
  <si>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</si>
  <si>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</si>
  <si>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</si>
  <si>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</si>
  <si>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</si>
  <si>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</si>
  <si>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</si>
  <si>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</si>
  <si>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</si>
  <si>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</si>
  <si>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</si>
  <si>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</si>
  <si>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</si>
  <si>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</si>
  <si>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</si>
  <si>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</si>
  <si>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</si>
  <si>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</si>
  <si>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</si>
  <si>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</si>
  <si>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</si>
  <si>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</si>
  <si>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</si>
  <si>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</si>
  <si>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</si>
  <si>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</si>
  <si>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</si>
  <si>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</si>
  <si>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</si>
  <si>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</si>
  <si>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</si>
  <si>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</si>
  <si>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</si>
  <si>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</si>
  <si>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</si>
  <si>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</si>
  <si>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</si>
  <si>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</si>
  <si>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</si>
  <si>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</si>
  <si>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</si>
  <si>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</si>
  <si>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</si>
  <si>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</si>
  <si>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</si>
  <si>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</si>
  <si>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</si>
  <si>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</si>
  <si>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</si>
  <si>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</si>
  <si>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</si>
  <si>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</si>
  <si>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</si>
  <si>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</si>
  <si>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</si>
  <si>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</si>
  <si>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</si>
  <si>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</si>
  <si>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</si>
  <si>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</si>
  <si>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</si>
  <si>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</si>
  <si>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</si>
  <si>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</si>
  <si>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</si>
  <si>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</si>
  <si>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</si>
  <si>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</si>
  <si>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</si>
  <si>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</si>
  <si>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</si>
  <si>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</si>
  <si>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</si>
  <si>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</si>
  <si>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</si>
  <si>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</si>
  <si>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</si>
  <si>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</si>
  <si>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</si>
  <si>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</si>
  <si>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</si>
  <si>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</si>
  <si>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</si>
  <si>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</si>
  <si>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</si>
  <si>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</si>
  <si>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</si>
  <si>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</si>
  <si>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</si>
  <si>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</si>
  <si>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</si>
  <si>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</si>
  <si>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</si>
  <si>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</si>
  <si>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</si>
  <si>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</si>
  <si>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</si>
  <si>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</si>
  <si>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</si>
  <si>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</si>
  <si>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</si>
  <si>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</si>
  <si>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</si>
  <si>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</si>
  <si>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</si>
  <si>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</si>
  <si>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</si>
  <si>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</si>
  <si>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</si>
  <si>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</si>
  <si>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</si>
  <si>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</si>
  <si>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</si>
  <si>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</si>
  <si>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</si>
  <si>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</si>
  <si>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</si>
  <si>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</si>
  <si>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</si>
  <si>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</si>
  <si>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</si>
  <si>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</si>
  <si>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</si>
  <si>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</si>
  <si>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</si>
  <si>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</si>
  <si>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</si>
  <si>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</si>
  <si>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</si>
  <si>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</si>
  <si>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</si>
  <si>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</si>
  <si>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</si>
  <si>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</si>
  <si>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</si>
  <si>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</si>
  <si>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</si>
  <si>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</si>
  <si>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</si>
  <si>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</si>
  <si>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</si>
  <si>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</si>
  <si>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</si>
  <si>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</si>
  <si>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</si>
  <si>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</si>
  <si>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</si>
  <si>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</si>
  <si>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</si>
  <si>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</si>
  <si>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</si>
  <si>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</si>
  <si>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</si>
  <si>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</si>
  <si>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</si>
  <si>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</si>
  <si>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</si>
  <si>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</si>
  <si>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</si>
  <si>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</si>
  <si>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</si>
  <si>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</si>
  <si>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</si>
  <si>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</si>
  <si>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</si>
  <si>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</si>
  <si>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</si>
  <si>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</si>
  <si>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</si>
  <si>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</si>
  <si>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</si>
  <si>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</si>
  <si>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</si>
  <si>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</si>
  <si>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</si>
  <si>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</si>
  <si>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</si>
  <si>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</si>
  <si>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</si>
  <si>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</si>
  <si>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</si>
  <si>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</si>
  <si>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</si>
  <si>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</si>
  <si>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</si>
  <si>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</si>
  <si>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</si>
  <si>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</si>
  <si>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</si>
  <si>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</si>
  <si>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</si>
  <si>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</si>
  <si>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</si>
  <si>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</si>
  <si>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</si>
  <si>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</si>
  <si>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</si>
  <si>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</si>
  <si>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</si>
  <si>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</si>
  <si>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</si>
  <si>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</si>
  <si>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</si>
  <si>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</si>
  <si>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</si>
  <si>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</si>
  <si>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</si>
  <si>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</si>
  <si>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</si>
  <si>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</si>
  <si>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</si>
  <si>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</si>
  <si>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</si>
  <si>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</si>
  <si>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</si>
  <si>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疾患マスタ（補正後）</t>
    <rPh sb="0" eb="2">
      <t>シッカン</t>
    </rPh>
    <rPh sb="6" eb="9">
      <t>ホセイゴ</t>
    </rPh>
    <phoneticPr fontId="8"/>
  </si>
  <si>
    <t>疾患マスタ（補正後）を疾患マスタに投入する。</t>
    <rPh sb="0" eb="2">
      <t>シッカン</t>
    </rPh>
    <rPh sb="6" eb="9">
      <t>ホセイゴ</t>
    </rPh>
    <rPh sb="17" eb="19">
      <t>トウニュウ</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</si>
  <si>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</si>
  <si>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</si>
  <si>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</si>
  <si>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</si>
  <si>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</si>
  <si>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</si>
  <si>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</si>
  <si>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</si>
  <si>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</si>
  <si>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</si>
  <si>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</si>
  <si>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</si>
  <si>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</si>
  <si>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</si>
  <si>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</si>
  <si>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</si>
  <si>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</si>
  <si>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</si>
  <si>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</si>
  <si>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</si>
  <si>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</si>
  <si>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</si>
  <si>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</si>
  <si>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</si>
  <si>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</si>
  <si>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</si>
  <si>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</si>
  <si>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</si>
  <si>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</si>
  <si>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</si>
  <si>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</si>
  <si>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</si>
  <si>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</si>
  <si>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</si>
  <si>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</si>
  <si>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</si>
  <si>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</si>
  <si>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</si>
  <si>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</si>
  <si>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</si>
  <si>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</si>
  <si>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</si>
  <si>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</si>
  <si>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</si>
  <si>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</si>
  <si>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</si>
  <si>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</si>
  <si>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</si>
  <si>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</si>
  <si>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</si>
  <si>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</si>
  <si>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</si>
  <si>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</si>
  <si>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</si>
  <si>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</si>
  <si>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</si>
  <si>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</si>
  <si>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</si>
  <si>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</si>
  <si>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</si>
  <si>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</si>
  <si>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</si>
  <si>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</si>
  <si>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</si>
  <si>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</si>
  <si>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</si>
  <si>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</si>
  <si>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</si>
  <si>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</si>
  <si>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</si>
  <si>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</si>
  <si>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</si>
  <si>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</si>
  <si>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</si>
  <si>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</si>
  <si>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</si>
  <si>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</si>
  <si>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</si>
  <si>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</si>
  <si>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</si>
  <si>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</si>
  <si>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</si>
  <si>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</si>
  <si>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</si>
  <si>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</si>
  <si>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</si>
  <si>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</si>
  <si>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</si>
  <si>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</si>
  <si>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</si>
  <si>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</si>
  <si>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</si>
  <si>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</si>
  <si>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</si>
  <si>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</si>
  <si>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</si>
  <si>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</si>
  <si>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</si>
  <si>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</si>
  <si>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</si>
  <si>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</si>
  <si>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</si>
  <si>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</si>
  <si>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</si>
  <si>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</si>
  <si>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</si>
  <si>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</si>
  <si>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</si>
  <si>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</si>
  <si>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</si>
  <si>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</si>
  <si>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</si>
  <si>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</si>
  <si>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</si>
  <si>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</si>
  <si>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</si>
  <si>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</si>
  <si>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</si>
  <si>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</si>
  <si>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</si>
  <si>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</si>
  <si>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</si>
  <si>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</si>
  <si>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</si>
  <si>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</si>
  <si>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</si>
  <si>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</si>
  <si>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</si>
  <si>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</si>
  <si>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</si>
  <si>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</si>
  <si>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</si>
  <si>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</si>
  <si>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</si>
  <si>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</si>
  <si>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</si>
  <si>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</si>
  <si>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</si>
  <si>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</si>
  <si>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</si>
  <si>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</si>
  <si>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</si>
  <si>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</si>
  <si>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</si>
  <si>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</si>
  <si>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</si>
  <si>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</si>
  <si>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</si>
  <si>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</si>
  <si>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</si>
  <si>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</si>
  <si>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</si>
  <si>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</si>
  <si>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</si>
  <si>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</si>
  <si>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</si>
  <si>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</si>
  <si>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</si>
  <si>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</si>
  <si>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</si>
  <si>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</si>
  <si>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</si>
  <si>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</si>
  <si>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</si>
  <si>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</si>
  <si>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</si>
  <si>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</si>
  <si>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</si>
  <si>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</si>
  <si>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</si>
  <si>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</si>
  <si>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</si>
  <si>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</si>
  <si>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</si>
  <si>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</si>
  <si>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</si>
  <si>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</si>
  <si>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</si>
  <si>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</si>
  <si>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</si>
  <si>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</si>
  <si>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</si>
  <si>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</si>
  <si>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</si>
  <si>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</si>
  <si>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</si>
  <si>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</si>
  <si>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</si>
  <si>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</si>
  <si>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</si>
  <si>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</si>
  <si>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</si>
  <si>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</si>
  <si>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</si>
  <si>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</si>
  <si>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</si>
  <si>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</si>
  <si>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</si>
  <si>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</si>
  <si>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</si>
  <si>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</si>
  <si>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</si>
  <si>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</si>
  <si>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</si>
  <si>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</si>
  <si>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</si>
  <si>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</si>
  <si>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</si>
  <si>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</si>
  <si>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</si>
  <si>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</si>
  <si>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</si>
  <si>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</si>
  <si>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</si>
  <si>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</si>
  <si>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</si>
  <si>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</si>
  <si>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</si>
  <si>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</si>
  <si>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</si>
  <si>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</si>
  <si>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</si>
  <si>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</si>
  <si>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</si>
  <si>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</si>
  <si>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</si>
  <si>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</si>
  <si>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</si>
  <si>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</si>
  <si>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</si>
  <si>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</si>
  <si>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</si>
  <si>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</si>
  <si>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</si>
  <si>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</si>
  <si>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</si>
  <si>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</si>
  <si>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</si>
  <si>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</si>
  <si>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</si>
  <si>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</si>
  <si>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</si>
  <si>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</si>
  <si>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</si>
  <si>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</si>
  <si>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</si>
  <si>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</si>
  <si>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</si>
  <si>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</si>
  <si>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</si>
  <si>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</si>
  <si>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</si>
  <si>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</si>
  <si>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</si>
  <si>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</si>
  <si>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</si>
  <si>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</si>
  <si>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</si>
  <si>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</si>
  <si>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</si>
  <si>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</si>
  <si>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</si>
  <si>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</si>
  <si>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</si>
  <si>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</si>
  <si>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</si>
  <si>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</si>
  <si>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</si>
  <si>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</si>
  <si>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</si>
  <si>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</si>
  <si>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</si>
  <si>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</si>
  <si>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</si>
  <si>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</si>
  <si>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</si>
  <si>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</si>
  <si>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</si>
  <si>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</si>
  <si>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</si>
  <si>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</si>
  <si>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</si>
  <si>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</si>
  <si>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</si>
  <si>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</si>
  <si>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</si>
  <si>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</si>
  <si>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</si>
  <si>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</si>
  <si>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</si>
  <si>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</si>
  <si>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</si>
  <si>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</si>
  <si>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</si>
  <si>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</si>
  <si>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</si>
  <si>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</si>
  <si>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</si>
  <si>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</si>
  <si>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</si>
  <si>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</si>
  <si>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</si>
  <si>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</si>
  <si>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</si>
  <si>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</si>
  <si>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</si>
  <si>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</si>
  <si>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</si>
  <si>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</si>
  <si>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</si>
  <si>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</si>
  <si>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</si>
  <si>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</si>
  <si>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</si>
  <si>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</si>
  <si>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</si>
  <si>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</si>
  <si>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</si>
  <si>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</si>
  <si>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</si>
  <si>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</si>
  <si>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</si>
  <si>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</si>
  <si>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</si>
  <si>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</si>
  <si>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</si>
  <si>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</si>
  <si>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</si>
  <si>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</si>
  <si>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</si>
  <si>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</si>
  <si>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</si>
  <si>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</si>
  <si>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</si>
  <si>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</si>
  <si>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※ICD10なしの集計のために以下の補正を行う</t>
    <phoneticPr fontId="8"/>
  </si>
  <si>
    <t>icd10_s_cd</t>
  </si>
  <si>
    <t>icd10_s_name</t>
  </si>
  <si>
    <t>傷病名コード</t>
    <rPh sb="0" eb="3">
      <t>ショウビョウメイ</t>
    </rPh>
    <phoneticPr fontId="0"/>
  </si>
  <si>
    <t>傷病名</t>
    <rPh sb="0" eb="2">
      <t>ショウビョウ</t>
    </rPh>
    <phoneticPr fontId="0"/>
  </si>
  <si>
    <t>　・ICD10小区分が空欄のものは傷病名コードの値とする</t>
    <phoneticPr fontId="8"/>
  </si>
  <si>
    <t>　・ICD10小区分名称が空欄のものは傷病名の値とする</t>
    <rPh sb="10" eb="12">
      <t>メイショウ</t>
    </rPh>
    <phoneticPr fontId="8"/>
  </si>
  <si>
    <t>ICD10小区分名称</t>
    <rPh sb="6" eb="8">
      <t>クブン</t>
    </rPh>
    <rPh sb="8" eb="10">
      <t>メイショウ</t>
    </rPh>
    <phoneticPr fontId="8"/>
  </si>
  <si>
    <t>ICD10小区分</t>
    <rPh sb="6" eb="8">
      <t>クブン</t>
    </rPh>
    <phoneticPr fontId="8"/>
  </si>
  <si>
    <t>性別</t>
    <rPh sb="0" eb="2">
      <t>セイベツ</t>
    </rPh>
    <phoneticPr fontId="2"/>
  </si>
  <si>
    <t>sex</t>
    <phoneticPr fontId="8"/>
  </si>
  <si>
    <t>セレクト_疾患データ_大区分</t>
    <rPh sb="12" eb="14">
      <t>クブン</t>
    </rPh>
    <phoneticPr fontId="8"/>
  </si>
  <si>
    <t>セレクト_疾患データ_小区分</t>
    <rPh sb="11" eb="14">
      <t>ショウクブン</t>
    </rPh>
    <phoneticPr fontId="8"/>
  </si>
  <si>
    <t>※大区分の紐づけ方法はMDV様作成資料と同一にする</t>
    <rPh sb="1" eb="2">
      <t>ダイ</t>
    </rPh>
    <rPh sb="2" eb="4">
      <t>クブン</t>
    </rPh>
    <rPh sb="5" eb="6">
      <t>ヒモ</t>
    </rPh>
    <rPh sb="8" eb="10">
      <t>ホウホウ</t>
    </rPh>
    <rPh sb="14" eb="15">
      <t>サマ</t>
    </rPh>
    <rPh sb="15" eb="17">
      <t>サクセイ</t>
    </rPh>
    <rPh sb="17" eb="19">
      <t>シリョウ</t>
    </rPh>
    <rPh sb="20" eb="22">
      <t>ドウイツ</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</si>
  <si>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</si>
  <si>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</si>
  <si>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1：男性　2：女性</t>
    <rPh sb="2" eb="4">
      <t>ダンセイ</t>
    </rPh>
    <rPh sb="7" eb="9">
      <t>ジョセイ</t>
    </rPh>
    <phoneticPr fontId="8"/>
  </si>
  <si>
    <t>　・ICD10大区分名称が空欄のものはICD10なしとする</t>
    <rPh sb="7" eb="10">
      <t>ダイクブン</t>
    </rPh>
    <rPh sb="10" eb="12">
      <t>メイショウ</t>
    </rPh>
    <rPh sb="13" eb="15">
      <t>クウラン</t>
    </rPh>
    <phoneticPr fontId="8"/>
  </si>
  <si>
    <t>受領した疾患マスタにICD10大区分名称を付与する。</t>
    <rPh sb="0" eb="2">
      <t>ジュリョウ</t>
    </rPh>
    <rPh sb="4" eb="6">
      <t>シッカン</t>
    </rPh>
    <rPh sb="15" eb="16">
      <t>ダイ</t>
    </rPh>
    <rPh sb="16" eb="18">
      <t>クブン</t>
    </rPh>
    <rPh sb="18" eb="20">
      <t>メイショウ</t>
    </rPh>
    <rPh sb="21" eb="23">
      <t>フヨ</t>
    </rPh>
    <phoneticPr fontId="8"/>
  </si>
  <si>
    <t>ICD10大区分名称の付与</t>
    <rPh sb="5" eb="6">
      <t>ダイ</t>
    </rPh>
    <rPh sb="6" eb="8">
      <t>クブン</t>
    </rPh>
    <rPh sb="8" eb="10">
      <t>メイショウ</t>
    </rPh>
    <rPh sb="11" eb="13">
      <t>フヨ</t>
    </rPh>
    <phoneticPr fontId="8"/>
  </si>
  <si>
    <t>手運用（ICD10大区分名称の付与）</t>
    <rPh sb="0" eb="3">
      <t>テウンヨウ</t>
    </rPh>
    <rPh sb="10" eb="12">
      <t>クブン</t>
    </rPh>
    <rPh sb="12" eb="14">
      <t>メイショウ</t>
    </rPh>
    <phoneticPr fontId="8"/>
  </si>
  <si>
    <t>MDV案件_疾患マスタ(補正後).xlsx</t>
    <phoneticPr fontId="8"/>
  </si>
  <si>
    <t>NTTデータ様_疾患別対象患者数調査_20230330.xlsx</t>
  </si>
  <si>
    <t>「疾患マスタ」シート</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</si>
  <si>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</si>
  <si>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</si>
  <si>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</si>
  <si>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</si>
  <si>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</si>
  <si>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</si>
  <si>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</si>
  <si>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</si>
  <si>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</si>
  <si>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</si>
  <si>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</si>
  <si>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</si>
  <si>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</si>
  <si>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</si>
  <si>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</si>
  <si>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</si>
  <si>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</si>
  <si>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</si>
  <si>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</si>
  <si>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</si>
  <si>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</si>
  <si>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</si>
  <si>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</si>
  <si>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</si>
  <si>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</si>
  <si>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</si>
  <si>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</si>
  <si>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</si>
  <si>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</si>
  <si>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</si>
  <si>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</si>
  <si>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</si>
  <si>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</si>
  <si>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</si>
  <si>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</si>
  <si>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</si>
  <si>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</si>
  <si>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</si>
  <si>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</si>
  <si>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</si>
  <si>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</si>
  <si>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</si>
  <si>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</si>
  <si>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</si>
  <si>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</si>
  <si>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</si>
  <si>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</si>
  <si>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</si>
  <si>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</si>
  <si>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</si>
  <si>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</si>
  <si>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</si>
  <si>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</si>
  <si>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</si>
  <si>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</si>
  <si>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</si>
  <si>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</si>
  <si>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</si>
  <si>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</si>
  <si>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</si>
  <si>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</si>
  <si>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</si>
  <si>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</si>
  <si>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</si>
  <si>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</si>
  <si>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</si>
  <si>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</si>
  <si>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</si>
  <si>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</si>
  <si>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</si>
  <si>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</si>
  <si>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</si>
  <si>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</si>
  <si>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</si>
  <si>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</si>
  <si>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</si>
  <si>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</si>
  <si>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</si>
  <si>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</si>
  <si>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</si>
  <si>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</si>
  <si>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</si>
  <si>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</si>
  <si>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</si>
  <si>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</si>
  <si>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</si>
  <si>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</si>
  <si>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</si>
  <si>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</si>
  <si>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</si>
  <si>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</si>
  <si>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</si>
  <si>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</si>
  <si>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</si>
  <si>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</si>
  <si>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</si>
  <si>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</si>
  <si>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</si>
  <si>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</si>
  <si>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</si>
  <si>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</si>
  <si>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</si>
  <si>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</si>
  <si>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</si>
  <si>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</si>
  <si>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</si>
  <si>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</si>
  <si>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</si>
  <si>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</si>
  <si>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</si>
  <si>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</si>
  <si>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</si>
  <si>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</si>
  <si>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</si>
  <si>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</si>
  <si>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</si>
  <si>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</si>
  <si>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</si>
  <si>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</si>
  <si>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</si>
  <si>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</si>
  <si>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</si>
  <si>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</si>
  <si>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</si>
  <si>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</si>
  <si>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</si>
  <si>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</si>
  <si>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</si>
  <si>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</si>
  <si>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</si>
  <si>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</si>
  <si>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</si>
  <si>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</si>
  <si>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</si>
  <si>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</si>
  <si>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</si>
  <si>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</si>
  <si>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</si>
  <si>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</si>
  <si>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</si>
  <si>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</si>
  <si>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</si>
  <si>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</si>
  <si>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</si>
  <si>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</si>
  <si>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</si>
  <si>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</si>
  <si>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</si>
  <si>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</si>
  <si>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</si>
  <si>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</si>
  <si>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</si>
  <si>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</si>
  <si>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</si>
  <si>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</si>
  <si>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</si>
  <si>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</si>
  <si>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</si>
  <si>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</si>
  <si>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</si>
  <si>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</si>
  <si>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</si>
  <si>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</si>
  <si>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</si>
  <si>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</si>
  <si>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</si>
  <si>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</si>
  <si>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</si>
  <si>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</si>
  <si>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</si>
  <si>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</si>
  <si>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</si>
  <si>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</si>
  <si>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</si>
  <si>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</si>
  <si>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</si>
  <si>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</si>
  <si>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</si>
  <si>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</si>
  <si>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</si>
  <si>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</si>
  <si>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</si>
  <si>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</si>
  <si>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</si>
  <si>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</si>
  <si>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</si>
  <si>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</si>
  <si>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</si>
  <si>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</si>
  <si>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</si>
  <si>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</si>
  <si>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</si>
  <si>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</si>
  <si>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</si>
  <si>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</si>
  <si>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</si>
  <si>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</si>
  <si>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</si>
  <si>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</si>
  <si>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</si>
  <si>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</si>
  <si>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</si>
  <si>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</si>
  <si>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</si>
  <si>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</si>
  <si>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</si>
  <si>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</si>
  <si>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</si>
  <si>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</si>
  <si>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</si>
  <si>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</si>
  <si>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</si>
  <si>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</si>
  <si>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</si>
  <si>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</si>
  <si>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</si>
  <si>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</si>
  <si>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</si>
  <si>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</si>
  <si>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</si>
  <si>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</si>
  <si>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</si>
  <si>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</si>
  <si>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</si>
  <si>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</si>
  <si>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</si>
  <si>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</si>
  <si>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</si>
  <si>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</si>
  <si>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</si>
  <si>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</si>
  <si>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</si>
  <si>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</si>
  <si>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</si>
  <si>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</si>
  <si>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</si>
  <si>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</si>
  <si>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</si>
  <si>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</si>
  <si>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</si>
  <si>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</si>
  <si>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</si>
  <si>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</si>
  <si>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</si>
  <si>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</si>
  <si>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</si>
  <si>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</si>
  <si>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</si>
  <si>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</si>
  <si>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</si>
  <si>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</si>
  <si>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</si>
  <si>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</si>
  <si>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</si>
  <si>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</si>
  <si>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</si>
  <si>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</si>
  <si>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</si>
  <si>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</si>
  <si>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</si>
  <si>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</si>
  <si>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</si>
  <si>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</si>
  <si>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</si>
  <si>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</si>
  <si>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</si>
  <si>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</si>
  <si>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</si>
  <si>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</si>
  <si>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</si>
  <si>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</si>
  <si>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</si>
  <si>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</si>
  <si>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</si>
  <si>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</si>
  <si>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</si>
  <si>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</si>
  <si>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</si>
  <si>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</si>
  <si>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</si>
  <si>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</si>
  <si>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</si>
  <si>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</si>
  <si>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</si>
  <si>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</si>
  <si>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</si>
  <si>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</si>
  <si>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</si>
  <si>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</si>
  <si>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</si>
  <si>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</si>
  <si>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</si>
  <si>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</si>
  <si>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</si>
  <si>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</si>
  <si>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</si>
  <si>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</si>
  <si>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</si>
  <si>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</si>
  <si>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</si>
  <si>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</si>
  <si>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</si>
  <si>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</si>
  <si>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</si>
  <si>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</si>
  <si>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</si>
  <si>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</si>
  <si>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</si>
  <si>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</si>
  <si>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</si>
  <si>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</si>
  <si>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</si>
  <si>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</si>
  <si>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</si>
  <si>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</si>
  <si>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</si>
  <si>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</si>
  <si>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</si>
  <si>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</si>
  <si>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</si>
  <si>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</si>
  <si>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</si>
  <si>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</si>
  <si>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</si>
  <si>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</si>
  <si>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</si>
  <si>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</si>
  <si>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</si>
  <si>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</si>
  <si>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</si>
  <si>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</si>
  <si>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</si>
  <si>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</si>
  <si>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</si>
  <si>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</si>
  <si>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</si>
  <si>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</si>
  <si>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</si>
  <si>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</si>
  <si>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</si>
  <si>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</si>
  <si>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</si>
  <si>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</si>
  <si>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</si>
  <si>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</si>
  <si>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</si>
  <si>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</si>
  <si>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</si>
  <si>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</si>
  <si>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</si>
  <si>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</si>
  <si>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</si>
  <si>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</si>
  <si>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</si>
  <si>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</si>
  <si>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</si>
  <si>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</si>
  <si>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</si>
  <si>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</si>
  <si>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</si>
  <si>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</si>
  <si>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</si>
  <si>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</si>
  <si>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</si>
  <si>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</si>
  <si>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</si>
  <si>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</si>
  <si>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</si>
  <si>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</si>
  <si>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</si>
  <si>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</si>
  <si>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</si>
  <si>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</si>
  <si>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</si>
  <si>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</si>
  <si>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</si>
  <si>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</si>
  <si>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</si>
  <si>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</si>
  <si>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</si>
  <si>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</si>
  <si>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</si>
  <si>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</si>
  <si>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</si>
  <si>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</si>
  <si>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</si>
  <si>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</si>
  <si>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</si>
  <si>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</si>
  <si>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</si>
  <si>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</si>
  <si>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</si>
  <si>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</si>
  <si>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</si>
  <si>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</si>
  <si>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</si>
  <si>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</si>
  <si>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</si>
  <si>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</si>
  <si>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</si>
  <si>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</si>
  <si>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</si>
  <si>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</si>
  <si>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</si>
  <si>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</si>
  <si>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</si>
  <si>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</si>
  <si>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</si>
  <si>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</si>
  <si>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</si>
  <si>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</si>
  <si>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</si>
  <si>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</si>
  <si>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</si>
  <si>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</si>
  <si>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</si>
  <si>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</si>
  <si>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</si>
  <si>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</si>
  <si>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</si>
  <si>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</si>
  <si>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</si>
  <si>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</si>
  <si>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</si>
  <si>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</si>
  <si>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</si>
  <si>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</si>
  <si>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</si>
  <si>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</si>
  <si>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</si>
  <si>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</si>
  <si>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</si>
  <si>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</si>
  <si>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</si>
  <si>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</si>
  <si>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</si>
  <si>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</si>
  <si>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</si>
  <si>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</si>
  <si>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</si>
  <si>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</si>
  <si>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</si>
  <si>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</si>
  <si>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</si>
  <si>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</si>
  <si>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</si>
  <si>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</si>
  <si>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</si>
  <si>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</si>
  <si>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</si>
  <si>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</si>
  <si>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</si>
  <si>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</si>
  <si>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</si>
  <si>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</si>
  <si>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</si>
  <si>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</si>
  <si>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</si>
  <si>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</si>
  <si>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</si>
  <si>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</si>
  <si>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</si>
  <si>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</si>
  <si>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</si>
  <si>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</si>
  <si>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</si>
  <si>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</si>
  <si>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</si>
  <si>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</si>
  <si>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</si>
  <si>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</si>
  <si>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</si>
  <si>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</si>
  <si>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</si>
  <si>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</si>
  <si>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</si>
  <si>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</si>
  <si>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</si>
  <si>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</si>
  <si>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</si>
  <si>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</si>
  <si>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</si>
  <si>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</si>
  <si>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</si>
  <si>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</si>
  <si>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</si>
  <si>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</si>
  <si>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</si>
  <si>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</si>
  <si>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</si>
  <si>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</si>
  <si>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</si>
  <si>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</si>
  <si>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</si>
  <si>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</si>
  <si>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</si>
  <si>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</si>
  <si>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</si>
  <si>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</si>
  <si>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</si>
  <si>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</si>
  <si>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</si>
  <si>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</si>
  <si>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</si>
  <si>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</si>
  <si>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</si>
  <si>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</si>
  <si>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</si>
  <si>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</si>
  <si>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</si>
  <si>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</si>
  <si>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</si>
  <si>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</si>
  <si>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</si>
  <si>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</si>
  <si>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</si>
  <si>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</si>
  <si>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</si>
  <si>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</si>
  <si>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</si>
  <si>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</si>
  <si>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</si>
  <si>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</si>
  <si>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</si>
  <si>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</si>
  <si>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</si>
  <si>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</si>
  <si>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</si>
  <si>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</si>
  <si>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</si>
  <si>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</si>
  <si>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</si>
  <si>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</si>
  <si>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</si>
  <si>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</si>
  <si>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</si>
  <si>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</si>
  <si>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</si>
  <si>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</si>
  <si>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</si>
  <si>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</si>
  <si>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</si>
  <si>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</si>
  <si>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</si>
  <si>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</si>
  <si>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</si>
  <si>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</si>
  <si>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</si>
  <si>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</si>
  <si>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</si>
  <si>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</si>
  <si>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</si>
  <si>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</si>
  <si>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</si>
  <si>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</si>
  <si>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</si>
  <si>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</si>
  <si>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</si>
  <si>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</si>
  <si>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</si>
  <si>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</si>
  <si>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</si>
  <si>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</si>
  <si>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</si>
  <si>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</si>
  <si>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</si>
  <si>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</si>
  <si>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</si>
  <si>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</si>
  <si>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</si>
  <si>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</si>
  <si>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</si>
  <si>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</si>
  <si>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</si>
  <si>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</si>
  <si>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</si>
  <si>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</si>
  <si>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</si>
  <si>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</si>
  <si>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</si>
  <si>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</si>
  <si>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</si>
  <si>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</si>
  <si>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</si>
  <si>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</si>
  <si>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</si>
  <si>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</si>
  <si>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</si>
  <si>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</si>
  <si>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</si>
  <si>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</si>
  <si>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</si>
  <si>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</si>
  <si>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</si>
  <si>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</si>
  <si>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</si>
  <si>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</si>
  <si>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</si>
  <si>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</si>
  <si>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</si>
  <si>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</si>
  <si>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</si>
  <si>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</si>
  <si>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</si>
  <si>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</si>
  <si>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</si>
  <si>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</si>
  <si>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</si>
  <si>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</si>
  <si>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</si>
  <si>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</si>
  <si>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</si>
  <si>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</si>
  <si>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</si>
  <si>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</si>
  <si>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</si>
  <si>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</si>
  <si>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</si>
  <si>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</si>
  <si>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</si>
  <si>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</si>
  <si>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</si>
  <si>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</si>
  <si>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</si>
  <si>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</si>
  <si>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</si>
  <si>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</si>
  <si>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</si>
  <si>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</si>
  <si>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</si>
  <si>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</si>
  <si>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</si>
  <si>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</si>
  <si>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</si>
  <si>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</si>
  <si>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</si>
  <si>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</si>
  <si>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</si>
  <si>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</si>
  <si>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</si>
  <si>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</si>
  <si>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</si>
  <si>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</si>
  <si>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</si>
  <si>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</si>
  <si>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</si>
  <si>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</si>
  <si>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</si>
  <si>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</si>
  <si>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</si>
  <si>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</si>
  <si>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</si>
  <si>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</si>
  <si>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</si>
  <si>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</si>
  <si>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</si>
  <si>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</si>
  <si>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</si>
  <si>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</si>
  <si>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</si>
  <si>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</si>
  <si>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</si>
  <si>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</si>
  <si>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</si>
  <si>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</si>
  <si>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</si>
  <si>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</si>
  <si>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</si>
  <si>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</si>
  <si>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</si>
  <si>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</si>
  <si>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</si>
  <si>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</si>
  <si>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</si>
  <si>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</si>
  <si>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</si>
  <si>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</si>
  <si>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</si>
  <si>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</si>
  <si>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</si>
  <si>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</si>
  <si>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</si>
  <si>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</si>
  <si>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</si>
  <si>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</si>
  <si>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</si>
  <si>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</si>
  <si>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</si>
  <si>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</si>
  <si>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</si>
  <si>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</si>
  <si>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</si>
  <si>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</si>
  <si>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</si>
  <si>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</si>
  <si>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</si>
  <si>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</si>
  <si>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</si>
  <si>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</si>
  <si>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</si>
  <si>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</si>
  <si>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</si>
  <si>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</si>
  <si>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</si>
  <si>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</si>
  <si>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</si>
  <si>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</si>
  <si>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</si>
  <si>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</si>
  <si>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</si>
  <si>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</si>
  <si>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</si>
  <si>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</si>
  <si>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</si>
  <si>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</si>
  <si>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</si>
  <si>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</si>
  <si>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</si>
  <si>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</si>
  <si>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</si>
  <si>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</si>
  <si>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</si>
  <si>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</si>
  <si>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</si>
  <si>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</si>
  <si>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</si>
  <si>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</si>
  <si>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</si>
  <si>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</si>
  <si>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</si>
  <si>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</si>
  <si>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</si>
  <si>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</si>
  <si>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</si>
  <si>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</si>
  <si>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</si>
  <si>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</si>
  <si>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</si>
  <si>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</si>
  <si>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</si>
  <si>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</si>
  <si>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</si>
  <si>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</si>
  <si>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</si>
  <si>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</si>
  <si>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</si>
  <si>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</si>
  <si>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</si>
  <si>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</si>
  <si>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</si>
  <si>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</si>
  <si>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</si>
  <si>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</si>
  <si>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</si>
  <si>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</si>
  <si>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</si>
  <si>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</si>
  <si>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</si>
  <si>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</si>
  <si>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</si>
  <si>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</si>
  <si>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</si>
  <si>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</si>
  <si>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</si>
  <si>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</si>
  <si>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</si>
  <si>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</si>
  <si>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</si>
  <si>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</si>
  <si>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</si>
  <si>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</si>
  <si>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</si>
  <si>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</si>
  <si>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</si>
  <si>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</si>
  <si>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</si>
  <si>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</si>
  <si>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</si>
  <si>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</si>
  <si>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</si>
  <si>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</si>
  <si>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</si>
  <si>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</si>
  <si>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</si>
  <si>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</si>
  <si>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</si>
  <si>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</si>
  <si>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</si>
  <si>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</si>
  <si>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</si>
  <si>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</si>
  <si>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</si>
  <si>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</si>
  <si>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</si>
  <si>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</si>
  <si>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</si>
  <si>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</si>
  <si>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</si>
  <si>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</si>
  <si>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</si>
  <si>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</si>
  <si>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</si>
  <si>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</si>
  <si>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</si>
  <si>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</si>
  <si>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</si>
  <si>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</si>
  <si>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</si>
  <si>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</si>
  <si>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</si>
  <si>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</si>
  <si>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</si>
  <si>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</si>
  <si>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</si>
  <si>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</si>
  <si>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</si>
  <si>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</si>
  <si>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</si>
  <si>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</si>
  <si>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</si>
  <si>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</si>
  <si>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</si>
  <si>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</si>
  <si>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</si>
  <si>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</si>
  <si>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</si>
  <si>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</si>
  <si>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</si>
  <si>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</si>
  <si>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</si>
  <si>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</si>
  <si>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</si>
  <si>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</si>
  <si>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</si>
  <si>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</si>
  <si>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</si>
  <si>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</si>
  <si>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</si>
  <si>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</si>
  <si>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</si>
  <si>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</si>
  <si>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</si>
  <si>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</si>
  <si>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</si>
  <si>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</si>
  <si>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</si>
  <si>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</si>
  <si>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</si>
  <si>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</si>
  <si>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</si>
  <si>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</si>
  <si>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</si>
  <si>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</si>
  <si>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</si>
  <si>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</si>
  <si>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</si>
  <si>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</si>
  <si>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</si>
  <si>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</si>
  <si>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</si>
  <si>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</si>
  <si>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</si>
  <si>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</si>
  <si>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</si>
  <si>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</si>
  <si>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</si>
  <si>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</si>
  <si>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</si>
  <si>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</si>
  <si>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</si>
  <si>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</si>
  <si>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</si>
  <si>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</si>
  <si>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</si>
  <si>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</si>
  <si>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</si>
  <si>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</si>
  <si>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</si>
  <si>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</si>
  <si>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</si>
  <si>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</si>
  <si>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</si>
  <si>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</si>
  <si>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</si>
  <si>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</si>
  <si>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</si>
  <si>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</si>
  <si>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</si>
  <si>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</si>
  <si>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</si>
  <si>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</si>
  <si>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</si>
  <si>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</si>
  <si>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</si>
  <si>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</si>
  <si>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</si>
  <si>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</si>
  <si>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</si>
  <si>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</si>
  <si>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</si>
  <si>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</si>
  <si>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</si>
  <si>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</si>
  <si>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</si>
  <si>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</si>
  <si>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</si>
  <si>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</si>
  <si>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</si>
  <si>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</si>
  <si>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</si>
  <si>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</si>
  <si>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</si>
  <si>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</si>
  <si>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</si>
  <si>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</si>
  <si>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</si>
  <si>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</si>
  <si>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</si>
  <si>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</si>
  <si>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</si>
  <si>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</si>
  <si>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</si>
  <si>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</si>
  <si>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</si>
  <si>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</si>
  <si>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</si>
  <si>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</si>
  <si>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</si>
  <si>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</si>
  <si>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</si>
  <si>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</si>
  <si>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</si>
  <si>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</si>
  <si>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</si>
  <si>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</si>
  <si>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</si>
  <si>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</si>
  <si>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</si>
  <si>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</si>
  <si>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</si>
  <si>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</si>
  <si>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</si>
  <si>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</si>
  <si>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</si>
  <si>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</si>
  <si>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</si>
  <si>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</si>
  <si>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</si>
  <si>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</si>
  <si>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</si>
  <si>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</si>
  <si>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</si>
  <si>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</si>
  <si>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</si>
  <si>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</si>
  <si>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</si>
  <si>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</si>
  <si>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</si>
  <si>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</si>
  <si>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</si>
  <si>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</si>
  <si>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</si>
  <si>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</si>
  <si>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</si>
  <si>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</si>
  <si>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</si>
  <si>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</si>
  <si>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</si>
  <si>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</si>
  <si>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</si>
  <si>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</si>
  <si>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</si>
  <si>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</si>
  <si>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</si>
  <si>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</si>
  <si>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</si>
  <si>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</si>
  <si>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</si>
  <si>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</si>
  <si>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</si>
  <si>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</si>
  <si>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</si>
  <si>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</si>
  <si>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</si>
  <si>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</si>
  <si>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</si>
  <si>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</si>
  <si>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</si>
  <si>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</si>
  <si>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</si>
  <si>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</si>
  <si>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</si>
  <si>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</si>
  <si>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</si>
  <si>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</si>
  <si>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</si>
  <si>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</si>
  <si>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</si>
  <si>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</si>
  <si>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</si>
  <si>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</si>
  <si>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</si>
  <si>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</si>
  <si>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</si>
  <si>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</si>
  <si>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</si>
  <si>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</si>
  <si>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</si>
  <si>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</si>
  <si>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</si>
  <si>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</si>
  <si>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</si>
  <si>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</si>
  <si>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</si>
  <si>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</si>
  <si>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</si>
  <si>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</si>
  <si>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</si>
  <si>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</si>
  <si>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</si>
  <si>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</si>
  <si>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</si>
  <si>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</si>
  <si>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</si>
  <si>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</si>
  <si>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</si>
  <si>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</si>
  <si>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</si>
  <si>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</si>
  <si>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</si>
  <si>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</si>
  <si>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</si>
  <si>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</si>
  <si>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</si>
  <si>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</si>
  <si>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</si>
  <si>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</si>
  <si>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</si>
  <si>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</si>
  <si>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</si>
  <si>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</si>
  <si>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</si>
  <si>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</si>
  <si>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</si>
  <si>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</si>
  <si>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</si>
  <si>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</si>
  <si>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</si>
  <si>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</si>
  <si>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</si>
  <si>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</si>
  <si>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</si>
  <si>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</si>
  <si>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</si>
  <si>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</si>
  <si>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</si>
  <si>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</si>
  <si>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</si>
  <si>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</si>
  <si>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</si>
  <si>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</si>
  <si>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</si>
  <si>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</si>
  <si>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</si>
  <si>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</si>
  <si>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</si>
  <si>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</si>
  <si>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</si>
  <si>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</si>
  <si>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</si>
  <si>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</si>
  <si>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</si>
  <si>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</si>
  <si>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</si>
  <si>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</si>
  <si>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</si>
  <si>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</si>
  <si>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</si>
  <si>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</si>
  <si>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</si>
  <si>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</si>
  <si>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</si>
  <si>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</si>
  <si>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</si>
  <si>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</si>
  <si>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</si>
  <si>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</si>
  <si>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</si>
  <si>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</si>
  <si>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</si>
  <si>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</si>
  <si>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</si>
  <si>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</si>
  <si>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</si>
  <si>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</si>
  <si>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</si>
  <si>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</si>
  <si>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</si>
  <si>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</si>
  <si>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</si>
  <si>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</si>
  <si>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</si>
  <si>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</si>
  <si>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</si>
  <si>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</si>
  <si>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</si>
  <si>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</si>
  <si>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</si>
  <si>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</si>
  <si>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</si>
  <si>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</si>
  <si>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</si>
  <si>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</si>
  <si>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</si>
  <si>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</si>
  <si>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</si>
  <si>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</si>
  <si>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</si>
  <si>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</si>
  <si>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</si>
  <si>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</si>
  <si>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</si>
  <si>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</si>
  <si>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</si>
  <si>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</si>
  <si>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</si>
  <si>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</si>
  <si>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</si>
  <si>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</si>
  <si>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</si>
  <si>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</si>
  <si>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</si>
  <si>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</si>
  <si>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</si>
  <si>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</si>
  <si>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</si>
  <si>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</si>
  <si>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</si>
  <si>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</si>
  <si>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</si>
  <si>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</si>
  <si>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</si>
  <si>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</si>
  <si>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</si>
  <si>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</si>
  <si>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</si>
  <si>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</si>
  <si>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</si>
  <si>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</si>
  <si>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</si>
  <si>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</si>
  <si>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</si>
  <si>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</si>
  <si>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</si>
  <si>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</si>
  <si>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</si>
  <si>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</si>
  <si>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</si>
  <si>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</si>
  <si>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</si>
  <si>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</si>
  <si>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</si>
  <si>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</si>
  <si>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</si>
  <si>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</si>
  <si>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</si>
  <si>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</si>
  <si>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</si>
  <si>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</si>
  <si>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</si>
  <si>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</si>
  <si>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</si>
  <si>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</si>
  <si>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</si>
  <si>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</si>
  <si>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</si>
  <si>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</si>
  <si>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</si>
  <si>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</si>
  <si>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</si>
  <si>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</si>
  <si>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</si>
  <si>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</si>
  <si>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</si>
  <si>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</si>
  <si>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</si>
  <si>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</si>
  <si>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</si>
  <si>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</si>
  <si>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</si>
  <si>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</si>
  <si>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</si>
  <si>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</si>
  <si>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</si>
  <si>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</si>
  <si>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</si>
  <si>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</si>
  <si>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</si>
  <si>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</si>
  <si>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</si>
  <si>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</si>
  <si>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</si>
  <si>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</si>
  <si>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</si>
  <si>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</si>
  <si>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</si>
  <si>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</si>
  <si>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</si>
  <si>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</si>
  <si>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</si>
  <si>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</si>
  <si>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</si>
  <si>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</si>
  <si>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</si>
  <si>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</si>
  <si>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</si>
  <si>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</si>
  <si>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</si>
  <si>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</si>
  <si>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</si>
  <si>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</si>
  <si>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</si>
  <si>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</si>
  <si>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</si>
  <si>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</si>
  <si>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</si>
  <si>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</si>
  <si>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</si>
  <si>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</si>
  <si>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</si>
  <si>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</si>
  <si>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</si>
  <si>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</si>
  <si>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</si>
  <si>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</si>
  <si>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</si>
  <si>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</si>
  <si>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</si>
  <si>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</si>
  <si>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</si>
  <si>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</si>
  <si>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</si>
  <si>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</si>
  <si>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</si>
  <si>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</si>
  <si>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</si>
  <si>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</si>
  <si>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</si>
  <si>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</si>
  <si>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</si>
  <si>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</si>
  <si>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</si>
  <si>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</si>
  <si>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</si>
  <si>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</si>
  <si>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</si>
  <si>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</si>
  <si>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</si>
  <si>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</si>
  <si>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</si>
  <si>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</si>
  <si>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</si>
  <si>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</si>
  <si>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</si>
  <si>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</si>
  <si>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</si>
  <si>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</si>
  <si>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</si>
  <si>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</si>
  <si>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</si>
  <si>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</si>
  <si>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</si>
  <si>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</si>
  <si>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</si>
  <si>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</si>
  <si>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</si>
  <si>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</si>
  <si>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</si>
  <si>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</si>
  <si>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</si>
  <si>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</si>
  <si>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</si>
  <si>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</si>
  <si>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</si>
  <si>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</si>
  <si>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</si>
  <si>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</si>
  <si>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</si>
  <si>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</si>
  <si>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</si>
  <si>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</si>
  <si>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</si>
  <si>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</si>
  <si>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</si>
  <si>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</si>
  <si>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</si>
  <si>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</si>
  <si>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</si>
  <si>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</si>
  <si>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</si>
  <si>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</si>
  <si>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</si>
  <si>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</si>
  <si>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</si>
  <si>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</si>
  <si>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</si>
  <si>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</si>
  <si>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</si>
  <si>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</si>
  <si>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</si>
  <si>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</si>
  <si>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</si>
  <si>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</si>
  <si>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</si>
  <si>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</si>
  <si>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</si>
  <si>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</si>
  <si>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</si>
  <si>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</si>
  <si>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</si>
  <si>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</si>
  <si>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</si>
  <si>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</si>
  <si>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</si>
  <si>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</si>
  <si>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</si>
  <si>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</si>
  <si>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</si>
  <si>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</si>
  <si>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</si>
  <si>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</si>
  <si>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</si>
  <si>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</si>
  <si>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</si>
  <si>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</si>
  <si>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</si>
  <si>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</si>
  <si>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</si>
  <si>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</si>
  <si>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</si>
  <si>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</si>
  <si>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</si>
  <si>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</si>
  <si>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</si>
  <si>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</si>
  <si>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</si>
  <si>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</si>
  <si>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</si>
  <si>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</si>
  <si>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</si>
  <si>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</si>
  <si>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</si>
  <si>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</si>
  <si>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</si>
  <si>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</si>
  <si>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</si>
  <si>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</si>
  <si>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</si>
  <si>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</si>
  <si>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</si>
  <si>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</si>
  <si>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</si>
  <si>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</si>
  <si>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</si>
  <si>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</si>
  <si>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</si>
  <si>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</si>
  <si>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</si>
  <si>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</si>
  <si>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</si>
  <si>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</si>
  <si>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</si>
  <si>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</si>
  <si>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</si>
  <si>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</si>
  <si>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</si>
  <si>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</si>
  <si>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</si>
  <si>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</si>
  <si>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</si>
  <si>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</si>
  <si>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</si>
  <si>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</si>
  <si>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</si>
  <si>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</si>
  <si>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</si>
  <si>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</si>
  <si>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</si>
  <si>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</si>
  <si>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</si>
  <si>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</si>
  <si>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</si>
  <si>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</si>
  <si>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</si>
  <si>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</si>
  <si>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</si>
  <si>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</si>
  <si>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</si>
  <si>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</si>
  <si>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</si>
  <si>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</si>
  <si>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</si>
  <si>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</si>
  <si>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</si>
  <si>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</si>
  <si>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</si>
  <si>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</si>
  <si>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</si>
  <si>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</si>
  <si>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</si>
  <si>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</si>
  <si>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</si>
  <si>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</si>
  <si>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</si>
  <si>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</si>
  <si>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</si>
  <si>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</si>
  <si>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</si>
  <si>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</si>
  <si>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</si>
  <si>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</si>
  <si>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</si>
  <si>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</si>
  <si>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</si>
  <si>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</si>
  <si>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</si>
  <si>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</si>
  <si>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</si>
  <si>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</si>
  <si>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</si>
  <si>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</si>
  <si>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</si>
  <si>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</si>
  <si>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</si>
  <si>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</si>
  <si>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</si>
  <si>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</si>
  <si>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</si>
  <si>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</si>
  <si>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</si>
  <si>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</si>
  <si>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</si>
  <si>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</si>
  <si>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</si>
  <si>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</si>
  <si>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</si>
  <si>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</si>
  <si>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</si>
  <si>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</si>
  <si>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</si>
  <si>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</si>
  <si>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</si>
  <si>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</si>
  <si>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</si>
  <si>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</si>
  <si>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</si>
  <si>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</si>
  <si>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</si>
  <si>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</si>
  <si>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</si>
  <si>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</si>
  <si>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</si>
  <si>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</si>
  <si>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</si>
  <si>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</si>
  <si>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</si>
  <si>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</si>
  <si>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</si>
  <si>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</si>
  <si>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</si>
  <si>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</si>
  <si>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</si>
  <si>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</si>
  <si>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</si>
  <si>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</si>
  <si>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</si>
  <si>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</si>
  <si>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</si>
  <si>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</si>
  <si>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</si>
  <si>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</si>
  <si>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</si>
  <si>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</si>
  <si>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</si>
  <si>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</si>
  <si>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</si>
  <si>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</si>
  <si>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</si>
  <si>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</si>
  <si>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</si>
  <si>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</si>
  <si>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</si>
  <si>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</si>
  <si>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</si>
  <si>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</si>
  <si>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</si>
  <si>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</si>
  <si>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</si>
  <si>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</si>
  <si>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</si>
  <si>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</si>
  <si>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</si>
  <si>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</si>
  <si>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</si>
  <si>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</si>
  <si>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</si>
  <si>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</si>
  <si>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</si>
  <si>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</si>
  <si>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</si>
  <si>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</si>
  <si>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</si>
  <si>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</si>
  <si>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</si>
  <si>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</si>
  <si>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</si>
  <si>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</si>
  <si>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</si>
  <si>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</si>
  <si>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</si>
  <si>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</si>
  <si>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</si>
  <si>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</si>
  <si>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</si>
  <si>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</si>
  <si>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</si>
  <si>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</si>
  <si>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</si>
  <si>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</si>
  <si>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</si>
  <si>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</si>
  <si>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</si>
  <si>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</si>
  <si>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</si>
  <si>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</si>
  <si>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</si>
  <si>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</si>
  <si>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</si>
  <si>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</si>
  <si>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</si>
  <si>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</si>
  <si>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</si>
  <si>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</si>
  <si>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</si>
  <si>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</si>
  <si>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</si>
  <si>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</si>
  <si>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</si>
  <si>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</si>
  <si>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</si>
  <si>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</si>
  <si>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</si>
  <si>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</si>
  <si>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</si>
  <si>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</si>
  <si>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</si>
  <si>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</si>
  <si>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</si>
  <si>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</si>
  <si>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</si>
  <si>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</si>
  <si>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</si>
  <si>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</si>
  <si>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</si>
  <si>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</si>
  <si>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</si>
  <si>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</si>
  <si>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</si>
  <si>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</si>
  <si>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</si>
  <si>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</si>
  <si>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</si>
  <si>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</si>
  <si>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</si>
  <si>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</si>
  <si>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</si>
  <si>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</si>
  <si>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</si>
  <si>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</si>
  <si>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</si>
  <si>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</si>
  <si>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</si>
  <si>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</si>
  <si>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</si>
  <si>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</si>
  <si>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</si>
  <si>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</si>
  <si>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</si>
  <si>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</si>
  <si>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</si>
  <si>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</si>
  <si>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</si>
  <si>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</si>
  <si>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</si>
  <si>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</si>
  <si>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</si>
  <si>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</si>
  <si>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</si>
  <si>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</si>
  <si>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</si>
  <si>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</si>
  <si>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</si>
  <si>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</si>
  <si>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</si>
  <si>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</si>
  <si>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</si>
  <si>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</si>
  <si>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</si>
  <si>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</si>
  <si>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</si>
  <si>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</si>
  <si>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</si>
  <si>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</si>
  <si>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</si>
  <si>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</si>
  <si>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</si>
  <si>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</si>
  <si>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</si>
  <si>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</si>
  <si>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</si>
  <si>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</si>
  <si>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</si>
  <si>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</si>
  <si>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</si>
  <si>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</si>
  <si>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</si>
  <si>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</si>
  <si>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</si>
  <si>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</si>
  <si>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</si>
  <si>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</si>
  <si>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</si>
  <si>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</si>
  <si>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</si>
  <si>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</si>
  <si>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</si>
  <si>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</si>
  <si>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</si>
  <si>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</si>
  <si>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</si>
  <si>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</si>
  <si>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</si>
  <si>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</si>
  <si>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</si>
  <si>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</si>
  <si>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</si>
  <si>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</si>
  <si>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</si>
  <si>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</si>
  <si>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</si>
  <si>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</si>
  <si>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</si>
  <si>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</si>
  <si>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</si>
  <si>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</si>
  <si>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</si>
  <si>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</si>
  <si>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</si>
  <si>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</si>
  <si>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</si>
  <si>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</si>
  <si>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</si>
  <si>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</si>
  <si>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</si>
  <si>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</si>
  <si>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</si>
  <si>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</si>
  <si>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</si>
  <si>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</si>
  <si>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</si>
  <si>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</si>
  <si>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</si>
  <si>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</si>
  <si>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</si>
  <si>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</si>
  <si>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</si>
  <si>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</si>
  <si>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</si>
  <si>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</si>
  <si>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</si>
  <si>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</si>
  <si>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</si>
  <si>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</si>
  <si>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</si>
  <si>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</si>
  <si>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</si>
  <si>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</si>
  <si>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</si>
  <si>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</si>
  <si>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</si>
  <si>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</si>
  <si>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</si>
  <si>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</si>
  <si>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</si>
  <si>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</si>
  <si>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</si>
  <si>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</si>
  <si>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</si>
  <si>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</si>
  <si>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</si>
  <si>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</si>
  <si>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</si>
  <si>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</si>
  <si>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</si>
  <si>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</si>
  <si>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</si>
  <si>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</si>
  <si>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</si>
  <si>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</si>
  <si>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</si>
  <si>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</si>
  <si>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</si>
  <si>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</si>
  <si>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</si>
  <si>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</si>
  <si>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</si>
  <si>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</si>
  <si>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</si>
  <si>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</si>
  <si>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</si>
  <si>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</si>
  <si>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</si>
  <si>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</si>
  <si>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</si>
  <si>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</si>
  <si>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</si>
  <si>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</si>
  <si>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</si>
  <si>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</si>
  <si>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</si>
  <si>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</si>
  <si>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</si>
  <si>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</si>
  <si>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</si>
  <si>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</si>
  <si>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</si>
  <si>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</si>
  <si>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</si>
  <si>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</si>
  <si>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</si>
  <si>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</si>
  <si>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</si>
  <si>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</si>
  <si>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</si>
  <si>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</si>
  <si>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</si>
  <si>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</si>
  <si>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</si>
  <si>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</si>
  <si>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</si>
  <si>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</si>
  <si>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</si>
  <si>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</si>
  <si>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</si>
  <si>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</si>
  <si>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</si>
  <si>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</si>
  <si>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</si>
  <si>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</si>
  <si>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</si>
  <si>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</si>
  <si>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</si>
  <si>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</si>
  <si>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</si>
  <si>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</si>
  <si>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</si>
  <si>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</si>
  <si>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</si>
  <si>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</si>
  <si>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</si>
  <si>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</si>
  <si>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</si>
  <si>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</si>
  <si>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</si>
  <si>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</si>
  <si>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</si>
  <si>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</si>
  <si>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</si>
  <si>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</si>
  <si>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</si>
  <si>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</si>
  <si>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</si>
  <si>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</si>
  <si>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</si>
  <si>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</si>
  <si>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</si>
  <si>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</si>
  <si>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</si>
  <si>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</si>
  <si>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</si>
  <si>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</si>
  <si>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</si>
  <si>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</si>
  <si>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</si>
  <si>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</si>
  <si>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</si>
  <si>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</si>
  <si>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</si>
  <si>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</si>
  <si>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</si>
  <si>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</si>
  <si>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</si>
  <si>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</si>
  <si>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</si>
  <si>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</si>
  <si>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</si>
  <si>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</si>
  <si>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</si>
  <si>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</si>
  <si>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</si>
  <si>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</si>
  <si>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</si>
  <si>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</si>
  <si>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</si>
  <si>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</si>
  <si>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</si>
  <si>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</si>
  <si>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</si>
  <si>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</si>
  <si>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</si>
  <si>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</si>
  <si>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</si>
  <si>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</si>
  <si>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</si>
  <si>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</si>
  <si>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</si>
  <si>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</si>
  <si>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</si>
  <si>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</si>
  <si>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</si>
  <si>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</si>
  <si>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</si>
  <si>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</si>
  <si>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</si>
  <si>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</si>
  <si>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</si>
  <si>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</si>
  <si>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</si>
  <si>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</si>
  <si>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</si>
  <si>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</si>
  <si>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</si>
  <si>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</si>
  <si>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</si>
  <si>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</si>
  <si>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</si>
  <si>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</si>
  <si>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</si>
  <si>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</si>
  <si>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</si>
  <si>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</si>
  <si>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</si>
  <si>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</si>
  <si>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</si>
  <si>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</si>
  <si>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</si>
  <si>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</si>
  <si>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</si>
  <si>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</si>
  <si>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</si>
  <si>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</si>
  <si>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</si>
  <si>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</si>
  <si>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</si>
  <si>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</si>
  <si>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</si>
  <si>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</si>
  <si>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</si>
  <si>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</si>
  <si>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</si>
  <si>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</si>
  <si>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</si>
  <si>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</si>
  <si>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</si>
  <si>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</si>
  <si>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</si>
  <si>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</si>
  <si>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</si>
  <si>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</si>
  <si>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</si>
  <si>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</si>
  <si>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</si>
  <si>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</si>
  <si>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</si>
  <si>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</si>
  <si>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</si>
  <si>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</si>
  <si>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</si>
  <si>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</si>
  <si>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</si>
  <si>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</si>
  <si>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</si>
  <si>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</si>
  <si>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</si>
  <si>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</si>
  <si>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</si>
  <si>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</si>
  <si>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</si>
  <si>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</si>
  <si>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</si>
  <si>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</si>
  <si>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</si>
  <si>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</si>
  <si>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</si>
  <si>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</si>
  <si>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</si>
  <si>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</si>
  <si>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</si>
  <si>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</si>
  <si>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</si>
  <si>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</si>
  <si>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</si>
  <si>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</si>
  <si>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</si>
  <si>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</si>
  <si>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</si>
  <si>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</si>
  <si>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</si>
  <si>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</si>
  <si>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</si>
  <si>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</si>
  <si>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</si>
  <si>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</si>
  <si>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</si>
  <si>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</si>
  <si>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</si>
  <si>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</si>
  <si>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</si>
  <si>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</si>
  <si>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</si>
  <si>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</si>
  <si>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</si>
  <si>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</si>
  <si>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</si>
  <si>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</si>
  <si>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</si>
  <si>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</si>
  <si>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</si>
  <si>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</si>
  <si>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</si>
  <si>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</si>
  <si>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</si>
  <si>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</si>
  <si>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</si>
  <si>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</si>
  <si>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</si>
  <si>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</si>
  <si>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</si>
  <si>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</si>
  <si>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</si>
  <si>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</si>
  <si>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</si>
  <si>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</si>
  <si>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</si>
  <si>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</si>
  <si>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</si>
  <si>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</si>
  <si>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</si>
  <si>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</si>
  <si>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</si>
  <si>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</si>
  <si>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</si>
  <si>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</si>
  <si>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</si>
  <si>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</si>
  <si>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</si>
  <si>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</si>
  <si>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</si>
  <si>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</si>
  <si>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</si>
  <si>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</si>
  <si>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</si>
  <si>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</si>
  <si>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</si>
  <si>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</si>
  <si>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</si>
  <si>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</si>
  <si>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</si>
  <si>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</si>
  <si>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</si>
  <si>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</si>
  <si>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</si>
  <si>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</si>
  <si>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</si>
  <si>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</si>
  <si>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</si>
  <si>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</si>
  <si>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</si>
  <si>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</si>
  <si>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</si>
  <si>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</si>
  <si>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</si>
  <si>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</si>
  <si>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</si>
  <si>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</si>
  <si>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</si>
  <si>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</si>
  <si>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</si>
  <si>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</si>
  <si>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</si>
  <si>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</si>
  <si>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</si>
  <si>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</si>
  <si>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</si>
  <si>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</si>
  <si>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</si>
  <si>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</si>
  <si>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</si>
  <si>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</si>
  <si>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</si>
  <si>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</si>
  <si>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</si>
  <si>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</si>
  <si>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</si>
  <si>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</si>
  <si>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</si>
  <si>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</si>
  <si>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</si>
  <si>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</si>
  <si>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</si>
  <si>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</si>
  <si>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</si>
  <si>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</si>
  <si>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</si>
  <si>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</si>
  <si>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</si>
  <si>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</si>
  <si>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</si>
  <si>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</si>
  <si>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</si>
  <si>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</si>
  <si>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</si>
  <si>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</si>
  <si>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</si>
  <si>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</si>
  <si>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</si>
  <si>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</si>
  <si>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</si>
  <si>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</si>
  <si>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</si>
  <si>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</si>
  <si>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</si>
  <si>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</si>
  <si>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</si>
  <si>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</si>
  <si>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</si>
  <si>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</si>
  <si>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</si>
  <si>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</si>
  <si>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</si>
  <si>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</si>
  <si>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</si>
  <si>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</si>
  <si>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</si>
  <si>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</si>
  <si>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</si>
  <si>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</si>
  <si>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</si>
  <si>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</si>
  <si>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</si>
  <si>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</si>
  <si>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</si>
  <si>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</si>
  <si>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</si>
  <si>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</si>
  <si>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</si>
  <si>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</si>
  <si>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</si>
  <si>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</si>
  <si>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</si>
  <si>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</si>
  <si>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</si>
  <si>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</si>
  <si>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</si>
  <si>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</si>
  <si>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</si>
  <si>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</si>
  <si>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</si>
  <si>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</si>
  <si>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</si>
  <si>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</si>
  <si>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</si>
  <si>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</si>
  <si>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</si>
  <si>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</si>
  <si>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</si>
  <si>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</si>
  <si>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</si>
  <si>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</si>
  <si>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</si>
  <si>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</si>
  <si>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</si>
  <si>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</si>
  <si>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</si>
  <si>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</si>
  <si>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</si>
  <si>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</si>
  <si>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</si>
  <si>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</si>
  <si>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</si>
  <si>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</si>
  <si>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</si>
  <si>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</si>
  <si>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</si>
  <si>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</si>
  <si>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</si>
  <si>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</si>
  <si>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</si>
  <si>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</si>
  <si>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</si>
  <si>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</si>
  <si>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</si>
  <si>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</si>
  <si>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</si>
  <si>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</si>
  <si>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</si>
  <si>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</si>
  <si>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</si>
  <si>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</si>
  <si>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</si>
  <si>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</si>
  <si>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</si>
  <si>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</si>
  <si>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</si>
  <si>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</si>
  <si>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</si>
  <si>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</si>
  <si>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</si>
  <si>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</si>
  <si>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</si>
  <si>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</si>
  <si>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</si>
  <si>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</si>
  <si>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</si>
  <si>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</si>
  <si>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</si>
  <si>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</si>
  <si>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</si>
  <si>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</si>
  <si>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</si>
  <si>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</si>
  <si>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</si>
  <si>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</si>
  <si>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</si>
  <si>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</si>
  <si>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</si>
  <si>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</si>
  <si>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</si>
  <si>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</si>
  <si>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</si>
  <si>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</si>
  <si>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</si>
  <si>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</si>
  <si>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</si>
  <si>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</si>
  <si>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</si>
  <si>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</si>
  <si>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</si>
  <si>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</si>
  <si>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</si>
  <si>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</si>
  <si>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</si>
  <si>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</si>
  <si>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</si>
  <si>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</si>
  <si>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</si>
  <si>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</si>
  <si>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</si>
  <si>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</si>
  <si>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</si>
  <si>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</si>
  <si>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</si>
  <si>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</si>
  <si>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</si>
  <si>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</si>
  <si>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</si>
  <si>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</si>
  <si>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</si>
  <si>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</si>
  <si>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</si>
  <si>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</si>
  <si>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</si>
  <si>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</si>
  <si>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</si>
  <si>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</si>
  <si>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</si>
  <si>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</si>
  <si>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</si>
  <si>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</si>
  <si>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</si>
  <si>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</si>
  <si>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</si>
  <si>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</si>
  <si>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</si>
  <si>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</si>
  <si>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</si>
  <si>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</si>
  <si>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</si>
  <si>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</si>
  <si>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</si>
  <si>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</si>
  <si>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</si>
  <si>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</si>
  <si>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</si>
  <si>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</si>
  <si>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</si>
  <si>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</si>
  <si>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</si>
  <si>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</si>
  <si>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</si>
  <si>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</si>
  <si>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</si>
  <si>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</si>
  <si>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</si>
  <si>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</si>
  <si>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</si>
  <si>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</si>
  <si>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</si>
  <si>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</si>
  <si>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</si>
  <si>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</si>
  <si>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</si>
  <si>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</si>
  <si>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</si>
  <si>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</si>
  <si>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</si>
  <si>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</si>
  <si>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</si>
  <si>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</si>
  <si>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</si>
  <si>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</si>
  <si>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</si>
  <si>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</si>
  <si>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</si>
  <si>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</si>
  <si>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</si>
  <si>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</si>
  <si>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</si>
  <si>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</si>
  <si>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</si>
  <si>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</si>
  <si>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</si>
  <si>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</si>
  <si>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</si>
  <si>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</si>
  <si>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</si>
  <si>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</si>
  <si>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</si>
  <si>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</si>
  <si>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</si>
  <si>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</si>
  <si>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</si>
  <si>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</si>
  <si>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</si>
  <si>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</si>
  <si>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</si>
  <si>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</si>
  <si>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</si>
  <si>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</si>
  <si>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</si>
  <si>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</si>
  <si>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</si>
  <si>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</si>
  <si>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</si>
  <si>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</si>
  <si>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</si>
  <si>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</si>
  <si>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</si>
  <si>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</si>
  <si>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</si>
  <si>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</si>
  <si>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</si>
  <si>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</si>
  <si>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</si>
  <si>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</si>
  <si>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</si>
  <si>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</si>
  <si>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</si>
  <si>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</si>
  <si>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</si>
  <si>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</si>
  <si>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</si>
  <si>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</si>
  <si>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</si>
  <si>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</si>
  <si>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</si>
  <si>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</si>
  <si>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</si>
  <si>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</si>
  <si>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</si>
  <si>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</si>
  <si>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</si>
  <si>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</si>
  <si>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</si>
  <si>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</si>
  <si>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</si>
  <si>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</si>
  <si>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</si>
  <si>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</si>
  <si>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</si>
  <si>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</si>
  <si>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</si>
  <si>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</si>
  <si>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</si>
  <si>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</si>
  <si>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</si>
  <si>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</si>
  <si>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</si>
  <si>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</si>
  <si>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</si>
  <si>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</si>
  <si>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</si>
  <si>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</si>
  <si>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</si>
  <si>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</si>
  <si>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</si>
  <si>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</si>
  <si>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</si>
  <si>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</si>
  <si>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</si>
  <si>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</si>
  <si>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</si>
  <si>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</si>
  <si>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</si>
  <si>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</si>
  <si>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</si>
  <si>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</si>
  <si>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</si>
  <si>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</si>
  <si>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</si>
  <si>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</si>
  <si>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</si>
  <si>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</si>
  <si>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</si>
  <si>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</si>
  <si>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</si>
  <si>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</si>
  <si>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</si>
  <si>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</si>
  <si>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</si>
  <si>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</si>
  <si>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</si>
  <si>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</si>
  <si>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</si>
  <si>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</si>
  <si>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</si>
  <si>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</si>
  <si>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</si>
  <si>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</si>
  <si>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</si>
  <si>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</si>
  <si>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</si>
  <si>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</si>
  <si>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</si>
  <si>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</si>
  <si>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</si>
  <si>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</si>
  <si>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</si>
  <si>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</si>
  <si>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</si>
  <si>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</si>
  <si>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</si>
  <si>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</si>
  <si>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</si>
  <si>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</si>
  <si>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</si>
  <si>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</si>
  <si>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</si>
  <si>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</si>
  <si>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</si>
  <si>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</si>
  <si>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</si>
  <si>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</si>
  <si>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</si>
  <si>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</si>
  <si>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</si>
  <si>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</si>
  <si>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</si>
  <si>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</si>
  <si>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</si>
  <si>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</si>
  <si>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</si>
  <si>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</si>
  <si>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</si>
  <si>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</si>
  <si>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</si>
  <si>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</si>
  <si>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</si>
  <si>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</si>
  <si>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</si>
  <si>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</si>
  <si>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</si>
  <si>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</si>
  <si>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</si>
  <si>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</si>
  <si>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</si>
  <si>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</si>
  <si>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</si>
  <si>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</si>
  <si>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</si>
  <si>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</si>
  <si>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</si>
  <si>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</si>
  <si>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</si>
  <si>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</si>
  <si>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</si>
  <si>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</si>
  <si>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</si>
  <si>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</si>
  <si>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</si>
  <si>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</si>
  <si>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</si>
  <si>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</si>
  <si>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</si>
  <si>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</si>
  <si>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</si>
  <si>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</si>
  <si>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</si>
  <si>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</si>
  <si>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</si>
  <si>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</si>
  <si>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</si>
  <si>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</si>
  <si>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</si>
  <si>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</si>
  <si>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</si>
  <si>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</si>
  <si>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</si>
  <si>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</si>
  <si>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</si>
  <si>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</si>
  <si>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</si>
  <si>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</si>
  <si>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</si>
  <si>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</si>
  <si>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</si>
  <si>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</si>
  <si>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</si>
  <si>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</si>
  <si>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</si>
  <si>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</si>
  <si>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</si>
  <si>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</si>
  <si>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</si>
  <si>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</si>
  <si>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</si>
  <si>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</si>
  <si>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</si>
  <si>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</si>
  <si>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</si>
  <si>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</si>
  <si>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</si>
  <si>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</si>
  <si>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</si>
  <si>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</si>
  <si>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</si>
  <si>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</si>
  <si>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</si>
  <si>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</si>
  <si>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</si>
  <si>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</si>
  <si>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</si>
  <si>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</si>
  <si>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</si>
  <si>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</si>
  <si>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</si>
  <si>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</si>
  <si>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</si>
  <si>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</si>
  <si>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</si>
  <si>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</si>
  <si>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</si>
  <si>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</si>
  <si>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</si>
  <si>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</si>
  <si>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</si>
  <si>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</si>
  <si>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</si>
  <si>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</si>
  <si>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</si>
  <si>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</si>
  <si>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</si>
  <si>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</si>
  <si>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</si>
  <si>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</si>
  <si>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</si>
  <si>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</si>
  <si>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</si>
  <si>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</si>
  <si>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</si>
  <si>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</si>
  <si>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</si>
  <si>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</si>
  <si>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</si>
  <si>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</si>
  <si>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</si>
  <si>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</si>
  <si>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</si>
  <si>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</si>
  <si>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</si>
  <si>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</si>
  <si>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</si>
  <si>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</si>
  <si>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</si>
  <si>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</si>
  <si>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</si>
  <si>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</si>
  <si>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</si>
  <si>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</si>
  <si>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</si>
  <si>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</si>
  <si>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</si>
  <si>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</si>
  <si>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</si>
  <si>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</si>
  <si>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</si>
  <si>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</si>
  <si>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</si>
  <si>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</si>
  <si>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</si>
  <si>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</si>
  <si>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</si>
  <si>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</si>
  <si>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</si>
  <si>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</si>
  <si>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</si>
  <si>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</si>
  <si>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</si>
  <si>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</si>
  <si>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</si>
  <si>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</si>
  <si>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</si>
  <si>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</si>
  <si>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</si>
  <si>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</si>
  <si>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</si>
  <si>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</si>
  <si>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</si>
  <si>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</si>
  <si>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</si>
  <si>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</si>
  <si>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</si>
  <si>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</si>
  <si>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</si>
  <si>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</si>
  <si>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</si>
  <si>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</si>
  <si>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</si>
  <si>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</si>
  <si>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</si>
  <si>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</si>
  <si>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</si>
  <si>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</si>
  <si>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</si>
  <si>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</si>
  <si>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</si>
  <si>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</si>
  <si>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</si>
  <si>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</si>
  <si>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</si>
  <si>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</si>
  <si>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</si>
  <si>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</si>
  <si>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</si>
  <si>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</si>
  <si>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</si>
  <si>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</si>
  <si>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</si>
  <si>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</si>
  <si>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</si>
  <si>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</si>
  <si>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</si>
  <si>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</si>
  <si>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</si>
  <si>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</si>
  <si>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</si>
  <si>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</si>
  <si>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</si>
  <si>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</si>
  <si>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</si>
  <si>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</si>
  <si>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</si>
  <si>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</si>
  <si>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</si>
  <si>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</si>
  <si>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</si>
  <si>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</si>
  <si>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</si>
  <si>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</si>
  <si>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</si>
  <si>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</si>
  <si>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</si>
  <si>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</si>
  <si>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</si>
  <si>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</si>
  <si>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</si>
  <si>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</si>
  <si>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</si>
  <si>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</si>
  <si>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</si>
  <si>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</si>
  <si>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</si>
  <si>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</si>
  <si>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</si>
  <si>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</si>
  <si>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</si>
  <si>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</si>
  <si>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</si>
  <si>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</si>
  <si>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</si>
  <si>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</si>
  <si>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</si>
  <si>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</si>
  <si>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</si>
  <si>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</si>
  <si>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</si>
  <si>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</si>
  <si>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</si>
  <si>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</si>
  <si>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</si>
  <si>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</si>
  <si>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</si>
  <si>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</si>
  <si>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</si>
  <si>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</si>
  <si>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</si>
  <si>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</si>
  <si>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</si>
  <si>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</si>
  <si>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</si>
  <si>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</si>
  <si>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</si>
  <si>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</si>
  <si>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</si>
  <si>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</si>
  <si>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</si>
  <si>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</si>
  <si>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</si>
  <si>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</si>
  <si>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</si>
  <si>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</si>
  <si>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</si>
  <si>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</si>
  <si>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</si>
  <si>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</si>
  <si>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</si>
  <si>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</si>
  <si>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</si>
  <si>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</si>
  <si>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</si>
  <si>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</si>
  <si>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</si>
  <si>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</si>
  <si>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</si>
  <si>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</si>
  <si>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</si>
  <si>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</si>
  <si>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</si>
  <si>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</si>
  <si>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</si>
  <si>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</si>
  <si>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</si>
  <si>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</si>
  <si>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</si>
  <si>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</si>
  <si>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</si>
  <si>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</si>
  <si>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</si>
  <si>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</si>
  <si>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</si>
  <si>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</si>
  <si>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</si>
  <si>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</si>
  <si>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</si>
  <si>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</si>
  <si>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</si>
  <si>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</si>
  <si>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</si>
  <si>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</si>
  <si>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</si>
  <si>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</si>
  <si>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</si>
  <si>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</si>
  <si>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</si>
  <si>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</si>
  <si>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</si>
  <si>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</si>
  <si>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</si>
  <si>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</si>
  <si>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</si>
  <si>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</si>
  <si>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</si>
  <si>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</si>
  <si>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</si>
  <si>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</si>
  <si>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</si>
  <si>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</si>
  <si>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</si>
  <si>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</si>
  <si>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</si>
  <si>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</si>
  <si>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</si>
  <si>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</si>
  <si>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</si>
  <si>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</si>
  <si>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</si>
  <si>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</si>
  <si>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</si>
  <si>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</si>
  <si>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</si>
  <si>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</si>
  <si>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</si>
  <si>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</si>
  <si>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</si>
  <si>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</si>
  <si>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</si>
  <si>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</si>
  <si>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</si>
  <si>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</si>
  <si>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</si>
  <si>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</si>
  <si>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</si>
  <si>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</si>
  <si>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</si>
  <si>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</si>
  <si>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</si>
  <si>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</si>
  <si>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</si>
  <si>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</si>
  <si>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</si>
  <si>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</si>
  <si>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</si>
  <si>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</si>
  <si>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</si>
  <si>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</si>
  <si>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</si>
  <si>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</si>
  <si>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</si>
  <si>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</si>
  <si>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</si>
  <si>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</si>
  <si>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</si>
  <si>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</si>
  <si>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</si>
  <si>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</si>
  <si>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</si>
  <si>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</si>
  <si>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</si>
  <si>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</si>
  <si>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</si>
  <si>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</si>
  <si>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</si>
  <si>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</si>
  <si>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</si>
  <si>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</si>
  <si>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</si>
  <si>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</si>
  <si>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</si>
  <si>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</si>
  <si>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</si>
  <si>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</si>
  <si>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</si>
  <si>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</si>
  <si>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</si>
  <si>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</si>
  <si>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</si>
  <si>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</si>
  <si>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</si>
  <si>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</si>
  <si>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</si>
  <si>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バックアップ_処方データ_組み入れ第一条件から診療年月が契約開始以降の対象処方を登録する。</t>
    <rPh sb="23" eb="25">
      <t>シンリョウ</t>
    </rPh>
    <rPh sb="25" eb="27">
      <t>ネンゲツ</t>
    </rPh>
    <rPh sb="28" eb="30">
      <t>ケイヤク</t>
    </rPh>
    <rPh sb="30" eb="32">
      <t>カイシ</t>
    </rPh>
    <rPh sb="32" eb="34">
      <t>イコウ</t>
    </rPh>
    <rPh sb="35" eb="37">
      <t>タイショウ</t>
    </rPh>
    <rPh sb="37" eb="39">
      <t>ショホウ</t>
    </rPh>
    <rPh sb="40" eb="42">
      <t>トウロク</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</si>
  <si>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</si>
  <si>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</si>
  <si>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</si>
  <si>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</si>
  <si>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</si>
  <si>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</si>
  <si>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</si>
  <si>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</si>
  <si>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</si>
  <si>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</si>
  <si>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</si>
  <si>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</si>
  <si>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</si>
  <si>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</si>
  <si>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</si>
  <si>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</si>
  <si>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</si>
  <si>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</si>
  <si>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</si>
  <si>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</si>
  <si>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</si>
  <si>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</si>
  <si>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</si>
  <si>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</si>
  <si>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</si>
  <si>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</si>
  <si>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</si>
  <si>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</si>
  <si>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</si>
  <si>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</si>
  <si>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</si>
  <si>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</si>
  <si>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</si>
  <si>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</si>
  <si>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</si>
  <si>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</si>
  <si>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</si>
  <si>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</si>
  <si>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</si>
  <si>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</si>
  <si>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</si>
  <si>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</si>
  <si>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</si>
  <si>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</si>
  <si>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</si>
  <si>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</si>
  <si>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</si>
  <si>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</si>
  <si>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</si>
  <si>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</si>
  <si>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</si>
  <si>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</si>
  <si>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</si>
  <si>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</si>
  <si>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</si>
  <si>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</si>
  <si>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</si>
  <si>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</si>
  <si>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</si>
  <si>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</si>
  <si>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</si>
  <si>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</si>
  <si>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</si>
  <si>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</si>
  <si>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患者ID一覧マスタ</t>
    <rPh sb="0" eb="2">
      <t>カンジャ</t>
    </rPh>
    <rPh sb="4" eb="6">
      <t>イチラン</t>
    </rPh>
    <phoneticPr fontId="8"/>
  </si>
  <si>
    <t>31_C1-02</t>
  </si>
  <si>
    <t>31_C1-03</t>
  </si>
  <si>
    <t>31_C1-05</t>
  </si>
  <si>
    <t>31_C1-07</t>
  </si>
  <si>
    <t>31_C1-08</t>
  </si>
  <si>
    <t>milscm_2023_007</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</si>
  <si>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</si>
  <si>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</si>
  <si>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</si>
  <si>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</si>
  <si>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</si>
  <si>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</si>
  <si>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</si>
  <si>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</si>
  <si>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</si>
  <si>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</si>
  <si>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</si>
  <si>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</si>
  <si>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</si>
  <si>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</si>
  <si>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</si>
  <si>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</si>
  <si>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</si>
  <si>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</si>
  <si>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</si>
  <si>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</si>
  <si>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</si>
  <si>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</si>
  <si>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</si>
  <si>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</si>
  <si>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</si>
  <si>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</si>
  <si>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</si>
  <si>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</si>
  <si>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</si>
  <si>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</si>
  <si>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</si>
  <si>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</si>
  <si>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</si>
  <si>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</si>
  <si>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</si>
  <si>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</si>
  <si>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</si>
  <si>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</si>
  <si>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</si>
  <si>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</si>
  <si>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</si>
  <si>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</si>
  <si>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</si>
  <si>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</si>
  <si>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</si>
  <si>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</si>
  <si>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</si>
  <si>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</si>
  <si>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</si>
  <si>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</si>
  <si>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</si>
  <si>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shobyo_name_cd</t>
  </si>
  <si>
    <t>表示名</t>
    <rPh sb="0" eb="2">
      <t>ヒョウジ</t>
    </rPh>
    <rPh sb="2" eb="3">
      <t>メイ</t>
    </rPh>
    <phoneticPr fontId="0"/>
  </si>
  <si>
    <t>disp_name</t>
  </si>
  <si>
    <t>発症時期</t>
    <rPh sb="0" eb="2">
      <t>ハッショウ</t>
    </rPh>
    <rPh sb="2" eb="4">
      <t>ジキ</t>
    </rPh>
    <phoneticPr fontId="11"/>
  </si>
  <si>
    <t>hassho_jiki</t>
  </si>
  <si>
    <t>再発の有無</t>
    <rPh sb="0" eb="2">
      <t>サイハツ</t>
    </rPh>
    <rPh sb="3" eb="5">
      <t>ウム</t>
    </rPh>
    <phoneticPr fontId="11"/>
  </si>
  <si>
    <t>saihatsu_umu</t>
  </si>
  <si>
    <t>入院の有無</t>
  </si>
  <si>
    <t>nyuin_umu</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</si>
  <si>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</si>
  <si>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</si>
  <si>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</si>
  <si>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</si>
  <si>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</si>
  <si>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</si>
  <si>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組入れ_検査マスタ</t>
    <rPh sb="4" eb="6">
      <t>ケンサ</t>
    </rPh>
    <phoneticPr fontId="8"/>
  </si>
  <si>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</si>
  <si>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</si>
  <si>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</si>
  <si>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</si>
  <si>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</si>
  <si>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</si>
  <si>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</si>
  <si>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</si>
  <si>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</si>
  <si>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</si>
  <si>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</si>
  <si>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</si>
  <si>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</si>
  <si>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</si>
  <si>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</si>
  <si>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</si>
  <si>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</si>
  <si>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</si>
  <si>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</si>
  <si>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</si>
  <si>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</si>
  <si>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</si>
  <si>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</si>
  <si>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</si>
  <si>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</si>
  <si>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</si>
  <si>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バックアップ_処理対象施設マスタ管理テーブルから組入れ条件で絞り込んだ結果を登録するテーブル</t>
    <phoneticPr fontId="8"/>
  </si>
  <si>
    <t>紐付けID</t>
    <rPh sb="0" eb="2">
      <t>ヒモヅ</t>
    </rPh>
    <phoneticPr fontId="2"/>
  </si>
  <si>
    <t>全て追の組入れ条件を満たす患者一覧を登録するテーブル</t>
    <rPh sb="0" eb="1">
      <t>スベ</t>
    </rPh>
    <rPh sb="2" eb="3">
      <t>オ</t>
    </rPh>
    <rPh sb="10" eb="11">
      <t>ミ</t>
    </rPh>
    <rPh sb="18" eb="20">
      <t>トウロク</t>
    </rPh>
    <phoneticPr fontId="8"/>
  </si>
  <si>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</si>
  <si>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</si>
  <si>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</si>
  <si>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</si>
  <si>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</si>
  <si>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</si>
  <si>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</si>
  <si>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</si>
  <si>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</si>
  <si>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</si>
  <si>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</si>
  <si>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</si>
  <si>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</si>
  <si>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</si>
  <si>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</si>
  <si>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</si>
  <si>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</si>
  <si>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</si>
  <si>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</si>
  <si>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</si>
  <si>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</si>
  <si>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</si>
  <si>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</si>
  <si>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</si>
  <si>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</si>
  <si>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</si>
  <si>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</si>
  <si>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</si>
  <si>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</si>
  <si>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</si>
  <si>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ICD10細区分名称</t>
    <rPh sb="5" eb="6">
      <t>サイ</t>
    </rPh>
    <rPh sb="6" eb="8">
      <t>クブン</t>
    </rPh>
    <rPh sb="8" eb="10">
      <t>メイショウ</t>
    </rPh>
    <phoneticPr fontId="8"/>
  </si>
  <si>
    <t>icd10_ss_cd</t>
    <phoneticPr fontId="8"/>
  </si>
  <si>
    <t>icd10_ss_name</t>
    <phoneticPr fontId="8"/>
  </si>
  <si>
    <t>バックアップ_処理対象施設マスタ</t>
    <rPh sb="7" eb="9">
      <t>ショリ</t>
    </rPh>
    <rPh sb="9" eb="11">
      <t>タイショウ</t>
    </rPh>
    <rPh sb="11" eb="13">
      <t>シセツ</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</si>
</sst>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61">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0" borderId="0" xfId="1" applyFont="1">
      <alignment vertical="center"/>
    </xf>
    <xf numFmtId="0" fontId="25" fillId="0" borderId="21" xfId="1" applyFont="1" applyBorder="1" applyAlignment="1">
      <alignment vertical="center"/>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0" borderId="22" xfId="1" applyFont="1" applyBorder="1" applyAlignment="1">
      <alignment vertical="center"/>
    </xf>
    <xf numFmtId="0" fontId="14" fillId="0" borderId="23" xfId="1" applyFont="1" applyBorder="1" applyAlignment="1">
      <alignment vertical="center"/>
    </xf>
    <xf numFmtId="0" fontId="14" fillId="0" borderId="21" xfId="1" applyFont="1" applyBorder="1" applyAlignment="1">
      <alignment vertical="center"/>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0" borderId="2" xfId="1" applyFont="1" applyBorder="1" applyAlignment="1">
      <alignment horizontal="center" vertical="center" wrapText="1"/>
    </xf>
    <xf numFmtId="0" fontId="14" fillId="0" borderId="44" xfId="1" applyFont="1" applyBorder="1" applyAlignment="1">
      <alignment horizontal="center" vertical="center" wrapText="1"/>
    </xf>
    <xf numFmtId="0" fontId="14" fillId="0" borderId="39" xfId="1" applyFont="1" applyBorder="1" applyAlignment="1">
      <alignment horizontal="center" vertical="center" wrapText="1"/>
    </xf>
    <xf numFmtId="0" fontId="14" fillId="0" borderId="42" xfId="1" applyFont="1" applyBorder="1" applyAlignment="1">
      <alignment horizontal="center" vertical="center" wrapText="1"/>
    </xf>
    <xf numFmtId="0" fontId="14" fillId="0" borderId="41" xfId="1" applyFont="1" applyBorder="1" applyAlignment="1">
      <alignment horizontal="center" vertical="center" wrapText="1"/>
    </xf>
    <xf numFmtId="0" fontId="14" fillId="0" borderId="43" xfId="1" applyFont="1" applyBorder="1" applyAlignment="1">
      <alignment horizontal="center" vertical="center"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4" fillId="4" borderId="53" xfId="8" applyFont="1" applyFill="1" applyBorder="1" applyAlignment="1">
      <alignment vertical="top"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5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91"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1011</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639</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651</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663</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687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723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107</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19</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31</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21</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xdr:row>
      <xdr:rowOff>0</xdr:rowOff>
    </xdr:from>
    <xdr:ext cx="1183273"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4219575"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70</xdr:row>
      <xdr:rowOff>0</xdr:rowOff>
    </xdr:from>
    <xdr:ext cx="1183273"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73</xdr:row>
      <xdr:rowOff>0</xdr:rowOff>
    </xdr:from>
    <xdr:ext cx="1183273"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7829550"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64</xdr:row>
      <xdr:rowOff>0</xdr:rowOff>
    </xdr:from>
    <xdr:ext cx="1183273"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67</xdr:row>
      <xdr:rowOff>0</xdr:rowOff>
    </xdr:from>
    <xdr:ext cx="1183273"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94</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88</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58</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4219575" y="1381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47</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55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3199</v>
      </c>
      <c r="D3" s="80"/>
      <c r="W3" s="35" t="str">
        <f>"-- "&amp;B3&amp;" : "&amp;C3</f>
        <v>-- SQL_ID : 01_01</v>
      </c>
    </row>
    <row r="4" spans="2:23" ht="18.75" customHeight="1">
      <c r="B4" s="43" t="s">
        <v>158</v>
      </c>
      <c r="C4" s="108" t="str">
        <f>R7&amp;"登録"</f>
        <v>バックアップ_疾患データ_組み入れ第一条件登録</v>
      </c>
      <c r="D4" s="109"/>
      <c r="E4" s="109"/>
      <c r="F4" s="109"/>
      <c r="G4" s="109"/>
      <c r="H4" s="109"/>
      <c r="I4" s="109"/>
      <c r="J4" s="109"/>
      <c r="K4" s="109"/>
      <c r="L4" s="109"/>
      <c r="M4" s="109"/>
      <c r="N4" s="109"/>
      <c r="O4" s="109"/>
      <c r="P4" s="109"/>
      <c r="Q4" s="109"/>
      <c r="R4" s="109"/>
      <c r="S4" s="109"/>
      <c r="T4" s="109"/>
      <c r="U4" s="110"/>
      <c r="W4" s="35" t="str">
        <f>"-- "&amp;C4</f>
        <v>-- バックアップ_疾患データ_組み入れ第一条件登録</v>
      </c>
    </row>
    <row r="5" spans="2:23" ht="18.75" customHeight="1">
      <c r="B5" s="43" t="s">
        <v>159</v>
      </c>
      <c r="C5" s="111"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12"/>
      <c r="E5" s="112"/>
      <c r="F5" s="112"/>
      <c r="G5" s="112"/>
      <c r="H5" s="112"/>
      <c r="I5" s="112"/>
      <c r="J5" s="112"/>
      <c r="K5" s="112"/>
      <c r="L5" s="112"/>
      <c r="M5" s="112"/>
      <c r="N5" s="112"/>
      <c r="O5" s="112"/>
      <c r="P5" s="112"/>
      <c r="Q5" s="112"/>
      <c r="R5" s="112"/>
      <c r="S5" s="112"/>
      <c r="T5" s="112"/>
      <c r="U5" s="113"/>
      <c r="W5" s="35" t="str">
        <f>"-- "&amp;C5</f>
        <v>-- MML診断履歴情報モジュールからICD10コードがC900のもので絞り込んだ結果の一覧をバックアップ_疾患データ_組み入れ第一条件テーブルに格納する。</v>
      </c>
    </row>
    <row r="7" spans="2:23" ht="18.75" customHeight="1">
      <c r="C7" s="102" t="s">
        <v>3809</v>
      </c>
      <c r="D7" s="103"/>
      <c r="E7" s="114" t="s">
        <v>162</v>
      </c>
      <c r="F7" s="36"/>
      <c r="G7" s="36"/>
      <c r="H7" s="36"/>
      <c r="I7" s="36"/>
      <c r="J7" s="36"/>
      <c r="M7" s="36"/>
      <c r="N7" s="36"/>
      <c r="O7" s="36"/>
      <c r="P7" s="36"/>
      <c r="Q7" s="36"/>
      <c r="R7" s="102" t="s">
        <v>3808</v>
      </c>
      <c r="S7" s="103"/>
      <c r="T7" s="106" t="str">
        <f>エンティティ一覧!$O$2</f>
        <v>milscm_2023_009</v>
      </c>
    </row>
    <row r="8" spans="2:23" ht="18.75" customHeight="1">
      <c r="C8" s="104"/>
      <c r="D8" s="105"/>
      <c r="E8" s="115"/>
      <c r="F8" s="37"/>
      <c r="G8" s="37"/>
      <c r="H8" s="37"/>
      <c r="I8" s="37"/>
      <c r="J8" s="37"/>
      <c r="K8" s="37"/>
      <c r="L8" s="38"/>
      <c r="M8" s="37"/>
      <c r="N8" s="37"/>
      <c r="O8" s="37"/>
      <c r="P8" s="37"/>
      <c r="Q8" s="37"/>
      <c r="R8" s="104"/>
      <c r="S8" s="105"/>
      <c r="T8" s="107"/>
    </row>
    <row r="9" spans="2:23" ht="18.75" customHeight="1">
      <c r="K9" s="39"/>
      <c r="L9" s="40"/>
    </row>
    <row r="10" spans="2:23" ht="18.75" customHeight="1">
      <c r="C10" s="102" t="s">
        <v>3810</v>
      </c>
      <c r="D10" s="103"/>
      <c r="E10" s="114" t="s">
        <v>162</v>
      </c>
      <c r="F10" s="36"/>
      <c r="G10" s="36"/>
      <c r="H10" s="36"/>
      <c r="I10" s="36"/>
      <c r="J10" s="36"/>
      <c r="L10" s="41"/>
    </row>
    <row r="11" spans="2:23" ht="18.75" customHeight="1">
      <c r="C11" s="104"/>
      <c r="D11" s="105"/>
      <c r="E11" s="115"/>
      <c r="F11" s="37"/>
      <c r="G11" s="38"/>
      <c r="H11" s="37"/>
      <c r="I11" s="37"/>
      <c r="J11" s="37"/>
      <c r="K11" s="37"/>
    </row>
    <row r="12" spans="2:23" ht="18.75" customHeight="1">
      <c r="G12" s="41"/>
    </row>
    <row r="13" spans="2:23" ht="18.75" customHeight="1">
      <c r="C13" s="102" t="s">
        <v>3686</v>
      </c>
      <c r="D13" s="103"/>
      <c r="E13" s="114" t="s">
        <v>162</v>
      </c>
      <c r="F13" s="36"/>
      <c r="G13" s="41"/>
      <c r="H13" s="96"/>
      <c r="I13" s="96"/>
      <c r="J13" s="96"/>
      <c r="K13" s="96"/>
      <c r="L13" s="96"/>
    </row>
    <row r="14" spans="2:23" ht="18.75" customHeight="1">
      <c r="C14" s="104"/>
      <c r="D14" s="105"/>
      <c r="E14" s="115"/>
      <c r="F14" s="37"/>
      <c r="G14" s="96"/>
      <c r="H14" s="96"/>
      <c r="I14" s="96"/>
      <c r="J14" s="96"/>
      <c r="K14" s="96"/>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3202</v>
      </c>
      <c r="D20" s="80"/>
      <c r="W20" s="35" t="str">
        <f>"-- "&amp;B20&amp;" : "&amp;C20</f>
        <v>-- SQL_ID : 01_02</v>
      </c>
    </row>
    <row r="21" spans="2:23" ht="18.75" customHeight="1">
      <c r="B21" s="43" t="s">
        <v>158</v>
      </c>
      <c r="C21" s="108" t="str">
        <f>R24&amp;"登録"</f>
        <v>バックアップ_患者マスタ_組入れ第一条件登録</v>
      </c>
      <c r="D21" s="109"/>
      <c r="E21" s="109"/>
      <c r="F21" s="109"/>
      <c r="G21" s="109"/>
      <c r="H21" s="109"/>
      <c r="I21" s="109"/>
      <c r="J21" s="109"/>
      <c r="K21" s="109"/>
      <c r="L21" s="109"/>
      <c r="M21" s="109"/>
      <c r="N21" s="109"/>
      <c r="O21" s="109"/>
      <c r="P21" s="109"/>
      <c r="Q21" s="109"/>
      <c r="R21" s="109"/>
      <c r="S21" s="109"/>
      <c r="T21" s="109"/>
      <c r="U21" s="110"/>
      <c r="W21" s="35" t="str">
        <f>"-- "&amp;C21</f>
        <v>-- バックアップ_患者マスタ_組入れ第一条件登録</v>
      </c>
    </row>
    <row r="22" spans="2:23" ht="18.75" customHeight="1">
      <c r="B22" s="43" t="s">
        <v>159</v>
      </c>
      <c r="C22" s="111"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12"/>
      <c r="E22" s="112"/>
      <c r="F22" s="112"/>
      <c r="G22" s="112"/>
      <c r="H22" s="112"/>
      <c r="I22" s="112"/>
      <c r="J22" s="112"/>
      <c r="K22" s="112"/>
      <c r="L22" s="112"/>
      <c r="M22" s="112"/>
      <c r="N22" s="112"/>
      <c r="O22" s="112"/>
      <c r="P22" s="112"/>
      <c r="Q22" s="112"/>
      <c r="R22" s="112"/>
      <c r="S22" s="112"/>
      <c r="T22" s="112"/>
      <c r="U22" s="113"/>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02" t="s">
        <v>3200</v>
      </c>
      <c r="I24" s="103"/>
      <c r="J24" s="114" t="s">
        <v>162</v>
      </c>
      <c r="K24" s="36"/>
      <c r="M24" s="36"/>
      <c r="N24" s="36"/>
      <c r="O24" s="36"/>
      <c r="R24" s="102" t="s">
        <v>3695</v>
      </c>
      <c r="S24" s="103"/>
      <c r="T24" s="106" t="str">
        <f>エンティティ一覧!$O$2</f>
        <v>milscm_2023_009</v>
      </c>
    </row>
    <row r="25" spans="2:23" ht="18.75" customHeight="1">
      <c r="H25" s="104"/>
      <c r="I25" s="105"/>
      <c r="J25" s="115"/>
      <c r="K25" s="37"/>
      <c r="L25" s="38"/>
      <c r="M25" s="37"/>
      <c r="N25" s="37"/>
      <c r="O25" s="37"/>
      <c r="P25" s="37"/>
      <c r="Q25" s="38"/>
      <c r="R25" s="104"/>
      <c r="S25" s="105"/>
      <c r="T25" s="107"/>
    </row>
    <row r="26" spans="2:23" ht="18.75" customHeight="1">
      <c r="K26" s="39"/>
      <c r="L26" s="40"/>
      <c r="P26" s="39"/>
      <c r="Q26" s="40"/>
    </row>
    <row r="27" spans="2:23" ht="18.75" customHeight="1">
      <c r="C27" s="102" t="s">
        <v>3200</v>
      </c>
      <c r="D27" s="103"/>
      <c r="E27" s="114" t="s">
        <v>162</v>
      </c>
      <c r="H27" s="36"/>
      <c r="I27" s="36"/>
      <c r="J27" s="36"/>
      <c r="L27" s="41"/>
      <c r="P27" s="39"/>
      <c r="Q27" s="40"/>
    </row>
    <row r="28" spans="2:23" ht="18.75" customHeight="1">
      <c r="C28" s="104"/>
      <c r="D28" s="105"/>
      <c r="E28" s="115"/>
      <c r="F28" s="37"/>
      <c r="G28" s="38"/>
      <c r="H28" s="37"/>
      <c r="I28" s="37"/>
      <c r="J28" s="37"/>
      <c r="K28" s="37"/>
      <c r="P28" s="39"/>
      <c r="Q28" s="40"/>
    </row>
    <row r="29" spans="2:23" ht="18.75" customHeight="1">
      <c r="F29" s="39"/>
      <c r="G29" s="40"/>
      <c r="P29" s="39"/>
      <c r="Q29" s="40"/>
    </row>
    <row r="30" spans="2:23" ht="18.75" customHeight="1">
      <c r="C30" s="102" t="s">
        <v>3808</v>
      </c>
      <c r="D30" s="103"/>
      <c r="E30" s="106" t="str">
        <f>エンティティ一覧!$O$2</f>
        <v>milscm_2023_009</v>
      </c>
      <c r="G30" s="41"/>
      <c r="P30" s="39"/>
      <c r="Q30" s="40"/>
    </row>
    <row r="31" spans="2:23" ht="18.75" customHeight="1">
      <c r="C31" s="104"/>
      <c r="D31" s="105"/>
      <c r="E31" s="107"/>
      <c r="F31" s="37"/>
      <c r="P31" s="39"/>
      <c r="Q31" s="40"/>
    </row>
    <row r="32" spans="2:23" ht="18.75" customHeight="1">
      <c r="P32" s="39"/>
      <c r="Q32" s="40"/>
    </row>
    <row r="33" spans="2:23" ht="18.75" customHeight="1">
      <c r="M33" s="102" t="s">
        <v>3685</v>
      </c>
      <c r="N33" s="103"/>
      <c r="O33" s="114" t="s">
        <v>162</v>
      </c>
      <c r="Q33" s="41"/>
    </row>
    <row r="34" spans="2:23" ht="18.75" customHeight="1">
      <c r="M34" s="104"/>
      <c r="N34" s="105"/>
      <c r="O34" s="115"/>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3499</v>
      </c>
      <c r="D39" s="90"/>
      <c r="W39" s="35" t="str">
        <f>"-- "&amp;B39&amp;" : "&amp;C39</f>
        <v>-- SQL_ID : 01_A1-02</v>
      </c>
    </row>
    <row r="40" spans="2:23" ht="18.75" customHeight="1">
      <c r="B40" s="43" t="s">
        <v>158</v>
      </c>
      <c r="C40" s="108" t="str">
        <f>R43&amp;"登録"</f>
        <v>バックアップ_処方データ登録</v>
      </c>
      <c r="D40" s="109"/>
      <c r="E40" s="109"/>
      <c r="F40" s="109"/>
      <c r="G40" s="109"/>
      <c r="H40" s="109"/>
      <c r="I40" s="109"/>
      <c r="J40" s="109"/>
      <c r="K40" s="109"/>
      <c r="L40" s="109"/>
      <c r="M40" s="109"/>
      <c r="N40" s="109"/>
      <c r="O40" s="109"/>
      <c r="P40" s="109"/>
      <c r="Q40" s="109"/>
      <c r="R40" s="109"/>
      <c r="S40" s="109"/>
      <c r="T40" s="109"/>
      <c r="U40" s="110"/>
      <c r="W40" s="35" t="str">
        <f>"-- "&amp;C40</f>
        <v>-- バックアップ_処方データ登録</v>
      </c>
    </row>
    <row r="41" spans="2:23" ht="18.75" customHeight="1">
      <c r="B41" s="43" t="s">
        <v>159</v>
      </c>
      <c r="C41" s="111"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12"/>
      <c r="E41" s="112"/>
      <c r="F41" s="112"/>
      <c r="G41" s="112"/>
      <c r="H41" s="112"/>
      <c r="I41" s="112"/>
      <c r="J41" s="112"/>
      <c r="K41" s="112"/>
      <c r="L41" s="112"/>
      <c r="M41" s="112"/>
      <c r="N41" s="112"/>
      <c r="O41" s="112"/>
      <c r="P41" s="112"/>
      <c r="Q41" s="112"/>
      <c r="R41" s="112"/>
      <c r="S41" s="112"/>
      <c r="T41" s="112"/>
      <c r="U41" s="113"/>
      <c r="W41" s="35" t="str">
        <f>"-- "&amp;C41</f>
        <v>-- 処方データテーブルから組入れ条件の第一条件で絞り込んだ結果をバックアップ_処方データテーブルに格納する。</v>
      </c>
    </row>
    <row r="43" spans="2:23" ht="18.75" customHeight="1">
      <c r="C43" s="102" t="s">
        <v>3502</v>
      </c>
      <c r="D43" s="103"/>
      <c r="E43" s="114" t="s">
        <v>162</v>
      </c>
      <c r="H43" s="36"/>
      <c r="I43" s="36"/>
      <c r="J43" s="36"/>
      <c r="K43" s="36"/>
      <c r="L43" s="36"/>
      <c r="M43" s="36"/>
      <c r="N43" s="36"/>
      <c r="O43" s="36"/>
      <c r="P43" s="36"/>
      <c r="Q43" s="36"/>
      <c r="R43" s="102" t="str">
        <f>"バックアップ_"&amp;SUBSTITUTE(C43,"_結合","")</f>
        <v>バックアップ_処方データ</v>
      </c>
      <c r="S43" s="103"/>
      <c r="T43" s="106" t="str">
        <f>エンティティ一覧!$O$2</f>
        <v>milscm_2023_009</v>
      </c>
    </row>
    <row r="44" spans="2:23" ht="18.75" customHeight="1">
      <c r="C44" s="104"/>
      <c r="D44" s="105"/>
      <c r="E44" s="115"/>
      <c r="F44" s="37"/>
      <c r="G44" s="38"/>
      <c r="H44" s="37"/>
      <c r="I44" s="37"/>
      <c r="J44" s="37"/>
      <c r="K44" s="37"/>
      <c r="L44" s="37"/>
      <c r="M44" s="37"/>
      <c r="N44" s="37"/>
      <c r="O44" s="37"/>
      <c r="P44" s="37"/>
      <c r="Q44" s="37"/>
      <c r="R44" s="104"/>
      <c r="S44" s="105"/>
      <c r="T44" s="107"/>
    </row>
    <row r="45" spans="2:23" ht="18.75" customHeight="1">
      <c r="F45" s="39"/>
      <c r="G45" s="40"/>
    </row>
    <row r="46" spans="2:23" ht="18.75" customHeight="1">
      <c r="C46" s="102" t="s">
        <v>3201</v>
      </c>
      <c r="D46" s="103"/>
      <c r="E46" s="106" t="str">
        <f>エンティティ一覧!$O$2</f>
        <v>milscm_2023_009</v>
      </c>
      <c r="G46" s="41"/>
    </row>
    <row r="47" spans="2:23" ht="18.75" customHeight="1">
      <c r="C47" s="104"/>
      <c r="D47" s="105"/>
      <c r="E47" s="107"/>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3500</v>
      </c>
      <c r="D51" s="90"/>
      <c r="W51" s="35" t="str">
        <f>"-- "&amp;B51&amp;" : "&amp;C51</f>
        <v>-- SQL_ID : 01_A1-03</v>
      </c>
    </row>
    <row r="52" spans="2:23" ht="18.75" customHeight="1">
      <c r="B52" s="43" t="s">
        <v>158</v>
      </c>
      <c r="C52" s="108" t="str">
        <f>R55&amp;"登録"</f>
        <v>バックアップ_診療行為データ登録</v>
      </c>
      <c r="D52" s="109"/>
      <c r="E52" s="109"/>
      <c r="F52" s="109"/>
      <c r="G52" s="109"/>
      <c r="H52" s="109"/>
      <c r="I52" s="109"/>
      <c r="J52" s="109"/>
      <c r="K52" s="109"/>
      <c r="L52" s="109"/>
      <c r="M52" s="109"/>
      <c r="N52" s="109"/>
      <c r="O52" s="109"/>
      <c r="P52" s="109"/>
      <c r="Q52" s="109"/>
      <c r="R52" s="109"/>
      <c r="S52" s="109"/>
      <c r="T52" s="109"/>
      <c r="U52" s="110"/>
      <c r="W52" s="35" t="str">
        <f>"-- "&amp;C52</f>
        <v>-- バックアップ_診療行為データ登録</v>
      </c>
    </row>
    <row r="53" spans="2:23" ht="18.75" customHeight="1">
      <c r="B53" s="43" t="s">
        <v>159</v>
      </c>
      <c r="C53" s="111"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12"/>
      <c r="E53" s="112"/>
      <c r="F53" s="112"/>
      <c r="G53" s="112"/>
      <c r="H53" s="112"/>
      <c r="I53" s="112"/>
      <c r="J53" s="112"/>
      <c r="K53" s="112"/>
      <c r="L53" s="112"/>
      <c r="M53" s="112"/>
      <c r="N53" s="112"/>
      <c r="O53" s="112"/>
      <c r="P53" s="112"/>
      <c r="Q53" s="112"/>
      <c r="R53" s="112"/>
      <c r="S53" s="112"/>
      <c r="T53" s="112"/>
      <c r="U53" s="113"/>
      <c r="W53" s="35" t="str">
        <f>"-- "&amp;C53</f>
        <v>-- 診療行為データテーブルから組入れ条件の第一条件で絞り込んだ結果をバックアップ_診療行為データテーブルに格納する。</v>
      </c>
    </row>
    <row r="55" spans="2:23" ht="18.75" customHeight="1">
      <c r="C55" s="102" t="s">
        <v>3501</v>
      </c>
      <c r="D55" s="103"/>
      <c r="E55" s="114" t="s">
        <v>162</v>
      </c>
      <c r="H55" s="36"/>
      <c r="I55" s="36"/>
      <c r="J55" s="36"/>
      <c r="K55" s="36"/>
      <c r="L55" s="36"/>
      <c r="M55" s="36"/>
      <c r="N55" s="36"/>
      <c r="O55" s="36"/>
      <c r="P55" s="36"/>
      <c r="Q55" s="36"/>
      <c r="R55" s="102" t="str">
        <f>"バックアップ_"&amp;SUBSTITUTE(C55,"_結合","")</f>
        <v>バックアップ_診療行為データ</v>
      </c>
      <c r="S55" s="103"/>
      <c r="T55" s="106" t="str">
        <f>エンティティ一覧!$O$2</f>
        <v>milscm_2023_009</v>
      </c>
    </row>
    <row r="56" spans="2:23" ht="18.75" customHeight="1">
      <c r="C56" s="104"/>
      <c r="D56" s="105"/>
      <c r="E56" s="115"/>
      <c r="F56" s="37"/>
      <c r="G56" s="38"/>
      <c r="H56" s="37"/>
      <c r="I56" s="37"/>
      <c r="J56" s="37"/>
      <c r="K56" s="37"/>
      <c r="L56" s="37"/>
      <c r="M56" s="37"/>
      <c r="N56" s="37"/>
      <c r="O56" s="37"/>
      <c r="P56" s="37"/>
      <c r="Q56" s="37"/>
      <c r="R56" s="104"/>
      <c r="S56" s="105"/>
      <c r="T56" s="107"/>
    </row>
    <row r="57" spans="2:23" ht="18.75" customHeight="1">
      <c r="F57" s="39"/>
      <c r="G57" s="40"/>
    </row>
    <row r="58" spans="2:23" ht="18.75" customHeight="1">
      <c r="C58" s="102" t="s">
        <v>3201</v>
      </c>
      <c r="D58" s="103"/>
      <c r="E58" s="106" t="str">
        <f>エンティティ一覧!$O$2</f>
        <v>milscm_2023_009</v>
      </c>
      <c r="G58" s="41"/>
    </row>
    <row r="59" spans="2:23" ht="18.75" customHeight="1">
      <c r="C59" s="104"/>
      <c r="D59" s="105"/>
      <c r="E59" s="107"/>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3503</v>
      </c>
      <c r="D63" s="90"/>
      <c r="W63" s="35" t="str">
        <f>"-- "&amp;B63&amp;" : "&amp;C63</f>
        <v>-- SQL_ID : 01_A1-04</v>
      </c>
    </row>
    <row r="64" spans="2:23" ht="18.75" customHeight="1">
      <c r="B64" s="43" t="s">
        <v>158</v>
      </c>
      <c r="C64" s="108" t="str">
        <f>R67&amp;"登録"</f>
        <v>バックアップ_疾患データ登録</v>
      </c>
      <c r="D64" s="109"/>
      <c r="E64" s="109"/>
      <c r="F64" s="109"/>
      <c r="G64" s="109"/>
      <c r="H64" s="109"/>
      <c r="I64" s="109"/>
      <c r="J64" s="109"/>
      <c r="K64" s="109"/>
      <c r="L64" s="109"/>
      <c r="M64" s="109"/>
      <c r="N64" s="109"/>
      <c r="O64" s="109"/>
      <c r="P64" s="109"/>
      <c r="Q64" s="109"/>
      <c r="R64" s="109"/>
      <c r="S64" s="109"/>
      <c r="T64" s="109"/>
      <c r="U64" s="110"/>
      <c r="W64" s="35" t="str">
        <f>"-- "&amp;C64</f>
        <v>-- バックアップ_疾患データ登録</v>
      </c>
    </row>
    <row r="65" spans="2:23" ht="18.75" customHeight="1">
      <c r="B65" s="43" t="s">
        <v>159</v>
      </c>
      <c r="C65" s="111"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12"/>
      <c r="E65" s="112"/>
      <c r="F65" s="112"/>
      <c r="G65" s="112"/>
      <c r="H65" s="112"/>
      <c r="I65" s="112"/>
      <c r="J65" s="112"/>
      <c r="K65" s="112"/>
      <c r="L65" s="112"/>
      <c r="M65" s="112"/>
      <c r="N65" s="112"/>
      <c r="O65" s="112"/>
      <c r="P65" s="112"/>
      <c r="Q65" s="112"/>
      <c r="R65" s="112"/>
      <c r="S65" s="112"/>
      <c r="T65" s="112"/>
      <c r="U65" s="113"/>
      <c r="W65" s="35" t="str">
        <f>"-- "&amp;C65</f>
        <v>-- 疾患データテーブルから組入れ条件の第一条件で絞り込んだ結果をバックアップ_疾患データテーブルに格納する。</v>
      </c>
    </row>
    <row r="67" spans="2:23" ht="18.75" customHeight="1">
      <c r="C67" s="102" t="s">
        <v>3504</v>
      </c>
      <c r="D67" s="103"/>
      <c r="E67" s="114" t="s">
        <v>162</v>
      </c>
      <c r="H67" s="36"/>
      <c r="I67" s="36"/>
      <c r="J67" s="36"/>
      <c r="K67" s="36"/>
      <c r="L67" s="36"/>
      <c r="M67" s="36"/>
      <c r="N67" s="36"/>
      <c r="O67" s="36"/>
      <c r="P67" s="36"/>
      <c r="Q67" s="36"/>
      <c r="R67" s="102" t="str">
        <f>"バックアップ_"&amp;SUBSTITUTE(C67,"_結合","")</f>
        <v>バックアップ_疾患データ</v>
      </c>
      <c r="S67" s="103"/>
      <c r="T67" s="106" t="str">
        <f>エンティティ一覧!$O$2</f>
        <v>milscm_2023_009</v>
      </c>
    </row>
    <row r="68" spans="2:23" ht="18.75" customHeight="1">
      <c r="C68" s="104"/>
      <c r="D68" s="105"/>
      <c r="E68" s="115"/>
      <c r="F68" s="37"/>
      <c r="G68" s="38"/>
      <c r="H68" s="37"/>
      <c r="I68" s="37"/>
      <c r="J68" s="37"/>
      <c r="K68" s="37"/>
      <c r="L68" s="37"/>
      <c r="M68" s="37"/>
      <c r="N68" s="37"/>
      <c r="O68" s="37"/>
      <c r="P68" s="37"/>
      <c r="Q68" s="37"/>
      <c r="R68" s="104"/>
      <c r="S68" s="105"/>
      <c r="T68" s="107"/>
    </row>
    <row r="69" spans="2:23" ht="18.75" customHeight="1">
      <c r="F69" s="39"/>
      <c r="G69" s="40"/>
    </row>
    <row r="70" spans="2:23" ht="18.75" customHeight="1">
      <c r="C70" s="102" t="s">
        <v>3201</v>
      </c>
      <c r="D70" s="103"/>
      <c r="E70" s="106" t="str">
        <f>エンティティ一覧!$O$2</f>
        <v>milscm_2023_009</v>
      </c>
      <c r="G70" s="41"/>
    </row>
    <row r="71" spans="2:23" ht="18.75" customHeight="1">
      <c r="C71" s="104"/>
      <c r="D71" s="105"/>
      <c r="E71" s="107"/>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3505</v>
      </c>
      <c r="D75" s="90"/>
      <c r="W75" s="35" t="str">
        <f>"-- "&amp;B75&amp;" : "&amp;C75</f>
        <v>-- SQL_ID : 01_A1-05</v>
      </c>
    </row>
    <row r="76" spans="2:23" ht="18.75" customHeight="1">
      <c r="B76" s="43" t="s">
        <v>158</v>
      </c>
      <c r="C76" s="108" t="str">
        <f>R79&amp;"登録"</f>
        <v>バックアップ_疾患診療科データ登録</v>
      </c>
      <c r="D76" s="109"/>
      <c r="E76" s="109"/>
      <c r="F76" s="109"/>
      <c r="G76" s="109"/>
      <c r="H76" s="109"/>
      <c r="I76" s="109"/>
      <c r="J76" s="109"/>
      <c r="K76" s="109"/>
      <c r="L76" s="109"/>
      <c r="M76" s="109"/>
      <c r="N76" s="109"/>
      <c r="O76" s="109"/>
      <c r="P76" s="109"/>
      <c r="Q76" s="109"/>
      <c r="R76" s="109"/>
      <c r="S76" s="109"/>
      <c r="T76" s="109"/>
      <c r="U76" s="110"/>
      <c r="W76" s="35" t="str">
        <f>"-- "&amp;C76</f>
        <v>-- バックアップ_疾患診療科データ登録</v>
      </c>
    </row>
    <row r="77" spans="2:23" ht="18.75" customHeight="1">
      <c r="B77" s="43" t="s">
        <v>159</v>
      </c>
      <c r="C77" s="111"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12"/>
      <c r="E77" s="112"/>
      <c r="F77" s="112"/>
      <c r="G77" s="112"/>
      <c r="H77" s="112"/>
      <c r="I77" s="112"/>
      <c r="J77" s="112"/>
      <c r="K77" s="112"/>
      <c r="L77" s="112"/>
      <c r="M77" s="112"/>
      <c r="N77" s="112"/>
      <c r="O77" s="112"/>
      <c r="P77" s="112"/>
      <c r="Q77" s="112"/>
      <c r="R77" s="112"/>
      <c r="S77" s="112"/>
      <c r="T77" s="112"/>
      <c r="U77" s="113"/>
      <c r="W77" s="35" t="str">
        <f>"-- "&amp;C77</f>
        <v>-- 疾患診療科データテーブルから組入れ条件の第一条件で絞り込んだ結果をバックアップ_疾患診療科データテーブルに格納する。</v>
      </c>
    </row>
    <row r="79" spans="2:23" ht="18.75" customHeight="1">
      <c r="C79" s="102" t="s">
        <v>3506</v>
      </c>
      <c r="D79" s="103"/>
      <c r="E79" s="114" t="s">
        <v>162</v>
      </c>
      <c r="F79" s="36"/>
      <c r="G79" s="36"/>
      <c r="H79" s="36"/>
      <c r="I79" s="36"/>
      <c r="J79" s="36"/>
      <c r="K79" s="36"/>
      <c r="L79" s="36"/>
      <c r="M79" s="36"/>
      <c r="N79" s="36"/>
      <c r="O79" s="36"/>
      <c r="P79" s="36"/>
      <c r="Q79" s="36"/>
      <c r="R79" s="102" t="str">
        <f>"バックアップ_"&amp;SUBSTITUTE(C79,"_結合","")</f>
        <v>バックアップ_疾患診療科データ</v>
      </c>
      <c r="S79" s="103"/>
      <c r="T79" s="106" t="str">
        <f>エンティティ一覧!$O$2</f>
        <v>milscm_2023_009</v>
      </c>
    </row>
    <row r="80" spans="2:23" ht="18.75" customHeight="1">
      <c r="C80" s="104"/>
      <c r="D80" s="105"/>
      <c r="E80" s="115"/>
      <c r="F80" s="37"/>
      <c r="G80" s="37"/>
      <c r="H80" s="37"/>
      <c r="I80" s="37"/>
      <c r="J80" s="37"/>
      <c r="K80" s="37"/>
      <c r="L80" s="37"/>
      <c r="M80" s="37"/>
      <c r="N80" s="37"/>
      <c r="O80" s="37"/>
      <c r="P80" s="37"/>
      <c r="Q80" s="37"/>
      <c r="R80" s="104"/>
      <c r="S80" s="105"/>
      <c r="T80" s="107"/>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3507</v>
      </c>
      <c r="D84" s="90"/>
      <c r="W84" s="35" t="str">
        <f>"-- "&amp;B84&amp;" : "&amp;C84</f>
        <v>-- SQL_ID : 01_A1-06</v>
      </c>
    </row>
    <row r="85" spans="2:23" ht="18.75" customHeight="1">
      <c r="B85" s="43" t="s">
        <v>158</v>
      </c>
      <c r="C85" s="108" t="str">
        <f>R88&amp;"登録"</f>
        <v>バックアップ_入院退院データ登録</v>
      </c>
      <c r="D85" s="109"/>
      <c r="E85" s="109"/>
      <c r="F85" s="109"/>
      <c r="G85" s="109"/>
      <c r="H85" s="109"/>
      <c r="I85" s="109"/>
      <c r="J85" s="109"/>
      <c r="K85" s="109"/>
      <c r="L85" s="109"/>
      <c r="M85" s="109"/>
      <c r="N85" s="109"/>
      <c r="O85" s="109"/>
      <c r="P85" s="109"/>
      <c r="Q85" s="109"/>
      <c r="R85" s="109"/>
      <c r="S85" s="109"/>
      <c r="T85" s="109"/>
      <c r="U85" s="110"/>
      <c r="W85" s="35" t="str">
        <f>"-- "&amp;C85</f>
        <v>-- バックアップ_入院退院データ登録</v>
      </c>
    </row>
    <row r="86" spans="2:23" ht="18.75" customHeight="1">
      <c r="B86" s="43" t="s">
        <v>159</v>
      </c>
      <c r="C86" s="111"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12"/>
      <c r="E86" s="112"/>
      <c r="F86" s="112"/>
      <c r="G86" s="112"/>
      <c r="H86" s="112"/>
      <c r="I86" s="112"/>
      <c r="J86" s="112"/>
      <c r="K86" s="112"/>
      <c r="L86" s="112"/>
      <c r="M86" s="112"/>
      <c r="N86" s="112"/>
      <c r="O86" s="112"/>
      <c r="P86" s="112"/>
      <c r="Q86" s="112"/>
      <c r="R86" s="112"/>
      <c r="S86" s="112"/>
      <c r="T86" s="112"/>
      <c r="U86" s="113"/>
      <c r="W86" s="35" t="str">
        <f>"-- "&amp;C86</f>
        <v>-- 入院退院データテーブルから組入れ条件の第一条件で絞り込んだ結果をバックアップ_入院退院データテーブルに格納する。</v>
      </c>
    </row>
    <row r="88" spans="2:23" ht="18.75" customHeight="1">
      <c r="C88" s="102" t="s">
        <v>3508</v>
      </c>
      <c r="D88" s="103"/>
      <c r="E88" s="114" t="s">
        <v>162</v>
      </c>
      <c r="H88" s="36"/>
      <c r="I88" s="36"/>
      <c r="J88" s="36"/>
      <c r="K88" s="36"/>
      <c r="L88" s="36"/>
      <c r="M88" s="36"/>
      <c r="N88" s="36"/>
      <c r="O88" s="36"/>
      <c r="P88" s="36"/>
      <c r="Q88" s="36"/>
      <c r="R88" s="102" t="str">
        <f>"バックアップ_"&amp;SUBSTITUTE(C88,"_結合","")</f>
        <v>バックアップ_入院退院データ</v>
      </c>
      <c r="S88" s="103"/>
      <c r="T88" s="106" t="str">
        <f>エンティティ一覧!$O$2</f>
        <v>milscm_2023_009</v>
      </c>
    </row>
    <row r="89" spans="2:23" ht="18.75" customHeight="1">
      <c r="C89" s="104"/>
      <c r="D89" s="105"/>
      <c r="E89" s="115"/>
      <c r="F89" s="37"/>
      <c r="G89" s="38"/>
      <c r="H89" s="37"/>
      <c r="I89" s="37"/>
      <c r="J89" s="37"/>
      <c r="K89" s="37"/>
      <c r="L89" s="37"/>
      <c r="M89" s="37"/>
      <c r="N89" s="37"/>
      <c r="O89" s="37"/>
      <c r="P89" s="37"/>
      <c r="Q89" s="37"/>
      <c r="R89" s="104"/>
      <c r="S89" s="105"/>
      <c r="T89" s="107"/>
    </row>
    <row r="90" spans="2:23" ht="18.75" customHeight="1">
      <c r="F90" s="39"/>
      <c r="G90" s="40"/>
    </row>
    <row r="91" spans="2:23" ht="18.75" customHeight="1">
      <c r="C91" s="102" t="s">
        <v>3201</v>
      </c>
      <c r="D91" s="103"/>
      <c r="E91" s="106" t="str">
        <f>エンティティ一覧!$O$2</f>
        <v>milscm_2023_009</v>
      </c>
      <c r="G91" s="41"/>
    </row>
    <row r="92" spans="2:23" ht="18.75" customHeight="1">
      <c r="C92" s="104"/>
      <c r="D92" s="105"/>
      <c r="E92" s="107"/>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3509</v>
      </c>
      <c r="D96" s="90"/>
      <c r="W96" s="35" t="str">
        <f>"-- "&amp;B96&amp;" : "&amp;C96</f>
        <v>-- SQL_ID : 01_A1-07</v>
      </c>
    </row>
    <row r="97" spans="2:23" ht="18.75" customHeight="1">
      <c r="B97" s="43" t="s">
        <v>158</v>
      </c>
      <c r="C97" s="108" t="str">
        <f>R100&amp;"登録"</f>
        <v>バックアップ_二次利用DB登録患者データ登録</v>
      </c>
      <c r="D97" s="109"/>
      <c r="E97" s="109"/>
      <c r="F97" s="109"/>
      <c r="G97" s="109"/>
      <c r="H97" s="109"/>
      <c r="I97" s="109"/>
      <c r="J97" s="109"/>
      <c r="K97" s="109"/>
      <c r="L97" s="109"/>
      <c r="M97" s="109"/>
      <c r="N97" s="109"/>
      <c r="O97" s="109"/>
      <c r="P97" s="109"/>
      <c r="Q97" s="109"/>
      <c r="R97" s="109"/>
      <c r="S97" s="109"/>
      <c r="T97" s="109"/>
      <c r="U97" s="110"/>
      <c r="W97" s="35" t="str">
        <f>"-- "&amp;C97</f>
        <v>-- バックアップ_二次利用DB登録患者データ登録</v>
      </c>
    </row>
    <row r="98" spans="2:23" ht="18.75" customHeight="1">
      <c r="B98" s="43" t="s">
        <v>159</v>
      </c>
      <c r="C98" s="111"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12"/>
      <c r="E98" s="112"/>
      <c r="F98" s="112"/>
      <c r="G98" s="112"/>
      <c r="H98" s="112"/>
      <c r="I98" s="112"/>
      <c r="J98" s="112"/>
      <c r="K98" s="112"/>
      <c r="L98" s="112"/>
      <c r="M98" s="112"/>
      <c r="N98" s="112"/>
      <c r="O98" s="112"/>
      <c r="P98" s="112"/>
      <c r="Q98" s="112"/>
      <c r="R98" s="112"/>
      <c r="S98" s="112"/>
      <c r="T98" s="112"/>
      <c r="U98" s="113"/>
      <c r="W98" s="35" t="str">
        <f>"-- "&amp;C98</f>
        <v>-- 二次利用DB登録患者データテーブルから組入れ条件の第一条件で絞り込んだ結果をバックアップ_二次利用DB登録患者データテーブルに格納する。</v>
      </c>
    </row>
    <row r="100" spans="2:23" ht="18.75" customHeight="1">
      <c r="C100" s="102" t="s">
        <v>3510</v>
      </c>
      <c r="D100" s="103"/>
      <c r="E100" s="114" t="s">
        <v>162</v>
      </c>
      <c r="H100" s="36"/>
      <c r="I100" s="36"/>
      <c r="J100" s="36"/>
      <c r="K100" s="36"/>
      <c r="L100" s="36"/>
      <c r="M100" s="36"/>
      <c r="N100" s="36"/>
      <c r="O100" s="36"/>
      <c r="P100" s="36"/>
      <c r="Q100" s="36"/>
      <c r="R100" s="102" t="str">
        <f>"バックアップ_"&amp;SUBSTITUTE(C100,"_結合","")</f>
        <v>バックアップ_二次利用DB登録患者データ</v>
      </c>
      <c r="S100" s="103"/>
      <c r="T100" s="106" t="str">
        <f>エンティティ一覧!$O$2</f>
        <v>milscm_2023_009</v>
      </c>
    </row>
    <row r="101" spans="2:23" ht="18.75" customHeight="1">
      <c r="C101" s="104"/>
      <c r="D101" s="105"/>
      <c r="E101" s="115"/>
      <c r="F101" s="37"/>
      <c r="G101" s="38"/>
      <c r="H101" s="37"/>
      <c r="I101" s="37"/>
      <c r="J101" s="37"/>
      <c r="K101" s="37"/>
      <c r="L101" s="37"/>
      <c r="M101" s="37"/>
      <c r="N101" s="37"/>
      <c r="O101" s="37"/>
      <c r="P101" s="37"/>
      <c r="Q101" s="37"/>
      <c r="R101" s="104"/>
      <c r="S101" s="105"/>
      <c r="T101" s="107"/>
    </row>
    <row r="102" spans="2:23" ht="18.75" customHeight="1">
      <c r="F102" s="39"/>
      <c r="G102" s="40"/>
    </row>
    <row r="103" spans="2:23" ht="18.75" customHeight="1">
      <c r="C103" s="102" t="s">
        <v>3201</v>
      </c>
      <c r="D103" s="103"/>
      <c r="E103" s="106" t="str">
        <f>エンティティ一覧!$O$2</f>
        <v>milscm_2023_009</v>
      </c>
      <c r="G103" s="41"/>
    </row>
    <row r="104" spans="2:23" ht="18.75" customHeight="1">
      <c r="C104" s="104"/>
      <c r="D104" s="105"/>
      <c r="E104" s="107"/>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3511</v>
      </c>
      <c r="D108" s="90"/>
      <c r="W108" s="35" t="str">
        <f>"-- "&amp;B108&amp;" : "&amp;C108</f>
        <v>-- SQL_ID : 01_A1-08</v>
      </c>
    </row>
    <row r="109" spans="2:23" ht="18.75" customHeight="1">
      <c r="B109" s="43" t="s">
        <v>158</v>
      </c>
      <c r="C109" s="108" t="str">
        <f>R112&amp;"登録"</f>
        <v>バックアップ_二次利用DB登録患者データ_DPC登録</v>
      </c>
      <c r="D109" s="109"/>
      <c r="E109" s="109"/>
      <c r="F109" s="109"/>
      <c r="G109" s="109"/>
      <c r="H109" s="109"/>
      <c r="I109" s="109"/>
      <c r="J109" s="109"/>
      <c r="K109" s="109"/>
      <c r="L109" s="109"/>
      <c r="M109" s="109"/>
      <c r="N109" s="109"/>
      <c r="O109" s="109"/>
      <c r="P109" s="109"/>
      <c r="Q109" s="109"/>
      <c r="R109" s="109"/>
      <c r="S109" s="109"/>
      <c r="T109" s="109"/>
      <c r="U109" s="110"/>
      <c r="W109" s="35" t="str">
        <f>"-- "&amp;C109</f>
        <v>-- バックアップ_二次利用DB登録患者データ_DPC登録</v>
      </c>
    </row>
    <row r="110" spans="2:23" ht="18.75" customHeight="1">
      <c r="B110" s="43" t="s">
        <v>159</v>
      </c>
      <c r="C110" s="111"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12"/>
      <c r="E110" s="112"/>
      <c r="F110" s="112"/>
      <c r="G110" s="112"/>
      <c r="H110" s="112"/>
      <c r="I110" s="112"/>
      <c r="J110" s="112"/>
      <c r="K110" s="112"/>
      <c r="L110" s="112"/>
      <c r="M110" s="112"/>
      <c r="N110" s="112"/>
      <c r="O110" s="112"/>
      <c r="P110" s="112"/>
      <c r="Q110" s="112"/>
      <c r="R110" s="112"/>
      <c r="S110" s="112"/>
      <c r="T110" s="112"/>
      <c r="U110" s="113"/>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02" t="s">
        <v>3512</v>
      </c>
      <c r="D112" s="103"/>
      <c r="E112" s="114" t="s">
        <v>162</v>
      </c>
      <c r="H112" s="36"/>
      <c r="I112" s="36"/>
      <c r="J112" s="36"/>
      <c r="K112" s="36"/>
      <c r="L112" s="36"/>
      <c r="M112" s="36"/>
      <c r="N112" s="36"/>
      <c r="O112" s="36"/>
      <c r="P112" s="36"/>
      <c r="Q112" s="36"/>
      <c r="R112" s="102" t="str">
        <f>"バックアップ_"&amp;SUBSTITUTE(C112,"_結合","")</f>
        <v>バックアップ_二次利用DB登録患者データ_DPC</v>
      </c>
      <c r="S112" s="103"/>
      <c r="T112" s="106" t="str">
        <f>エンティティ一覧!$O$2</f>
        <v>milscm_2023_009</v>
      </c>
    </row>
    <row r="113" spans="2:23" ht="18.75" customHeight="1">
      <c r="C113" s="104"/>
      <c r="D113" s="105"/>
      <c r="E113" s="115"/>
      <c r="F113" s="37"/>
      <c r="G113" s="38"/>
      <c r="H113" s="37"/>
      <c r="I113" s="37"/>
      <c r="J113" s="37"/>
      <c r="K113" s="37"/>
      <c r="L113" s="37"/>
      <c r="M113" s="37"/>
      <c r="N113" s="37"/>
      <c r="O113" s="37"/>
      <c r="P113" s="37"/>
      <c r="Q113" s="37"/>
      <c r="R113" s="104"/>
      <c r="S113" s="105"/>
      <c r="T113" s="107"/>
    </row>
    <row r="114" spans="2:23" ht="18.75" customHeight="1">
      <c r="F114" s="39"/>
      <c r="G114" s="40"/>
    </row>
    <row r="115" spans="2:23" ht="18.75" customHeight="1">
      <c r="C115" s="102" t="s">
        <v>3201</v>
      </c>
      <c r="D115" s="103"/>
      <c r="E115" s="106" t="str">
        <f>エンティティ一覧!$O$2</f>
        <v>milscm_2023_009</v>
      </c>
      <c r="G115" s="41"/>
    </row>
    <row r="116" spans="2:23" ht="18.75" customHeight="1">
      <c r="C116" s="104"/>
      <c r="D116" s="105"/>
      <c r="E116" s="107"/>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3513</v>
      </c>
      <c r="D120" s="90"/>
      <c r="W120" s="35" t="str">
        <f>"-- "&amp;B120&amp;" : "&amp;C120</f>
        <v>-- SQL_ID : 01_A1-09</v>
      </c>
    </row>
    <row r="121" spans="2:23" ht="18.75" customHeight="1">
      <c r="B121" s="43" t="s">
        <v>158</v>
      </c>
      <c r="C121" s="108" t="str">
        <f>R124&amp;"登録"</f>
        <v>バックアップ_二次利用DB登録患者データ_レセプト登録</v>
      </c>
      <c r="D121" s="109"/>
      <c r="E121" s="109"/>
      <c r="F121" s="109"/>
      <c r="G121" s="109"/>
      <c r="H121" s="109"/>
      <c r="I121" s="109"/>
      <c r="J121" s="109"/>
      <c r="K121" s="109"/>
      <c r="L121" s="109"/>
      <c r="M121" s="109"/>
      <c r="N121" s="109"/>
      <c r="O121" s="109"/>
      <c r="P121" s="109"/>
      <c r="Q121" s="109"/>
      <c r="R121" s="109"/>
      <c r="S121" s="109"/>
      <c r="T121" s="109"/>
      <c r="U121" s="110"/>
      <c r="W121" s="35" t="str">
        <f>"-- "&amp;C121</f>
        <v>-- バックアップ_二次利用DB登録患者データ_レセプト登録</v>
      </c>
    </row>
    <row r="122" spans="2:23" ht="18.75" customHeight="1">
      <c r="B122" s="43" t="s">
        <v>159</v>
      </c>
      <c r="C122" s="111"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12"/>
      <c r="E122" s="112"/>
      <c r="F122" s="112"/>
      <c r="G122" s="112"/>
      <c r="H122" s="112"/>
      <c r="I122" s="112"/>
      <c r="J122" s="112"/>
      <c r="K122" s="112"/>
      <c r="L122" s="112"/>
      <c r="M122" s="112"/>
      <c r="N122" s="112"/>
      <c r="O122" s="112"/>
      <c r="P122" s="112"/>
      <c r="Q122" s="112"/>
      <c r="R122" s="112"/>
      <c r="S122" s="112"/>
      <c r="T122" s="112"/>
      <c r="U122" s="113"/>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02" t="s">
        <v>3514</v>
      </c>
      <c r="D124" s="103"/>
      <c r="E124" s="114" t="s">
        <v>162</v>
      </c>
      <c r="H124" s="36"/>
      <c r="I124" s="36"/>
      <c r="J124" s="36"/>
      <c r="K124" s="36"/>
      <c r="L124" s="36"/>
      <c r="M124" s="36"/>
      <c r="N124" s="36"/>
      <c r="O124" s="36"/>
      <c r="P124" s="36"/>
      <c r="Q124" s="36"/>
      <c r="R124" s="102" t="str">
        <f>"バックアップ_"&amp;SUBSTITUTE(C124,"_結合","")</f>
        <v>バックアップ_二次利用DB登録患者データ_レセプト</v>
      </c>
      <c r="S124" s="103"/>
      <c r="T124" s="106" t="str">
        <f>エンティティ一覧!$O$2</f>
        <v>milscm_2023_009</v>
      </c>
    </row>
    <row r="125" spans="2:23" ht="18.75" customHeight="1">
      <c r="C125" s="104"/>
      <c r="D125" s="105"/>
      <c r="E125" s="115"/>
      <c r="F125" s="37"/>
      <c r="G125" s="38"/>
      <c r="H125" s="37"/>
      <c r="I125" s="37"/>
      <c r="J125" s="37"/>
      <c r="K125" s="37"/>
      <c r="L125" s="37"/>
      <c r="M125" s="37"/>
      <c r="N125" s="37"/>
      <c r="O125" s="37"/>
      <c r="P125" s="37"/>
      <c r="Q125" s="37"/>
      <c r="R125" s="104"/>
      <c r="S125" s="105"/>
      <c r="T125" s="107"/>
    </row>
    <row r="126" spans="2:23" ht="18.75" customHeight="1">
      <c r="F126" s="39"/>
      <c r="G126" s="40"/>
    </row>
    <row r="127" spans="2:23" ht="18.75" customHeight="1">
      <c r="C127" s="102" t="s">
        <v>3201</v>
      </c>
      <c r="D127" s="103"/>
      <c r="E127" s="106" t="str">
        <f>エンティティ一覧!$O$2</f>
        <v>milscm_2023_009</v>
      </c>
      <c r="G127" s="41"/>
    </row>
    <row r="128" spans="2:23" ht="18.75" customHeight="1">
      <c r="C128" s="104"/>
      <c r="D128" s="105"/>
      <c r="E128" s="107"/>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3515</v>
      </c>
      <c r="D132" s="90"/>
      <c r="W132" s="35" t="str">
        <f>"-- "&amp;B132&amp;" : "&amp;C132</f>
        <v>-- SQL_ID : 01_A1-10</v>
      </c>
    </row>
    <row r="133" spans="2:23" ht="18.75" customHeight="1">
      <c r="B133" s="43" t="s">
        <v>158</v>
      </c>
      <c r="C133" s="108" t="str">
        <f>R136&amp;"登録"</f>
        <v>バックアップ_二次利用DB登録患者データ_MML登録</v>
      </c>
      <c r="D133" s="109"/>
      <c r="E133" s="109"/>
      <c r="F133" s="109"/>
      <c r="G133" s="109"/>
      <c r="H133" s="109"/>
      <c r="I133" s="109"/>
      <c r="J133" s="109"/>
      <c r="K133" s="109"/>
      <c r="L133" s="109"/>
      <c r="M133" s="109"/>
      <c r="N133" s="109"/>
      <c r="O133" s="109"/>
      <c r="P133" s="109"/>
      <c r="Q133" s="109"/>
      <c r="R133" s="109"/>
      <c r="S133" s="109"/>
      <c r="T133" s="109"/>
      <c r="U133" s="110"/>
      <c r="W133" s="35" t="str">
        <f>"-- "&amp;C133</f>
        <v>-- バックアップ_二次利用DB登録患者データ_MML登録</v>
      </c>
    </row>
    <row r="134" spans="2:23" ht="18.75" customHeight="1">
      <c r="B134" s="43" t="s">
        <v>159</v>
      </c>
      <c r="C134" s="111"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12"/>
      <c r="E134" s="112"/>
      <c r="F134" s="112"/>
      <c r="G134" s="112"/>
      <c r="H134" s="112"/>
      <c r="I134" s="112"/>
      <c r="J134" s="112"/>
      <c r="K134" s="112"/>
      <c r="L134" s="112"/>
      <c r="M134" s="112"/>
      <c r="N134" s="112"/>
      <c r="O134" s="112"/>
      <c r="P134" s="112"/>
      <c r="Q134" s="112"/>
      <c r="R134" s="112"/>
      <c r="S134" s="112"/>
      <c r="T134" s="112"/>
      <c r="U134" s="113"/>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02" t="s">
        <v>3516</v>
      </c>
      <c r="D136" s="103"/>
      <c r="E136" s="114" t="s">
        <v>162</v>
      </c>
      <c r="H136" s="36"/>
      <c r="I136" s="36"/>
      <c r="J136" s="36"/>
      <c r="K136" s="36"/>
      <c r="L136" s="36"/>
      <c r="M136" s="36"/>
      <c r="N136" s="36"/>
      <c r="O136" s="36"/>
      <c r="P136" s="36"/>
      <c r="Q136" s="36"/>
      <c r="R136" s="102" t="str">
        <f>"バックアップ_"&amp;SUBSTITUTE(C136,"_結合","")</f>
        <v>バックアップ_二次利用DB登録患者データ_MML</v>
      </c>
      <c r="S136" s="103"/>
      <c r="T136" s="106" t="str">
        <f>エンティティ一覧!$O$2</f>
        <v>milscm_2023_009</v>
      </c>
    </row>
    <row r="137" spans="2:23" ht="18.75" customHeight="1">
      <c r="C137" s="104"/>
      <c r="D137" s="105"/>
      <c r="E137" s="115"/>
      <c r="F137" s="37"/>
      <c r="G137" s="38"/>
      <c r="H137" s="37"/>
      <c r="I137" s="37"/>
      <c r="J137" s="37"/>
      <c r="K137" s="37"/>
      <c r="L137" s="37"/>
      <c r="M137" s="37"/>
      <c r="N137" s="37"/>
      <c r="O137" s="37"/>
      <c r="P137" s="37"/>
      <c r="Q137" s="37"/>
      <c r="R137" s="104"/>
      <c r="S137" s="105"/>
      <c r="T137" s="107"/>
    </row>
    <row r="138" spans="2:23" ht="18.75" customHeight="1">
      <c r="F138" s="39"/>
      <c r="G138" s="40"/>
    </row>
    <row r="139" spans="2:23" ht="18.75" customHeight="1">
      <c r="C139" s="102" t="s">
        <v>3201</v>
      </c>
      <c r="D139" s="103"/>
      <c r="E139" s="106" t="str">
        <f>エンティティ一覧!$O$2</f>
        <v>milscm_2023_009</v>
      </c>
      <c r="G139" s="41"/>
    </row>
    <row r="140" spans="2:23" ht="18.75" customHeight="1">
      <c r="C140" s="104"/>
      <c r="D140" s="105"/>
      <c r="E140" s="107"/>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3517</v>
      </c>
      <c r="D144" s="90"/>
      <c r="W144" s="35" t="str">
        <f>"-- "&amp;B144&amp;" : "&amp;C144</f>
        <v>-- SQL_ID : 01_A1-11</v>
      </c>
    </row>
    <row r="145" spans="2:23" ht="18.75" customHeight="1">
      <c r="B145" s="43" t="s">
        <v>158</v>
      </c>
      <c r="C145" s="108" t="str">
        <f>R148&amp;"登録"</f>
        <v>バックアップ_二次利用DB登録患者紐付けデータ登録</v>
      </c>
      <c r="D145" s="109"/>
      <c r="E145" s="109"/>
      <c r="F145" s="109"/>
      <c r="G145" s="109"/>
      <c r="H145" s="109"/>
      <c r="I145" s="109"/>
      <c r="J145" s="109"/>
      <c r="K145" s="109"/>
      <c r="L145" s="109"/>
      <c r="M145" s="109"/>
      <c r="N145" s="109"/>
      <c r="O145" s="109"/>
      <c r="P145" s="109"/>
      <c r="Q145" s="109"/>
      <c r="R145" s="109"/>
      <c r="S145" s="109"/>
      <c r="T145" s="109"/>
      <c r="U145" s="110"/>
      <c r="W145" s="35" t="str">
        <f>"-- "&amp;C145</f>
        <v>-- バックアップ_二次利用DB登録患者紐付けデータ登録</v>
      </c>
    </row>
    <row r="146" spans="2:23" ht="18.75" customHeight="1">
      <c r="B146" s="43" t="s">
        <v>159</v>
      </c>
      <c r="C146" s="111"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12"/>
      <c r="E146" s="112"/>
      <c r="F146" s="112"/>
      <c r="G146" s="112"/>
      <c r="H146" s="112"/>
      <c r="I146" s="112"/>
      <c r="J146" s="112"/>
      <c r="K146" s="112"/>
      <c r="L146" s="112"/>
      <c r="M146" s="112"/>
      <c r="N146" s="112"/>
      <c r="O146" s="112"/>
      <c r="P146" s="112"/>
      <c r="Q146" s="112"/>
      <c r="R146" s="112"/>
      <c r="S146" s="112"/>
      <c r="T146" s="112"/>
      <c r="U146" s="113"/>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02" t="s">
        <v>3518</v>
      </c>
      <c r="D148" s="103"/>
      <c r="E148" s="114" t="s">
        <v>162</v>
      </c>
      <c r="H148" s="36"/>
      <c r="I148" s="36"/>
      <c r="J148" s="36"/>
      <c r="K148" s="36"/>
      <c r="L148" s="36"/>
      <c r="M148" s="36"/>
      <c r="N148" s="36"/>
      <c r="O148" s="36"/>
      <c r="P148" s="36"/>
      <c r="Q148" s="36"/>
      <c r="R148" s="102" t="str">
        <f>"バックアップ_"&amp;SUBSTITUTE(C148,"_結合","")</f>
        <v>バックアップ_二次利用DB登録患者紐付けデータ</v>
      </c>
      <c r="S148" s="103"/>
      <c r="T148" s="106" t="str">
        <f>エンティティ一覧!$O$2</f>
        <v>milscm_2023_009</v>
      </c>
    </row>
    <row r="149" spans="2:23" ht="18.75" customHeight="1">
      <c r="C149" s="104"/>
      <c r="D149" s="105"/>
      <c r="E149" s="115"/>
      <c r="F149" s="37"/>
      <c r="G149" s="38"/>
      <c r="H149" s="37"/>
      <c r="I149" s="37"/>
      <c r="J149" s="37"/>
      <c r="K149" s="37"/>
      <c r="L149" s="37"/>
      <c r="M149" s="37"/>
      <c r="N149" s="37"/>
      <c r="O149" s="37"/>
      <c r="P149" s="37"/>
      <c r="Q149" s="37"/>
      <c r="R149" s="104"/>
      <c r="S149" s="105"/>
      <c r="T149" s="107"/>
    </row>
    <row r="150" spans="2:23" ht="18.75" customHeight="1">
      <c r="F150" s="39"/>
      <c r="G150" s="40"/>
    </row>
    <row r="151" spans="2:23" ht="18.75" customHeight="1">
      <c r="C151" s="102" t="s">
        <v>3201</v>
      </c>
      <c r="D151" s="103"/>
      <c r="E151" s="106" t="str">
        <f>エンティティ一覧!$O$2</f>
        <v>milscm_2023_009</v>
      </c>
      <c r="G151" s="41"/>
    </row>
    <row r="152" spans="2:23" ht="18.75" customHeight="1">
      <c r="C152" s="104"/>
      <c r="D152" s="105"/>
      <c r="E152" s="107"/>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3519</v>
      </c>
      <c r="D156" s="90"/>
      <c r="W156" s="35" t="str">
        <f>"-- "&amp;B156&amp;" : "&amp;C156</f>
        <v>-- SQL_ID : 01_A1-13</v>
      </c>
    </row>
    <row r="157" spans="2:23" ht="18.75" customHeight="1">
      <c r="B157" s="43" t="s">
        <v>158</v>
      </c>
      <c r="C157" s="108" t="str">
        <f>R160&amp;"登録"</f>
        <v>バックアップ_エラー患者データ登録</v>
      </c>
      <c r="D157" s="109"/>
      <c r="E157" s="109"/>
      <c r="F157" s="109"/>
      <c r="G157" s="109"/>
      <c r="H157" s="109"/>
      <c r="I157" s="109"/>
      <c r="J157" s="109"/>
      <c r="K157" s="109"/>
      <c r="L157" s="109"/>
      <c r="M157" s="109"/>
      <c r="N157" s="109"/>
      <c r="O157" s="109"/>
      <c r="P157" s="109"/>
      <c r="Q157" s="109"/>
      <c r="R157" s="109"/>
      <c r="S157" s="109"/>
      <c r="T157" s="109"/>
      <c r="U157" s="110"/>
      <c r="W157" s="35" t="str">
        <f>"-- "&amp;C157</f>
        <v>-- バックアップ_エラー患者データ登録</v>
      </c>
    </row>
    <row r="158" spans="2:23" ht="18.75" customHeight="1">
      <c r="B158" s="43" t="s">
        <v>159</v>
      </c>
      <c r="C158" s="111"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12"/>
      <c r="E158" s="112"/>
      <c r="F158" s="112"/>
      <c r="G158" s="112"/>
      <c r="H158" s="112"/>
      <c r="I158" s="112"/>
      <c r="J158" s="112"/>
      <c r="K158" s="112"/>
      <c r="L158" s="112"/>
      <c r="M158" s="112"/>
      <c r="N158" s="112"/>
      <c r="O158" s="112"/>
      <c r="P158" s="112"/>
      <c r="Q158" s="112"/>
      <c r="R158" s="112"/>
      <c r="S158" s="112"/>
      <c r="T158" s="112"/>
      <c r="U158" s="113"/>
      <c r="W158" s="35" t="str">
        <f>"-- "&amp;C158</f>
        <v>-- エラー患者データテーブルから組入れ条件の第一条件で絞り込んだ結果をバックアップ_エラー患者データテーブルに格納する。</v>
      </c>
    </row>
    <row r="160" spans="2:23" ht="18.75" customHeight="1">
      <c r="C160" s="102" t="s">
        <v>3520</v>
      </c>
      <c r="D160" s="103"/>
      <c r="E160" s="114" t="s">
        <v>162</v>
      </c>
      <c r="H160" s="36"/>
      <c r="I160" s="36"/>
      <c r="J160" s="36"/>
      <c r="K160" s="36"/>
      <c r="L160" s="36"/>
      <c r="M160" s="36"/>
      <c r="N160" s="36"/>
      <c r="O160" s="36"/>
      <c r="P160" s="36"/>
      <c r="Q160" s="36"/>
      <c r="R160" s="102" t="str">
        <f>"バックアップ_"&amp;SUBSTITUTE(C160,"_結合","")</f>
        <v>バックアップ_エラー患者データ</v>
      </c>
      <c r="S160" s="103"/>
      <c r="T160" s="106" t="str">
        <f>エンティティ一覧!$O$2</f>
        <v>milscm_2023_009</v>
      </c>
    </row>
    <row r="161" spans="2:23" ht="18.75" customHeight="1">
      <c r="C161" s="104"/>
      <c r="D161" s="105"/>
      <c r="E161" s="115"/>
      <c r="F161" s="37"/>
      <c r="G161" s="38"/>
      <c r="H161" s="37"/>
      <c r="I161" s="37"/>
      <c r="J161" s="37"/>
      <c r="K161" s="37"/>
      <c r="L161" s="37"/>
      <c r="M161" s="37"/>
      <c r="N161" s="37"/>
      <c r="O161" s="37"/>
      <c r="P161" s="37"/>
      <c r="Q161" s="37"/>
      <c r="R161" s="104"/>
      <c r="S161" s="105"/>
      <c r="T161" s="107"/>
    </row>
    <row r="162" spans="2:23" ht="18.75" customHeight="1">
      <c r="F162" s="39"/>
      <c r="G162" s="40"/>
    </row>
    <row r="163" spans="2:23" ht="18.75" customHeight="1">
      <c r="C163" s="102" t="s">
        <v>3201</v>
      </c>
      <c r="D163" s="103"/>
      <c r="E163" s="106" t="str">
        <f>エンティティ一覧!$O$2</f>
        <v>milscm_2023_009</v>
      </c>
      <c r="G163" s="41"/>
    </row>
    <row r="164" spans="2:23" ht="18.75" customHeight="1">
      <c r="C164" s="104"/>
      <c r="D164" s="105"/>
      <c r="E164" s="107"/>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3521</v>
      </c>
      <c r="D168" s="90"/>
      <c r="W168" s="35" t="str">
        <f>"-- "&amp;B168&amp;" : "&amp;C168</f>
        <v>-- SQL_ID : 01_A1-14</v>
      </c>
    </row>
    <row r="169" spans="2:23" ht="18.75" customHeight="1">
      <c r="B169" s="43" t="s">
        <v>158</v>
      </c>
      <c r="C169" s="108" t="str">
        <f>R172&amp;"登録"</f>
        <v>バックアップ_患者基本データ登録</v>
      </c>
      <c r="D169" s="109"/>
      <c r="E169" s="109"/>
      <c r="F169" s="109"/>
      <c r="G169" s="109"/>
      <c r="H169" s="109"/>
      <c r="I169" s="109"/>
      <c r="J169" s="109"/>
      <c r="K169" s="109"/>
      <c r="L169" s="109"/>
      <c r="M169" s="109"/>
      <c r="N169" s="109"/>
      <c r="O169" s="109"/>
      <c r="P169" s="109"/>
      <c r="Q169" s="109"/>
      <c r="R169" s="109"/>
      <c r="S169" s="109"/>
      <c r="T169" s="109"/>
      <c r="U169" s="110"/>
      <c r="W169" s="35" t="str">
        <f>"-- "&amp;C169</f>
        <v>-- バックアップ_患者基本データ登録</v>
      </c>
    </row>
    <row r="170" spans="2:23" ht="18.75" customHeight="1">
      <c r="B170" s="43" t="s">
        <v>159</v>
      </c>
      <c r="C170" s="111"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12"/>
      <c r="E170" s="112"/>
      <c r="F170" s="112"/>
      <c r="G170" s="112"/>
      <c r="H170" s="112"/>
      <c r="I170" s="112"/>
      <c r="J170" s="112"/>
      <c r="K170" s="112"/>
      <c r="L170" s="112"/>
      <c r="M170" s="112"/>
      <c r="N170" s="112"/>
      <c r="O170" s="112"/>
      <c r="P170" s="112"/>
      <c r="Q170" s="112"/>
      <c r="R170" s="112"/>
      <c r="S170" s="112"/>
      <c r="T170" s="112"/>
      <c r="U170" s="113"/>
      <c r="W170" s="35" t="str">
        <f>"-- "&amp;C170</f>
        <v>-- 患者基本データテーブルから組入れ条件の第一条件で絞り込んだ結果をバックアップ_患者基本データテーブルに格納する。</v>
      </c>
    </row>
    <row r="172" spans="2:23" ht="18.75" customHeight="1">
      <c r="C172" s="102" t="s">
        <v>3522</v>
      </c>
      <c r="D172" s="103"/>
      <c r="E172" s="114" t="s">
        <v>162</v>
      </c>
      <c r="H172" s="36"/>
      <c r="I172" s="36"/>
      <c r="J172" s="36"/>
      <c r="K172" s="36"/>
      <c r="L172" s="36"/>
      <c r="M172" s="36"/>
      <c r="N172" s="36"/>
      <c r="O172" s="36"/>
      <c r="P172" s="36"/>
      <c r="Q172" s="36"/>
      <c r="R172" s="102" t="str">
        <f>"バックアップ_"&amp;SUBSTITUTE(C172,"_結合","")</f>
        <v>バックアップ_患者基本データ</v>
      </c>
      <c r="S172" s="103"/>
      <c r="T172" s="106" t="str">
        <f>エンティティ一覧!$O$2</f>
        <v>milscm_2023_009</v>
      </c>
    </row>
    <row r="173" spans="2:23" ht="18.75" customHeight="1">
      <c r="C173" s="104"/>
      <c r="D173" s="105"/>
      <c r="E173" s="115"/>
      <c r="F173" s="37"/>
      <c r="G173" s="38"/>
      <c r="H173" s="37"/>
      <c r="I173" s="37"/>
      <c r="J173" s="37"/>
      <c r="K173" s="37"/>
      <c r="L173" s="37"/>
      <c r="M173" s="37"/>
      <c r="N173" s="37"/>
      <c r="O173" s="37"/>
      <c r="P173" s="37"/>
      <c r="Q173" s="37"/>
      <c r="R173" s="104"/>
      <c r="S173" s="105"/>
      <c r="T173" s="107"/>
    </row>
    <row r="174" spans="2:23" ht="18.75" customHeight="1">
      <c r="F174" s="39"/>
      <c r="G174" s="40"/>
    </row>
    <row r="175" spans="2:23" ht="18.75" customHeight="1">
      <c r="C175" s="102" t="s">
        <v>3201</v>
      </c>
      <c r="D175" s="103"/>
      <c r="E175" s="106" t="str">
        <f>エンティティ一覧!$O$2</f>
        <v>milscm_2023_009</v>
      </c>
      <c r="G175" s="41"/>
    </row>
    <row r="176" spans="2:23" ht="18.75" customHeight="1">
      <c r="C176" s="104"/>
      <c r="D176" s="105"/>
      <c r="E176" s="107"/>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3523</v>
      </c>
      <c r="D180" s="90"/>
      <c r="W180" s="35" t="str">
        <f>"-- "&amp;B180&amp;" : "&amp;C180</f>
        <v>-- SQL_ID : 01_A3-02</v>
      </c>
    </row>
    <row r="181" spans="2:23" ht="18.75" customHeight="1">
      <c r="B181" s="43" t="s">
        <v>158</v>
      </c>
      <c r="C181" s="108" t="str">
        <f>R184&amp;"登録"</f>
        <v>バックアップ_施設属性マスタ取込用登録</v>
      </c>
      <c r="D181" s="109"/>
      <c r="E181" s="109"/>
      <c r="F181" s="109"/>
      <c r="G181" s="109"/>
      <c r="H181" s="109"/>
      <c r="I181" s="109"/>
      <c r="J181" s="109"/>
      <c r="K181" s="109"/>
      <c r="L181" s="109"/>
      <c r="M181" s="109"/>
      <c r="N181" s="109"/>
      <c r="O181" s="109"/>
      <c r="P181" s="109"/>
      <c r="Q181" s="109"/>
      <c r="R181" s="109"/>
      <c r="S181" s="109"/>
      <c r="T181" s="109"/>
      <c r="U181" s="110"/>
      <c r="W181" s="35" t="str">
        <f>"-- "&amp;C181</f>
        <v>-- バックアップ_施設属性マスタ取込用登録</v>
      </c>
    </row>
    <row r="182" spans="2:23" ht="18.75" customHeight="1">
      <c r="B182" s="43" t="s">
        <v>159</v>
      </c>
      <c r="C182" s="111" t="str">
        <f>C184&amp;"テーブルのレコードを"&amp;R184&amp;"テーブルに格納する。"</f>
        <v>施設属性マスタ取込用テーブルのレコードをバックアップ_施設属性マスタ取込用テーブルに格納する。</v>
      </c>
      <c r="D182" s="112"/>
      <c r="E182" s="112"/>
      <c r="F182" s="112"/>
      <c r="G182" s="112"/>
      <c r="H182" s="112"/>
      <c r="I182" s="112"/>
      <c r="J182" s="112"/>
      <c r="K182" s="112"/>
      <c r="L182" s="112"/>
      <c r="M182" s="112"/>
      <c r="N182" s="112"/>
      <c r="O182" s="112"/>
      <c r="P182" s="112"/>
      <c r="Q182" s="112"/>
      <c r="R182" s="112"/>
      <c r="S182" s="112"/>
      <c r="T182" s="112"/>
      <c r="U182" s="113"/>
      <c r="W182" s="35" t="str">
        <f>"-- "&amp;C182</f>
        <v>-- 施設属性マスタ取込用テーブルのレコードをバックアップ_施設属性マスタ取込用テーブルに格納する。</v>
      </c>
    </row>
    <row r="184" spans="2:23" ht="18.75" customHeight="1">
      <c r="C184" s="102" t="s">
        <v>3524</v>
      </c>
      <c r="D184" s="103"/>
      <c r="E184" s="114" t="s">
        <v>162</v>
      </c>
      <c r="F184" s="36"/>
      <c r="G184" s="36"/>
      <c r="H184" s="36"/>
      <c r="I184" s="36"/>
      <c r="J184" s="36"/>
      <c r="K184" s="36"/>
      <c r="L184" s="36"/>
      <c r="M184" s="36"/>
      <c r="N184" s="36"/>
      <c r="O184" s="36"/>
      <c r="P184" s="36"/>
      <c r="Q184" s="36"/>
      <c r="R184" s="102" t="str">
        <f>"バックアップ_"&amp;SUBSTITUTE(C184,"_結合","")</f>
        <v>バックアップ_施設属性マスタ取込用</v>
      </c>
      <c r="S184" s="103"/>
      <c r="T184" s="106" t="str">
        <f>エンティティ一覧!$O$2</f>
        <v>milscm_2023_009</v>
      </c>
    </row>
    <row r="185" spans="2:23" ht="18.75" customHeight="1">
      <c r="C185" s="104"/>
      <c r="D185" s="105"/>
      <c r="E185" s="115"/>
      <c r="F185" s="37"/>
      <c r="G185" s="37"/>
      <c r="H185" s="37"/>
      <c r="I185" s="37"/>
      <c r="J185" s="37"/>
      <c r="K185" s="37"/>
      <c r="L185" s="37"/>
      <c r="M185" s="37"/>
      <c r="N185" s="37"/>
      <c r="O185" s="37"/>
      <c r="P185" s="37"/>
      <c r="Q185" s="37"/>
      <c r="R185" s="104"/>
      <c r="S185" s="105"/>
      <c r="T185" s="107"/>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3525</v>
      </c>
      <c r="D189" s="90"/>
      <c r="W189" s="35" t="str">
        <f>"-- "&amp;B189&amp;" : "&amp;C189</f>
        <v>-- SQL_ID : 01_A3-03</v>
      </c>
    </row>
    <row r="190" spans="2:23" ht="18.75" customHeight="1">
      <c r="B190" s="43" t="s">
        <v>158</v>
      </c>
      <c r="C190" s="108" t="str">
        <f>R193&amp;"登録"</f>
        <v>バックアップ_二次医療圏マスタ取込用登録</v>
      </c>
      <c r="D190" s="109"/>
      <c r="E190" s="109"/>
      <c r="F190" s="109"/>
      <c r="G190" s="109"/>
      <c r="H190" s="109"/>
      <c r="I190" s="109"/>
      <c r="J190" s="109"/>
      <c r="K190" s="109"/>
      <c r="L190" s="109"/>
      <c r="M190" s="109"/>
      <c r="N190" s="109"/>
      <c r="O190" s="109"/>
      <c r="P190" s="109"/>
      <c r="Q190" s="109"/>
      <c r="R190" s="109"/>
      <c r="S190" s="109"/>
      <c r="T190" s="109"/>
      <c r="U190" s="110"/>
      <c r="W190" s="35" t="str">
        <f>"-- "&amp;C190</f>
        <v>-- バックアップ_二次医療圏マスタ取込用登録</v>
      </c>
    </row>
    <row r="191" spans="2:23" ht="18.75" customHeight="1">
      <c r="B191" s="43" t="s">
        <v>159</v>
      </c>
      <c r="C191" s="111" t="str">
        <f>C193&amp;"テーブルのレコードを"&amp;R193&amp;"テーブルに格納する。"</f>
        <v>二次医療圏マスタ取込用テーブルのレコードをバックアップ_二次医療圏マスタ取込用テーブルに格納する。</v>
      </c>
      <c r="D191" s="112"/>
      <c r="E191" s="112"/>
      <c r="F191" s="112"/>
      <c r="G191" s="112"/>
      <c r="H191" s="112"/>
      <c r="I191" s="112"/>
      <c r="J191" s="112"/>
      <c r="K191" s="112"/>
      <c r="L191" s="112"/>
      <c r="M191" s="112"/>
      <c r="N191" s="112"/>
      <c r="O191" s="112"/>
      <c r="P191" s="112"/>
      <c r="Q191" s="112"/>
      <c r="R191" s="112"/>
      <c r="S191" s="112"/>
      <c r="T191" s="112"/>
      <c r="U191" s="113"/>
      <c r="W191" s="35" t="str">
        <f>"-- "&amp;C191</f>
        <v>-- 二次医療圏マスタ取込用テーブルのレコードをバックアップ_二次医療圏マスタ取込用テーブルに格納する。</v>
      </c>
    </row>
    <row r="193" spans="2:23" ht="18.75" customHeight="1">
      <c r="C193" s="102" t="s">
        <v>3526</v>
      </c>
      <c r="D193" s="103"/>
      <c r="E193" s="114" t="s">
        <v>162</v>
      </c>
      <c r="F193" s="36"/>
      <c r="G193" s="36"/>
      <c r="H193" s="36"/>
      <c r="I193" s="36"/>
      <c r="J193" s="36"/>
      <c r="K193" s="36"/>
      <c r="L193" s="36"/>
      <c r="M193" s="36"/>
      <c r="N193" s="36"/>
      <c r="O193" s="36"/>
      <c r="P193" s="36"/>
      <c r="Q193" s="36"/>
      <c r="R193" s="102" t="str">
        <f>"バックアップ_"&amp;SUBSTITUTE(C193,"_結合","")</f>
        <v>バックアップ_二次医療圏マスタ取込用</v>
      </c>
      <c r="S193" s="103"/>
      <c r="T193" s="106" t="str">
        <f>エンティティ一覧!$O$2</f>
        <v>milscm_2023_009</v>
      </c>
    </row>
    <row r="194" spans="2:23" ht="18.75" customHeight="1">
      <c r="C194" s="104"/>
      <c r="D194" s="105"/>
      <c r="E194" s="115"/>
      <c r="F194" s="37"/>
      <c r="G194" s="37"/>
      <c r="H194" s="37"/>
      <c r="I194" s="37"/>
      <c r="J194" s="37"/>
      <c r="K194" s="37"/>
      <c r="L194" s="37"/>
      <c r="M194" s="37"/>
      <c r="N194" s="37"/>
      <c r="O194" s="37"/>
      <c r="P194" s="37"/>
      <c r="Q194" s="37"/>
      <c r="R194" s="104"/>
      <c r="S194" s="105"/>
      <c r="T194" s="107"/>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3527</v>
      </c>
      <c r="D198" s="90"/>
      <c r="W198" s="35" t="str">
        <f>"-- "&amp;B198&amp;" : "&amp;C198</f>
        <v>-- SQL_ID : 01_A3-04</v>
      </c>
    </row>
    <row r="199" spans="2:23" ht="18.75" customHeight="1">
      <c r="B199" s="43" t="s">
        <v>158</v>
      </c>
      <c r="C199" s="108" t="str">
        <f>R202&amp;"登録"</f>
        <v>バックアップ_新旧医薬品コードマスタ取込用登録</v>
      </c>
      <c r="D199" s="109"/>
      <c r="E199" s="109"/>
      <c r="F199" s="109"/>
      <c r="G199" s="109"/>
      <c r="H199" s="109"/>
      <c r="I199" s="109"/>
      <c r="J199" s="109"/>
      <c r="K199" s="109"/>
      <c r="L199" s="109"/>
      <c r="M199" s="109"/>
      <c r="N199" s="109"/>
      <c r="O199" s="109"/>
      <c r="P199" s="109"/>
      <c r="Q199" s="109"/>
      <c r="R199" s="109"/>
      <c r="S199" s="109"/>
      <c r="T199" s="109"/>
      <c r="U199" s="110"/>
      <c r="W199" s="35" t="str">
        <f>"-- "&amp;C199</f>
        <v>-- バックアップ_新旧医薬品コードマスタ取込用登録</v>
      </c>
    </row>
    <row r="200" spans="2:23" ht="18.75" customHeight="1">
      <c r="B200" s="43" t="s">
        <v>159</v>
      </c>
      <c r="C200" s="111" t="str">
        <f>C202&amp;"テーブルのレコードを"&amp;R202&amp;"テーブルに格納する。"</f>
        <v>新旧医薬品コードマスタ取込用テーブルのレコードをバックアップ_新旧医薬品コードマスタ取込用テーブルに格納する。</v>
      </c>
      <c r="D200" s="112"/>
      <c r="E200" s="112"/>
      <c r="F200" s="112"/>
      <c r="G200" s="112"/>
      <c r="H200" s="112"/>
      <c r="I200" s="112"/>
      <c r="J200" s="112"/>
      <c r="K200" s="112"/>
      <c r="L200" s="112"/>
      <c r="M200" s="112"/>
      <c r="N200" s="112"/>
      <c r="O200" s="112"/>
      <c r="P200" s="112"/>
      <c r="Q200" s="112"/>
      <c r="R200" s="112"/>
      <c r="S200" s="112"/>
      <c r="T200" s="112"/>
      <c r="U200" s="113"/>
      <c r="W200" s="35" t="str">
        <f>"-- "&amp;C200</f>
        <v>-- 新旧医薬品コードマスタ取込用テーブルのレコードをバックアップ_新旧医薬品コードマスタ取込用テーブルに格納する。</v>
      </c>
    </row>
    <row r="202" spans="2:23" ht="18.75" customHeight="1">
      <c r="C202" s="102" t="s">
        <v>3528</v>
      </c>
      <c r="D202" s="103"/>
      <c r="E202" s="114" t="s">
        <v>162</v>
      </c>
      <c r="F202" s="36"/>
      <c r="G202" s="36"/>
      <c r="H202" s="36"/>
      <c r="I202" s="36"/>
      <c r="J202" s="36"/>
      <c r="K202" s="36"/>
      <c r="L202" s="36"/>
      <c r="M202" s="36"/>
      <c r="N202" s="36"/>
      <c r="O202" s="36"/>
      <c r="P202" s="36"/>
      <c r="Q202" s="36"/>
      <c r="R202" s="102" t="str">
        <f>"バックアップ_"&amp;SUBSTITUTE(C202,"_結合","")</f>
        <v>バックアップ_新旧医薬品コードマスタ取込用</v>
      </c>
      <c r="S202" s="103"/>
      <c r="T202" s="106" t="str">
        <f>エンティティ一覧!$O$2</f>
        <v>milscm_2023_009</v>
      </c>
    </row>
    <row r="203" spans="2:23" ht="18.75" customHeight="1">
      <c r="C203" s="104"/>
      <c r="D203" s="105"/>
      <c r="E203" s="115"/>
      <c r="F203" s="37"/>
      <c r="G203" s="37"/>
      <c r="H203" s="37"/>
      <c r="I203" s="37"/>
      <c r="J203" s="37"/>
      <c r="K203" s="37"/>
      <c r="L203" s="37"/>
      <c r="M203" s="37"/>
      <c r="N203" s="37"/>
      <c r="O203" s="37"/>
      <c r="P203" s="37"/>
      <c r="Q203" s="37"/>
      <c r="R203" s="104"/>
      <c r="S203" s="105"/>
      <c r="T203" s="10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3529</v>
      </c>
      <c r="D207" s="90"/>
      <c r="W207" s="35" t="str">
        <f>"-- "&amp;B207&amp;" : "&amp;C207</f>
        <v>-- SQL_ID : 01_A3-05</v>
      </c>
    </row>
    <row r="208" spans="2:23" ht="18.75" customHeight="1">
      <c r="B208" s="43" t="s">
        <v>158</v>
      </c>
      <c r="C208" s="108" t="str">
        <f>R211&amp;"登録"</f>
        <v>バックアップ_DPC6ICD10対応表マスタ取込用登録</v>
      </c>
      <c r="D208" s="109"/>
      <c r="E208" s="109"/>
      <c r="F208" s="109"/>
      <c r="G208" s="109"/>
      <c r="H208" s="109"/>
      <c r="I208" s="109"/>
      <c r="J208" s="109"/>
      <c r="K208" s="109"/>
      <c r="L208" s="109"/>
      <c r="M208" s="109"/>
      <c r="N208" s="109"/>
      <c r="O208" s="109"/>
      <c r="P208" s="109"/>
      <c r="Q208" s="109"/>
      <c r="R208" s="109"/>
      <c r="S208" s="109"/>
      <c r="T208" s="109"/>
      <c r="U208" s="110"/>
      <c r="W208" s="35" t="str">
        <f>"-- "&amp;C208</f>
        <v>-- バックアップ_DPC6ICD10対応表マスタ取込用登録</v>
      </c>
    </row>
    <row r="209" spans="2:23" ht="18.75" customHeight="1">
      <c r="B209" s="43" t="s">
        <v>159</v>
      </c>
      <c r="C209" s="111" t="str">
        <f>C211&amp;"テーブルのレコードを"&amp;R211&amp;"テーブルに格納する。"</f>
        <v>DPC6ICD10対応表マスタ取込用テーブルのレコードをバックアップ_DPC6ICD10対応表マスタ取込用テーブルに格納する。</v>
      </c>
      <c r="D209" s="112"/>
      <c r="E209" s="112"/>
      <c r="F209" s="112"/>
      <c r="G209" s="112"/>
      <c r="H209" s="112"/>
      <c r="I209" s="112"/>
      <c r="J209" s="112"/>
      <c r="K209" s="112"/>
      <c r="L209" s="112"/>
      <c r="M209" s="112"/>
      <c r="N209" s="112"/>
      <c r="O209" s="112"/>
      <c r="P209" s="112"/>
      <c r="Q209" s="112"/>
      <c r="R209" s="112"/>
      <c r="S209" s="112"/>
      <c r="T209" s="112"/>
      <c r="U209" s="113"/>
      <c r="W209" s="35" t="str">
        <f>"-- "&amp;C209</f>
        <v>-- DPC6ICD10対応表マスタ取込用テーブルのレコードをバックアップ_DPC6ICD10対応表マスタ取込用テーブルに格納する。</v>
      </c>
    </row>
    <row r="211" spans="2:23" ht="18.75" customHeight="1">
      <c r="C211" s="102" t="s">
        <v>3530</v>
      </c>
      <c r="D211" s="103"/>
      <c r="E211" s="114" t="s">
        <v>162</v>
      </c>
      <c r="F211" s="36"/>
      <c r="G211" s="36"/>
      <c r="H211" s="36"/>
      <c r="I211" s="36"/>
      <c r="J211" s="36"/>
      <c r="K211" s="36"/>
      <c r="L211" s="36"/>
      <c r="M211" s="36"/>
      <c r="N211" s="36"/>
      <c r="O211" s="36"/>
      <c r="P211" s="36"/>
      <c r="Q211" s="36"/>
      <c r="R211" s="102" t="str">
        <f>"バックアップ_"&amp;SUBSTITUTE(C211,"_結合","")</f>
        <v>バックアップ_DPC6ICD10対応表マスタ取込用</v>
      </c>
      <c r="S211" s="103"/>
      <c r="T211" s="106" t="str">
        <f>エンティティ一覧!$O$2</f>
        <v>milscm_2023_009</v>
      </c>
    </row>
    <row r="212" spans="2:23" ht="18.75" customHeight="1">
      <c r="C212" s="104"/>
      <c r="D212" s="105"/>
      <c r="E212" s="115"/>
      <c r="F212" s="37"/>
      <c r="G212" s="37"/>
      <c r="H212" s="37"/>
      <c r="I212" s="37"/>
      <c r="J212" s="37"/>
      <c r="K212" s="37"/>
      <c r="L212" s="37"/>
      <c r="M212" s="37"/>
      <c r="N212" s="37"/>
      <c r="O212" s="37"/>
      <c r="P212" s="37"/>
      <c r="Q212" s="37"/>
      <c r="R212" s="104"/>
      <c r="S212" s="105"/>
      <c r="T212" s="107"/>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3531</v>
      </c>
      <c r="D216" s="90"/>
      <c r="W216" s="35" t="str">
        <f>"-- "&amp;B216&amp;" : "&amp;C216</f>
        <v>-- SQL_ID : 01_A3-06</v>
      </c>
    </row>
    <row r="217" spans="2:23" ht="18.75" customHeight="1">
      <c r="B217" s="43" t="s">
        <v>158</v>
      </c>
      <c r="C217" s="108" t="str">
        <f>R220&amp;"登録"</f>
        <v>バックアップ_修飾語マスタ取込用登録</v>
      </c>
      <c r="D217" s="109"/>
      <c r="E217" s="109"/>
      <c r="F217" s="109"/>
      <c r="G217" s="109"/>
      <c r="H217" s="109"/>
      <c r="I217" s="109"/>
      <c r="J217" s="109"/>
      <c r="K217" s="109"/>
      <c r="L217" s="109"/>
      <c r="M217" s="109"/>
      <c r="N217" s="109"/>
      <c r="O217" s="109"/>
      <c r="P217" s="109"/>
      <c r="Q217" s="109"/>
      <c r="R217" s="109"/>
      <c r="S217" s="109"/>
      <c r="T217" s="109"/>
      <c r="U217" s="110"/>
      <c r="W217" s="35" t="str">
        <f>"-- "&amp;C217</f>
        <v>-- バックアップ_修飾語マスタ取込用登録</v>
      </c>
    </row>
    <row r="218" spans="2:23" ht="18.75" customHeight="1">
      <c r="B218" s="43" t="s">
        <v>159</v>
      </c>
      <c r="C218" s="111" t="str">
        <f>C220&amp;"テーブルのレコードを"&amp;R220&amp;"テーブルに格納する。"</f>
        <v>修飾語マスタ取込用テーブルのレコードをバックアップ_修飾語マスタ取込用テーブルに格納する。</v>
      </c>
      <c r="D218" s="112"/>
      <c r="E218" s="112"/>
      <c r="F218" s="112"/>
      <c r="G218" s="112"/>
      <c r="H218" s="112"/>
      <c r="I218" s="112"/>
      <c r="J218" s="112"/>
      <c r="K218" s="112"/>
      <c r="L218" s="112"/>
      <c r="M218" s="112"/>
      <c r="N218" s="112"/>
      <c r="O218" s="112"/>
      <c r="P218" s="112"/>
      <c r="Q218" s="112"/>
      <c r="R218" s="112"/>
      <c r="S218" s="112"/>
      <c r="T218" s="112"/>
      <c r="U218" s="113"/>
      <c r="W218" s="35" t="str">
        <f>"-- "&amp;C218</f>
        <v>-- 修飾語マスタ取込用テーブルのレコードをバックアップ_修飾語マスタ取込用テーブルに格納する。</v>
      </c>
    </row>
    <row r="220" spans="2:23" ht="18.75" customHeight="1">
      <c r="C220" s="102" t="s">
        <v>3532</v>
      </c>
      <c r="D220" s="103"/>
      <c r="E220" s="114" t="s">
        <v>162</v>
      </c>
      <c r="F220" s="36"/>
      <c r="G220" s="36"/>
      <c r="H220" s="36"/>
      <c r="I220" s="36"/>
      <c r="J220" s="36"/>
      <c r="K220" s="36"/>
      <c r="L220" s="36"/>
      <c r="M220" s="36"/>
      <c r="N220" s="36"/>
      <c r="O220" s="36"/>
      <c r="P220" s="36"/>
      <c r="Q220" s="36"/>
      <c r="R220" s="102" t="str">
        <f>"バックアップ_"&amp;SUBSTITUTE(C220,"_結合","")</f>
        <v>バックアップ_修飾語マスタ取込用</v>
      </c>
      <c r="S220" s="103"/>
      <c r="T220" s="106" t="str">
        <f>エンティティ一覧!$O$2</f>
        <v>milscm_2023_009</v>
      </c>
    </row>
    <row r="221" spans="2:23" ht="18.75" customHeight="1">
      <c r="C221" s="104"/>
      <c r="D221" s="105"/>
      <c r="E221" s="115"/>
      <c r="F221" s="37"/>
      <c r="G221" s="37"/>
      <c r="H221" s="37"/>
      <c r="I221" s="37"/>
      <c r="J221" s="37"/>
      <c r="K221" s="37"/>
      <c r="L221" s="37"/>
      <c r="M221" s="37"/>
      <c r="N221" s="37"/>
      <c r="O221" s="37"/>
      <c r="P221" s="37"/>
      <c r="Q221" s="37"/>
      <c r="R221" s="104"/>
      <c r="S221" s="105"/>
      <c r="T221" s="107"/>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3533</v>
      </c>
      <c r="D225" s="90"/>
      <c r="W225" s="35" t="str">
        <f>"-- "&amp;B225&amp;" : "&amp;C225</f>
        <v>-- SQL_ID : 01_A3-07</v>
      </c>
    </row>
    <row r="226" spans="2:23" ht="18.75" customHeight="1">
      <c r="B226" s="43" t="s">
        <v>158</v>
      </c>
      <c r="C226" s="108" t="str">
        <f>R229&amp;"登録"</f>
        <v>バックアップ_コメントマスタ取込用登録</v>
      </c>
      <c r="D226" s="109"/>
      <c r="E226" s="109"/>
      <c r="F226" s="109"/>
      <c r="G226" s="109"/>
      <c r="H226" s="109"/>
      <c r="I226" s="109"/>
      <c r="J226" s="109"/>
      <c r="K226" s="109"/>
      <c r="L226" s="109"/>
      <c r="M226" s="109"/>
      <c r="N226" s="109"/>
      <c r="O226" s="109"/>
      <c r="P226" s="109"/>
      <c r="Q226" s="109"/>
      <c r="R226" s="109"/>
      <c r="S226" s="109"/>
      <c r="T226" s="109"/>
      <c r="U226" s="110"/>
      <c r="W226" s="35" t="str">
        <f>"-- "&amp;C226</f>
        <v>-- バックアップ_コメントマスタ取込用登録</v>
      </c>
    </row>
    <row r="227" spans="2:23" ht="18.75" customHeight="1">
      <c r="B227" s="43" t="s">
        <v>159</v>
      </c>
      <c r="C227" s="111" t="str">
        <f>C229&amp;"テーブルのレコードを"&amp;R229&amp;"テーブルに格納する。"</f>
        <v>コメントマスタ取込用テーブルのレコードをバックアップ_コメントマスタ取込用テーブルに格納する。</v>
      </c>
      <c r="D227" s="112"/>
      <c r="E227" s="112"/>
      <c r="F227" s="112"/>
      <c r="G227" s="112"/>
      <c r="H227" s="112"/>
      <c r="I227" s="112"/>
      <c r="J227" s="112"/>
      <c r="K227" s="112"/>
      <c r="L227" s="112"/>
      <c r="M227" s="112"/>
      <c r="N227" s="112"/>
      <c r="O227" s="112"/>
      <c r="P227" s="112"/>
      <c r="Q227" s="112"/>
      <c r="R227" s="112"/>
      <c r="S227" s="112"/>
      <c r="T227" s="112"/>
      <c r="U227" s="113"/>
      <c r="W227" s="35" t="str">
        <f>"-- "&amp;C227</f>
        <v>-- コメントマスタ取込用テーブルのレコードをバックアップ_コメントマスタ取込用テーブルに格納する。</v>
      </c>
    </row>
    <row r="229" spans="2:23" ht="18.75" customHeight="1">
      <c r="C229" s="102" t="s">
        <v>3534</v>
      </c>
      <c r="D229" s="103"/>
      <c r="E229" s="114" t="s">
        <v>162</v>
      </c>
      <c r="F229" s="36"/>
      <c r="G229" s="36"/>
      <c r="H229" s="36"/>
      <c r="I229" s="36"/>
      <c r="J229" s="36"/>
      <c r="K229" s="36"/>
      <c r="L229" s="36"/>
      <c r="M229" s="36"/>
      <c r="N229" s="36"/>
      <c r="O229" s="36"/>
      <c r="P229" s="36"/>
      <c r="Q229" s="36"/>
      <c r="R229" s="102" t="str">
        <f>"バックアップ_"&amp;SUBSTITUTE(C229,"_結合","")</f>
        <v>バックアップ_コメントマスタ取込用</v>
      </c>
      <c r="S229" s="103"/>
      <c r="T229" s="106" t="str">
        <f>エンティティ一覧!$O$2</f>
        <v>milscm_2023_009</v>
      </c>
    </row>
    <row r="230" spans="2:23" ht="18.75" customHeight="1">
      <c r="C230" s="104"/>
      <c r="D230" s="105"/>
      <c r="E230" s="115"/>
      <c r="F230" s="37"/>
      <c r="G230" s="37"/>
      <c r="H230" s="37"/>
      <c r="I230" s="37"/>
      <c r="J230" s="37"/>
      <c r="K230" s="37"/>
      <c r="L230" s="37"/>
      <c r="M230" s="37"/>
      <c r="N230" s="37"/>
      <c r="O230" s="37"/>
      <c r="P230" s="37"/>
      <c r="Q230" s="37"/>
      <c r="R230" s="104"/>
      <c r="S230" s="105"/>
      <c r="T230" s="107"/>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3535</v>
      </c>
      <c r="D234" s="90"/>
      <c r="W234" s="35" t="str">
        <f>"-- "&amp;B234&amp;" : "&amp;C234</f>
        <v>-- SQL_ID : 01_A3-08</v>
      </c>
    </row>
    <row r="235" spans="2:23" ht="18.75" customHeight="1">
      <c r="B235" s="43" t="s">
        <v>158</v>
      </c>
      <c r="C235" s="108" t="str">
        <f>R238&amp;"登録"</f>
        <v>バックアップ_成分量マスタ取込用登録</v>
      </c>
      <c r="D235" s="109"/>
      <c r="E235" s="109"/>
      <c r="F235" s="109"/>
      <c r="G235" s="109"/>
      <c r="H235" s="109"/>
      <c r="I235" s="109"/>
      <c r="J235" s="109"/>
      <c r="K235" s="109"/>
      <c r="L235" s="109"/>
      <c r="M235" s="109"/>
      <c r="N235" s="109"/>
      <c r="O235" s="109"/>
      <c r="P235" s="109"/>
      <c r="Q235" s="109"/>
      <c r="R235" s="109"/>
      <c r="S235" s="109"/>
      <c r="T235" s="109"/>
      <c r="U235" s="110"/>
      <c r="W235" s="35" t="str">
        <f>"-- "&amp;C235</f>
        <v>-- バックアップ_成分量マスタ取込用登録</v>
      </c>
    </row>
    <row r="236" spans="2:23" ht="18.75" customHeight="1">
      <c r="B236" s="43" t="s">
        <v>159</v>
      </c>
      <c r="C236" s="111" t="str">
        <f>C238&amp;"テーブルのレコードを"&amp;R238&amp;"テーブルに格納する。"</f>
        <v>成分量マスタ取込用テーブルのレコードをバックアップ_成分量マスタ取込用テーブルに格納する。</v>
      </c>
      <c r="D236" s="112"/>
      <c r="E236" s="112"/>
      <c r="F236" s="112"/>
      <c r="G236" s="112"/>
      <c r="H236" s="112"/>
      <c r="I236" s="112"/>
      <c r="J236" s="112"/>
      <c r="K236" s="112"/>
      <c r="L236" s="112"/>
      <c r="M236" s="112"/>
      <c r="N236" s="112"/>
      <c r="O236" s="112"/>
      <c r="P236" s="112"/>
      <c r="Q236" s="112"/>
      <c r="R236" s="112"/>
      <c r="S236" s="112"/>
      <c r="T236" s="112"/>
      <c r="U236" s="113"/>
      <c r="W236" s="35" t="str">
        <f>"-- "&amp;C236</f>
        <v>-- 成分量マスタ取込用テーブルのレコードをバックアップ_成分量マスタ取込用テーブルに格納する。</v>
      </c>
    </row>
    <row r="238" spans="2:23" ht="18.75" customHeight="1">
      <c r="C238" s="102" t="s">
        <v>3536</v>
      </c>
      <c r="D238" s="103"/>
      <c r="E238" s="114" t="s">
        <v>162</v>
      </c>
      <c r="F238" s="36"/>
      <c r="G238" s="36"/>
      <c r="H238" s="36"/>
      <c r="I238" s="36"/>
      <c r="J238" s="36"/>
      <c r="K238" s="36"/>
      <c r="L238" s="36"/>
      <c r="M238" s="36"/>
      <c r="N238" s="36"/>
      <c r="O238" s="36"/>
      <c r="P238" s="36"/>
      <c r="Q238" s="36"/>
      <c r="R238" s="102" t="str">
        <f>"バックアップ_"&amp;SUBSTITUTE(C238,"_結合","")</f>
        <v>バックアップ_成分量マスタ取込用</v>
      </c>
      <c r="S238" s="103"/>
      <c r="T238" s="106" t="str">
        <f>エンティティ一覧!$O$2</f>
        <v>milscm_2023_009</v>
      </c>
    </row>
    <row r="239" spans="2:23" ht="18.75" customHeight="1">
      <c r="C239" s="104"/>
      <c r="D239" s="105"/>
      <c r="E239" s="115"/>
      <c r="F239" s="37"/>
      <c r="G239" s="37"/>
      <c r="H239" s="37"/>
      <c r="I239" s="37"/>
      <c r="J239" s="37"/>
      <c r="K239" s="37"/>
      <c r="L239" s="37"/>
      <c r="M239" s="37"/>
      <c r="N239" s="37"/>
      <c r="O239" s="37"/>
      <c r="P239" s="37"/>
      <c r="Q239" s="37"/>
      <c r="R239" s="104"/>
      <c r="S239" s="105"/>
      <c r="T239" s="10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3537</v>
      </c>
      <c r="D243" s="90"/>
      <c r="W243" s="35" t="str">
        <f>"-- "&amp;B243&amp;" : "&amp;C243</f>
        <v>-- SQL_ID : 01_A3-09</v>
      </c>
    </row>
    <row r="244" spans="2:23" ht="18.75" customHeight="1">
      <c r="B244" s="43" t="s">
        <v>158</v>
      </c>
      <c r="C244" s="108" t="str">
        <f>R247&amp;"登録"</f>
        <v>バックアップ_成分名マスタ取込用登録</v>
      </c>
      <c r="D244" s="109"/>
      <c r="E244" s="109"/>
      <c r="F244" s="109"/>
      <c r="G244" s="109"/>
      <c r="H244" s="109"/>
      <c r="I244" s="109"/>
      <c r="J244" s="109"/>
      <c r="K244" s="109"/>
      <c r="L244" s="109"/>
      <c r="M244" s="109"/>
      <c r="N244" s="109"/>
      <c r="O244" s="109"/>
      <c r="P244" s="109"/>
      <c r="Q244" s="109"/>
      <c r="R244" s="109"/>
      <c r="S244" s="109"/>
      <c r="T244" s="109"/>
      <c r="U244" s="110"/>
      <c r="W244" s="35" t="str">
        <f>"-- "&amp;C244</f>
        <v>-- バックアップ_成分名マスタ取込用登録</v>
      </c>
    </row>
    <row r="245" spans="2:23" ht="18.75" customHeight="1">
      <c r="B245" s="43" t="s">
        <v>159</v>
      </c>
      <c r="C245" s="111" t="str">
        <f>C247&amp;"テーブルのレコードを"&amp;R247&amp;"テーブルに格納する。"</f>
        <v>成分名マスタ取込用テーブルのレコードをバックアップ_成分名マスタ取込用テーブルに格納する。</v>
      </c>
      <c r="D245" s="112"/>
      <c r="E245" s="112"/>
      <c r="F245" s="112"/>
      <c r="G245" s="112"/>
      <c r="H245" s="112"/>
      <c r="I245" s="112"/>
      <c r="J245" s="112"/>
      <c r="K245" s="112"/>
      <c r="L245" s="112"/>
      <c r="M245" s="112"/>
      <c r="N245" s="112"/>
      <c r="O245" s="112"/>
      <c r="P245" s="112"/>
      <c r="Q245" s="112"/>
      <c r="R245" s="112"/>
      <c r="S245" s="112"/>
      <c r="T245" s="112"/>
      <c r="U245" s="113"/>
      <c r="W245" s="35" t="str">
        <f>"-- "&amp;C245</f>
        <v>-- 成分名マスタ取込用テーブルのレコードをバックアップ_成分名マスタ取込用テーブルに格納する。</v>
      </c>
    </row>
    <row r="247" spans="2:23" ht="18.75" customHeight="1">
      <c r="C247" s="102" t="s">
        <v>3538</v>
      </c>
      <c r="D247" s="103"/>
      <c r="E247" s="114" t="s">
        <v>162</v>
      </c>
      <c r="F247" s="36"/>
      <c r="G247" s="36"/>
      <c r="H247" s="36"/>
      <c r="I247" s="36"/>
      <c r="J247" s="36"/>
      <c r="K247" s="36"/>
      <c r="L247" s="36"/>
      <c r="M247" s="36"/>
      <c r="N247" s="36"/>
      <c r="O247" s="36"/>
      <c r="P247" s="36"/>
      <c r="Q247" s="36"/>
      <c r="R247" s="102" t="str">
        <f>"バックアップ_"&amp;SUBSTITUTE(C247,"_結合","")</f>
        <v>バックアップ_成分名マスタ取込用</v>
      </c>
      <c r="S247" s="103"/>
      <c r="T247" s="106" t="str">
        <f>エンティティ一覧!$O$2</f>
        <v>milscm_2023_009</v>
      </c>
    </row>
    <row r="248" spans="2:23" ht="18.75" customHeight="1">
      <c r="C248" s="104"/>
      <c r="D248" s="105"/>
      <c r="E248" s="115"/>
      <c r="F248" s="37"/>
      <c r="G248" s="37"/>
      <c r="H248" s="37"/>
      <c r="I248" s="37"/>
      <c r="J248" s="37"/>
      <c r="K248" s="37"/>
      <c r="L248" s="37"/>
      <c r="M248" s="37"/>
      <c r="N248" s="37"/>
      <c r="O248" s="37"/>
      <c r="P248" s="37"/>
      <c r="Q248" s="37"/>
      <c r="R248" s="104"/>
      <c r="S248" s="105"/>
      <c r="T248" s="107"/>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3539</v>
      </c>
      <c r="D252" s="90"/>
      <c r="W252" s="35" t="str">
        <f>"-- "&amp;B252&amp;" : "&amp;C252</f>
        <v>-- SQL_ID : 01_A3-10</v>
      </c>
    </row>
    <row r="253" spans="2:23" ht="18.75" customHeight="1">
      <c r="B253" s="43" t="s">
        <v>158</v>
      </c>
      <c r="C253" s="108" t="str">
        <f>R256&amp;"登録"</f>
        <v>バックアップ_単位マスタ取込用登録</v>
      </c>
      <c r="D253" s="109"/>
      <c r="E253" s="109"/>
      <c r="F253" s="109"/>
      <c r="G253" s="109"/>
      <c r="H253" s="109"/>
      <c r="I253" s="109"/>
      <c r="J253" s="109"/>
      <c r="K253" s="109"/>
      <c r="L253" s="109"/>
      <c r="M253" s="109"/>
      <c r="N253" s="109"/>
      <c r="O253" s="109"/>
      <c r="P253" s="109"/>
      <c r="Q253" s="109"/>
      <c r="R253" s="109"/>
      <c r="S253" s="109"/>
      <c r="T253" s="109"/>
      <c r="U253" s="110"/>
      <c r="W253" s="35" t="str">
        <f>"-- "&amp;C253</f>
        <v>-- バックアップ_単位マスタ取込用登録</v>
      </c>
    </row>
    <row r="254" spans="2:23" ht="18.75" customHeight="1">
      <c r="B254" s="43" t="s">
        <v>159</v>
      </c>
      <c r="C254" s="111" t="str">
        <f>C256&amp;"テーブルのレコードを"&amp;R256&amp;"テーブルに格納する。"</f>
        <v>単位マスタ取込用テーブルのレコードをバックアップ_単位マスタ取込用テーブルに格納する。</v>
      </c>
      <c r="D254" s="112"/>
      <c r="E254" s="112"/>
      <c r="F254" s="112"/>
      <c r="G254" s="112"/>
      <c r="H254" s="112"/>
      <c r="I254" s="112"/>
      <c r="J254" s="112"/>
      <c r="K254" s="112"/>
      <c r="L254" s="112"/>
      <c r="M254" s="112"/>
      <c r="N254" s="112"/>
      <c r="O254" s="112"/>
      <c r="P254" s="112"/>
      <c r="Q254" s="112"/>
      <c r="R254" s="112"/>
      <c r="S254" s="112"/>
      <c r="T254" s="112"/>
      <c r="U254" s="113"/>
      <c r="W254" s="35" t="str">
        <f>"-- "&amp;C254</f>
        <v>-- 単位マスタ取込用テーブルのレコードをバックアップ_単位マスタ取込用テーブルに格納する。</v>
      </c>
    </row>
    <row r="256" spans="2:23" ht="18.75" customHeight="1">
      <c r="C256" s="102" t="s">
        <v>3540</v>
      </c>
      <c r="D256" s="103"/>
      <c r="E256" s="114" t="s">
        <v>162</v>
      </c>
      <c r="F256" s="36"/>
      <c r="G256" s="36"/>
      <c r="H256" s="36"/>
      <c r="I256" s="36"/>
      <c r="J256" s="36"/>
      <c r="K256" s="36"/>
      <c r="L256" s="36"/>
      <c r="M256" s="36"/>
      <c r="N256" s="36"/>
      <c r="O256" s="36"/>
      <c r="P256" s="36"/>
      <c r="Q256" s="36"/>
      <c r="R256" s="102" t="str">
        <f>"バックアップ_"&amp;SUBSTITUTE(C256,"_結合","")</f>
        <v>バックアップ_単位マスタ取込用</v>
      </c>
      <c r="S256" s="103"/>
      <c r="T256" s="106" t="str">
        <f>エンティティ一覧!$O$2</f>
        <v>milscm_2023_009</v>
      </c>
    </row>
    <row r="257" spans="2:23" ht="18.75" customHeight="1">
      <c r="C257" s="104"/>
      <c r="D257" s="105"/>
      <c r="E257" s="115"/>
      <c r="F257" s="37"/>
      <c r="G257" s="37"/>
      <c r="H257" s="37"/>
      <c r="I257" s="37"/>
      <c r="J257" s="37"/>
      <c r="K257" s="37"/>
      <c r="L257" s="37"/>
      <c r="M257" s="37"/>
      <c r="N257" s="37"/>
      <c r="O257" s="37"/>
      <c r="P257" s="37"/>
      <c r="Q257" s="37"/>
      <c r="R257" s="104"/>
      <c r="S257" s="105"/>
      <c r="T257" s="107"/>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3541</v>
      </c>
      <c r="D261" s="90"/>
      <c r="W261" s="35" t="str">
        <f>"-- "&amp;B261&amp;" : "&amp;C261</f>
        <v>-- SQL_ID : 01_A3-11</v>
      </c>
    </row>
    <row r="262" spans="2:23" ht="18.75" customHeight="1">
      <c r="B262" s="43" t="s">
        <v>158</v>
      </c>
      <c r="C262" s="108" t="str">
        <f>R265&amp;"登録"</f>
        <v>バックアップ_適応病名レセ病名組み合わせ関係リンクマスタ取込用登録</v>
      </c>
      <c r="D262" s="109"/>
      <c r="E262" s="109"/>
      <c r="F262" s="109"/>
      <c r="G262" s="109"/>
      <c r="H262" s="109"/>
      <c r="I262" s="109"/>
      <c r="J262" s="109"/>
      <c r="K262" s="109"/>
      <c r="L262" s="109"/>
      <c r="M262" s="109"/>
      <c r="N262" s="109"/>
      <c r="O262" s="109"/>
      <c r="P262" s="109"/>
      <c r="Q262" s="109"/>
      <c r="R262" s="109"/>
      <c r="S262" s="109"/>
      <c r="T262" s="109"/>
      <c r="U262" s="110"/>
      <c r="W262" s="35" t="str">
        <f>"-- "&amp;C262</f>
        <v>-- バックアップ_適応病名レセ病名組み合わせ関係リンクマスタ取込用登録</v>
      </c>
    </row>
    <row r="263" spans="2:23" ht="18.75" customHeight="1">
      <c r="B263" s="43" t="s">
        <v>159</v>
      </c>
      <c r="C263" s="111"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12"/>
      <c r="E263" s="112"/>
      <c r="F263" s="112"/>
      <c r="G263" s="112"/>
      <c r="H263" s="112"/>
      <c r="I263" s="112"/>
      <c r="J263" s="112"/>
      <c r="K263" s="112"/>
      <c r="L263" s="112"/>
      <c r="M263" s="112"/>
      <c r="N263" s="112"/>
      <c r="O263" s="112"/>
      <c r="P263" s="112"/>
      <c r="Q263" s="112"/>
      <c r="R263" s="112"/>
      <c r="S263" s="112"/>
      <c r="T263" s="112"/>
      <c r="U263" s="113"/>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02" t="s">
        <v>3542</v>
      </c>
      <c r="D265" s="103"/>
      <c r="E265" s="114" t="s">
        <v>162</v>
      </c>
      <c r="F265" s="36"/>
      <c r="G265" s="36"/>
      <c r="H265" s="36"/>
      <c r="I265" s="36"/>
      <c r="J265" s="36"/>
      <c r="K265" s="36"/>
      <c r="L265" s="36"/>
      <c r="M265" s="36"/>
      <c r="N265" s="36"/>
      <c r="O265" s="36"/>
      <c r="P265" s="36"/>
      <c r="Q265" s="36"/>
      <c r="R265" s="116" t="str">
        <f>"バックアップ_"&amp;SUBSTITUTE(C265,"_結合","")</f>
        <v>バックアップ_適応病名レセ病名組み合わせ関係リンクマスタ取込用</v>
      </c>
      <c r="S265" s="117"/>
      <c r="T265" s="106" t="str">
        <f>エンティティ一覧!$O$2</f>
        <v>milscm_2023_009</v>
      </c>
    </row>
    <row r="266" spans="2:23" ht="18.75" customHeight="1">
      <c r="C266" s="104"/>
      <c r="D266" s="105"/>
      <c r="E266" s="115"/>
      <c r="F266" s="37"/>
      <c r="G266" s="37"/>
      <c r="H266" s="37"/>
      <c r="I266" s="37"/>
      <c r="J266" s="37"/>
      <c r="K266" s="37"/>
      <c r="L266" s="37"/>
      <c r="M266" s="37"/>
      <c r="N266" s="37"/>
      <c r="O266" s="37"/>
      <c r="P266" s="37"/>
      <c r="Q266" s="37"/>
      <c r="R266" s="118"/>
      <c r="S266" s="119"/>
      <c r="T266" s="107"/>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3543</v>
      </c>
      <c r="D270" s="90"/>
      <c r="W270" s="35" t="str">
        <f>"-- "&amp;B270&amp;" : "&amp;C270</f>
        <v>-- SQL_ID : 01_A3-12</v>
      </c>
    </row>
    <row r="271" spans="2:23" ht="18.75" customHeight="1">
      <c r="B271" s="43" t="s">
        <v>158</v>
      </c>
      <c r="C271" s="108" t="str">
        <f>R274&amp;"登録"</f>
        <v>バックアップ_適応病名レセ病名組み合わせ関係リンク親子マスタ取込用登録</v>
      </c>
      <c r="D271" s="109"/>
      <c r="E271" s="109"/>
      <c r="F271" s="109"/>
      <c r="G271" s="109"/>
      <c r="H271" s="109"/>
      <c r="I271" s="109"/>
      <c r="J271" s="109"/>
      <c r="K271" s="109"/>
      <c r="L271" s="109"/>
      <c r="M271" s="109"/>
      <c r="N271" s="109"/>
      <c r="O271" s="109"/>
      <c r="P271" s="109"/>
      <c r="Q271" s="109"/>
      <c r="R271" s="109"/>
      <c r="S271" s="109"/>
      <c r="T271" s="109"/>
      <c r="U271" s="110"/>
      <c r="W271" s="35" t="str">
        <f>"-- "&amp;C271</f>
        <v>-- バックアップ_適応病名レセ病名組み合わせ関係リンク親子マスタ取込用登録</v>
      </c>
    </row>
    <row r="272" spans="2:23" ht="18.75" customHeight="1">
      <c r="B272" s="43" t="s">
        <v>159</v>
      </c>
      <c r="C272" s="111"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12"/>
      <c r="E272" s="112"/>
      <c r="F272" s="112"/>
      <c r="G272" s="112"/>
      <c r="H272" s="112"/>
      <c r="I272" s="112"/>
      <c r="J272" s="112"/>
      <c r="K272" s="112"/>
      <c r="L272" s="112"/>
      <c r="M272" s="112"/>
      <c r="N272" s="112"/>
      <c r="O272" s="112"/>
      <c r="P272" s="112"/>
      <c r="Q272" s="112"/>
      <c r="R272" s="112"/>
      <c r="S272" s="112"/>
      <c r="T272" s="112"/>
      <c r="U272" s="113"/>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20" t="s">
        <v>3544</v>
      </c>
      <c r="D274" s="121"/>
      <c r="E274" s="114" t="s">
        <v>162</v>
      </c>
      <c r="F274" s="36"/>
      <c r="G274" s="36"/>
      <c r="H274" s="36"/>
      <c r="I274" s="36"/>
      <c r="J274" s="36"/>
      <c r="K274" s="36"/>
      <c r="L274" s="36"/>
      <c r="M274" s="36"/>
      <c r="N274" s="36"/>
      <c r="O274" s="36"/>
      <c r="P274" s="36"/>
      <c r="Q274" s="36"/>
      <c r="R274" s="116" t="str">
        <f>"バックアップ_"&amp;SUBSTITUTE(C274,"_結合","")</f>
        <v>バックアップ_適応病名レセ病名組み合わせ関係リンク親子マスタ取込用</v>
      </c>
      <c r="S274" s="117"/>
      <c r="T274" s="106" t="str">
        <f>エンティティ一覧!$O$2</f>
        <v>milscm_2023_009</v>
      </c>
    </row>
    <row r="275" spans="2:23" ht="18.75" customHeight="1">
      <c r="C275" s="122"/>
      <c r="D275" s="123"/>
      <c r="E275" s="115"/>
      <c r="F275" s="37"/>
      <c r="G275" s="37"/>
      <c r="H275" s="37"/>
      <c r="I275" s="37"/>
      <c r="J275" s="37"/>
      <c r="K275" s="37"/>
      <c r="L275" s="37"/>
      <c r="M275" s="37"/>
      <c r="N275" s="37"/>
      <c r="O275" s="37"/>
      <c r="P275" s="37"/>
      <c r="Q275" s="37"/>
      <c r="R275" s="118"/>
      <c r="S275" s="119"/>
      <c r="T275" s="10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3545</v>
      </c>
      <c r="D279" s="90"/>
      <c r="W279" s="35" t="str">
        <f>"-- "&amp;B279&amp;" : "&amp;C279</f>
        <v>-- SQL_ID : 01_A3-13</v>
      </c>
    </row>
    <row r="280" spans="2:23" ht="18.75" customHeight="1">
      <c r="B280" s="43" t="s">
        <v>158</v>
      </c>
      <c r="C280" s="108" t="str">
        <f>R283&amp;"登録"</f>
        <v>バックアップ_適用病名マスタ取込用登録</v>
      </c>
      <c r="D280" s="109"/>
      <c r="E280" s="109"/>
      <c r="F280" s="109"/>
      <c r="G280" s="109"/>
      <c r="H280" s="109"/>
      <c r="I280" s="109"/>
      <c r="J280" s="109"/>
      <c r="K280" s="109"/>
      <c r="L280" s="109"/>
      <c r="M280" s="109"/>
      <c r="N280" s="109"/>
      <c r="O280" s="109"/>
      <c r="P280" s="109"/>
      <c r="Q280" s="109"/>
      <c r="R280" s="109"/>
      <c r="S280" s="109"/>
      <c r="T280" s="109"/>
      <c r="U280" s="110"/>
      <c r="W280" s="35" t="str">
        <f>"-- "&amp;C280</f>
        <v>-- バックアップ_適用病名マスタ取込用登録</v>
      </c>
    </row>
    <row r="281" spans="2:23" ht="18.75" customHeight="1">
      <c r="B281" s="43" t="s">
        <v>159</v>
      </c>
      <c r="C281" s="111" t="str">
        <f>C283&amp;"テーブルのレコードを"&amp;R283&amp;"テーブルに格納する。"</f>
        <v>適用病名マスタ取込用テーブルのレコードをバックアップ_適用病名マスタ取込用テーブルに格納する。</v>
      </c>
      <c r="D281" s="112"/>
      <c r="E281" s="112"/>
      <c r="F281" s="112"/>
      <c r="G281" s="112"/>
      <c r="H281" s="112"/>
      <c r="I281" s="112"/>
      <c r="J281" s="112"/>
      <c r="K281" s="112"/>
      <c r="L281" s="112"/>
      <c r="M281" s="112"/>
      <c r="N281" s="112"/>
      <c r="O281" s="112"/>
      <c r="P281" s="112"/>
      <c r="Q281" s="112"/>
      <c r="R281" s="112"/>
      <c r="S281" s="112"/>
      <c r="T281" s="112"/>
      <c r="U281" s="113"/>
      <c r="W281" s="35" t="str">
        <f>"-- "&amp;C281</f>
        <v>-- 適用病名マスタ取込用テーブルのレコードをバックアップ_適用病名マスタ取込用テーブルに格納する。</v>
      </c>
    </row>
    <row r="283" spans="2:23" ht="18.75" customHeight="1">
      <c r="C283" s="102" t="s">
        <v>3546</v>
      </c>
      <c r="D283" s="103"/>
      <c r="E283" s="114" t="s">
        <v>162</v>
      </c>
      <c r="F283" s="36"/>
      <c r="G283" s="36"/>
      <c r="H283" s="36"/>
      <c r="I283" s="36"/>
      <c r="J283" s="36"/>
      <c r="K283" s="36"/>
      <c r="L283" s="36"/>
      <c r="M283" s="36"/>
      <c r="N283" s="36"/>
      <c r="O283" s="36"/>
      <c r="P283" s="36"/>
      <c r="Q283" s="36"/>
      <c r="R283" s="102" t="str">
        <f>"バックアップ_"&amp;SUBSTITUTE(C283,"_結合","")</f>
        <v>バックアップ_適用病名マスタ取込用</v>
      </c>
      <c r="S283" s="103"/>
      <c r="T283" s="106" t="str">
        <f>エンティティ一覧!$O$2</f>
        <v>milscm_2023_009</v>
      </c>
    </row>
    <row r="284" spans="2:23" ht="18.75" customHeight="1">
      <c r="C284" s="104"/>
      <c r="D284" s="105"/>
      <c r="E284" s="115"/>
      <c r="F284" s="37"/>
      <c r="G284" s="37"/>
      <c r="H284" s="37"/>
      <c r="I284" s="37"/>
      <c r="J284" s="37"/>
      <c r="K284" s="37"/>
      <c r="L284" s="37"/>
      <c r="M284" s="37"/>
      <c r="N284" s="37"/>
      <c r="O284" s="37"/>
      <c r="P284" s="37"/>
      <c r="Q284" s="37"/>
      <c r="R284" s="104"/>
      <c r="S284" s="105"/>
      <c r="T284" s="107"/>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3547</v>
      </c>
      <c r="D288" s="90"/>
      <c r="W288" s="35" t="str">
        <f>"-- "&amp;B288&amp;" : "&amp;C288</f>
        <v>-- SQL_ID : 01_A3-14</v>
      </c>
    </row>
    <row r="289" spans="2:23" ht="18.75" customHeight="1">
      <c r="B289" s="43" t="s">
        <v>158</v>
      </c>
      <c r="C289" s="108" t="str">
        <f>R292&amp;"登録"</f>
        <v>バックアップ_ＹＪコード医薬品コードリンクマスタ取込用登録</v>
      </c>
      <c r="D289" s="109"/>
      <c r="E289" s="109"/>
      <c r="F289" s="109"/>
      <c r="G289" s="109"/>
      <c r="H289" s="109"/>
      <c r="I289" s="109"/>
      <c r="J289" s="109"/>
      <c r="K289" s="109"/>
      <c r="L289" s="109"/>
      <c r="M289" s="109"/>
      <c r="N289" s="109"/>
      <c r="O289" s="109"/>
      <c r="P289" s="109"/>
      <c r="Q289" s="109"/>
      <c r="R289" s="109"/>
      <c r="S289" s="109"/>
      <c r="T289" s="109"/>
      <c r="U289" s="110"/>
      <c r="W289" s="35" t="str">
        <f>"-- "&amp;C289</f>
        <v>-- バックアップ_ＹＪコード医薬品コードリンクマスタ取込用登録</v>
      </c>
    </row>
    <row r="290" spans="2:23" ht="18.75" customHeight="1">
      <c r="B290" s="43" t="s">
        <v>159</v>
      </c>
      <c r="C290" s="111"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12"/>
      <c r="E290" s="112"/>
      <c r="F290" s="112"/>
      <c r="G290" s="112"/>
      <c r="H290" s="112"/>
      <c r="I290" s="112"/>
      <c r="J290" s="112"/>
      <c r="K290" s="112"/>
      <c r="L290" s="112"/>
      <c r="M290" s="112"/>
      <c r="N290" s="112"/>
      <c r="O290" s="112"/>
      <c r="P290" s="112"/>
      <c r="Q290" s="112"/>
      <c r="R290" s="112"/>
      <c r="S290" s="112"/>
      <c r="T290" s="112"/>
      <c r="U290" s="113"/>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02" t="s">
        <v>3548</v>
      </c>
      <c r="D292" s="103"/>
      <c r="E292" s="114" t="s">
        <v>162</v>
      </c>
      <c r="F292" s="36"/>
      <c r="G292" s="36"/>
      <c r="H292" s="36"/>
      <c r="I292" s="36"/>
      <c r="J292" s="36"/>
      <c r="K292" s="36"/>
      <c r="L292" s="36"/>
      <c r="M292" s="36"/>
      <c r="N292" s="36"/>
      <c r="O292" s="36"/>
      <c r="P292" s="36"/>
      <c r="Q292" s="36"/>
      <c r="R292" s="120" t="str">
        <f>"バックアップ_"&amp;SUBSTITUTE(C292,"_結合","")</f>
        <v>バックアップ_ＹＪコード医薬品コードリンクマスタ取込用</v>
      </c>
      <c r="S292" s="121"/>
      <c r="T292" s="106" t="str">
        <f>エンティティ一覧!$O$2</f>
        <v>milscm_2023_009</v>
      </c>
    </row>
    <row r="293" spans="2:23" ht="18.75" customHeight="1">
      <c r="C293" s="104"/>
      <c r="D293" s="105"/>
      <c r="E293" s="115"/>
      <c r="F293" s="37"/>
      <c r="G293" s="37"/>
      <c r="H293" s="37"/>
      <c r="I293" s="37"/>
      <c r="J293" s="37"/>
      <c r="K293" s="37"/>
      <c r="L293" s="37"/>
      <c r="M293" s="37"/>
      <c r="N293" s="37"/>
      <c r="O293" s="37"/>
      <c r="P293" s="37"/>
      <c r="Q293" s="37"/>
      <c r="R293" s="122"/>
      <c r="S293" s="123"/>
      <c r="T293" s="107"/>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3549</v>
      </c>
      <c r="D297" s="90"/>
      <c r="W297" s="35" t="str">
        <f>"-- "&amp;B297&amp;" : "&amp;C297</f>
        <v>-- SQL_ID : 01_A3-15</v>
      </c>
    </row>
    <row r="298" spans="2:23" ht="18.75" customHeight="1">
      <c r="B298" s="43" t="s">
        <v>158</v>
      </c>
      <c r="C298" s="108" t="str">
        <f>R301&amp;"登録"</f>
        <v>バックアップ_診療行為付加情報マスタ取込用登録</v>
      </c>
      <c r="D298" s="109"/>
      <c r="E298" s="109"/>
      <c r="F298" s="109"/>
      <c r="G298" s="109"/>
      <c r="H298" s="109"/>
      <c r="I298" s="109"/>
      <c r="J298" s="109"/>
      <c r="K298" s="109"/>
      <c r="L298" s="109"/>
      <c r="M298" s="109"/>
      <c r="N298" s="109"/>
      <c r="O298" s="109"/>
      <c r="P298" s="109"/>
      <c r="Q298" s="109"/>
      <c r="R298" s="109"/>
      <c r="S298" s="109"/>
      <c r="T298" s="109"/>
      <c r="U298" s="110"/>
      <c r="W298" s="35" t="str">
        <f>"-- "&amp;C298</f>
        <v>-- バックアップ_診療行為付加情報マスタ取込用登録</v>
      </c>
    </row>
    <row r="299" spans="2:23" ht="18.75" customHeight="1">
      <c r="B299" s="43" t="s">
        <v>159</v>
      </c>
      <c r="C299" s="111" t="str">
        <f>C301&amp;"テーブルのレコードを"&amp;R301&amp;"テーブルに格納する。"</f>
        <v>診療行為付加情報マスタ取込用テーブルのレコードをバックアップ_診療行為付加情報マスタ取込用テーブルに格納する。</v>
      </c>
      <c r="D299" s="112"/>
      <c r="E299" s="112"/>
      <c r="F299" s="112"/>
      <c r="G299" s="112"/>
      <c r="H299" s="112"/>
      <c r="I299" s="112"/>
      <c r="J299" s="112"/>
      <c r="K299" s="112"/>
      <c r="L299" s="112"/>
      <c r="M299" s="112"/>
      <c r="N299" s="112"/>
      <c r="O299" s="112"/>
      <c r="P299" s="112"/>
      <c r="Q299" s="112"/>
      <c r="R299" s="112"/>
      <c r="S299" s="112"/>
      <c r="T299" s="112"/>
      <c r="U299" s="113"/>
      <c r="W299" s="35" t="str">
        <f>"-- "&amp;C299</f>
        <v>-- 診療行為付加情報マスタ取込用テーブルのレコードをバックアップ_診療行為付加情報マスタ取込用テーブルに格納する。</v>
      </c>
    </row>
    <row r="301" spans="2:23" ht="18.75" customHeight="1">
      <c r="C301" s="102" t="s">
        <v>3550</v>
      </c>
      <c r="D301" s="103"/>
      <c r="E301" s="114" t="s">
        <v>162</v>
      </c>
      <c r="F301" s="36"/>
      <c r="G301" s="36"/>
      <c r="H301" s="36"/>
      <c r="I301" s="36"/>
      <c r="J301" s="36"/>
      <c r="K301" s="36"/>
      <c r="L301" s="36"/>
      <c r="M301" s="36"/>
      <c r="N301" s="36"/>
      <c r="O301" s="36"/>
      <c r="P301" s="36"/>
      <c r="Q301" s="36"/>
      <c r="R301" s="102" t="str">
        <f>"バックアップ_"&amp;SUBSTITUTE(C301,"_結合","")</f>
        <v>バックアップ_診療行為付加情報マスタ取込用</v>
      </c>
      <c r="S301" s="103"/>
      <c r="T301" s="106" t="str">
        <f>エンティティ一覧!$O$2</f>
        <v>milscm_2023_009</v>
      </c>
    </row>
    <row r="302" spans="2:23" ht="18.75" customHeight="1">
      <c r="C302" s="104"/>
      <c r="D302" s="105"/>
      <c r="E302" s="115"/>
      <c r="F302" s="37"/>
      <c r="G302" s="37"/>
      <c r="H302" s="37"/>
      <c r="I302" s="37"/>
      <c r="J302" s="37"/>
      <c r="K302" s="37"/>
      <c r="L302" s="37"/>
      <c r="M302" s="37"/>
      <c r="N302" s="37"/>
      <c r="O302" s="37"/>
      <c r="P302" s="37"/>
      <c r="Q302" s="37"/>
      <c r="R302" s="104"/>
      <c r="S302" s="105"/>
      <c r="T302" s="107"/>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3551</v>
      </c>
      <c r="D306" s="90"/>
      <c r="W306" s="35" t="str">
        <f>"-- "&amp;B306&amp;" : "&amp;C306</f>
        <v>-- SQL_ID : 01_A3-16</v>
      </c>
    </row>
    <row r="307" spans="2:23" ht="18.75" customHeight="1">
      <c r="B307" s="43" t="s">
        <v>158</v>
      </c>
      <c r="C307" s="108" t="str">
        <f>R310&amp;"登録"</f>
        <v>バックアップ_処理対象施設マスタ登録</v>
      </c>
      <c r="D307" s="109"/>
      <c r="E307" s="109"/>
      <c r="F307" s="109"/>
      <c r="G307" s="109"/>
      <c r="H307" s="109"/>
      <c r="I307" s="109"/>
      <c r="J307" s="109"/>
      <c r="K307" s="109"/>
      <c r="L307" s="109"/>
      <c r="M307" s="109"/>
      <c r="N307" s="109"/>
      <c r="O307" s="109"/>
      <c r="P307" s="109"/>
      <c r="Q307" s="109"/>
      <c r="R307" s="109"/>
      <c r="S307" s="109"/>
      <c r="T307" s="109"/>
      <c r="U307" s="110"/>
      <c r="W307" s="35" t="str">
        <f>"-- "&amp;C307</f>
        <v>-- バックアップ_処理対象施設マスタ登録</v>
      </c>
    </row>
    <row r="308" spans="2:23" ht="18.75" customHeight="1">
      <c r="B308" s="43" t="s">
        <v>159</v>
      </c>
      <c r="C308" s="111" t="str">
        <f>C310&amp;"テーブルのレコードを"&amp;R310&amp;"テーブルに格納する。"</f>
        <v>処理対象施設マスタテーブルのレコードをバックアップ_処理対象施設マスタテーブルに格納する。</v>
      </c>
      <c r="D308" s="112"/>
      <c r="E308" s="112"/>
      <c r="F308" s="112"/>
      <c r="G308" s="112"/>
      <c r="H308" s="112"/>
      <c r="I308" s="112"/>
      <c r="J308" s="112"/>
      <c r="K308" s="112"/>
      <c r="L308" s="112"/>
      <c r="M308" s="112"/>
      <c r="N308" s="112"/>
      <c r="O308" s="112"/>
      <c r="P308" s="112"/>
      <c r="Q308" s="112"/>
      <c r="R308" s="112"/>
      <c r="S308" s="112"/>
      <c r="T308" s="112"/>
      <c r="U308" s="113"/>
      <c r="W308" s="35" t="str">
        <f>"-- "&amp;C308</f>
        <v>-- 処理対象施設マスタテーブルのレコードをバックアップ_処理対象施設マスタテーブルに格納する。</v>
      </c>
    </row>
    <row r="310" spans="2:23" ht="18.75" customHeight="1">
      <c r="C310" s="102" t="s">
        <v>3552</v>
      </c>
      <c r="D310" s="103"/>
      <c r="E310" s="114" t="s">
        <v>162</v>
      </c>
      <c r="F310" s="36"/>
      <c r="G310" s="36"/>
      <c r="H310" s="36"/>
      <c r="I310" s="36"/>
      <c r="J310" s="36"/>
      <c r="K310" s="36"/>
      <c r="L310" s="36"/>
      <c r="M310" s="36"/>
      <c r="N310" s="36"/>
      <c r="O310" s="36"/>
      <c r="P310" s="36"/>
      <c r="Q310" s="36"/>
      <c r="R310" s="102" t="str">
        <f>"バックアップ_"&amp;SUBSTITUTE(C310,"_結合","")</f>
        <v>バックアップ_処理対象施設マスタ</v>
      </c>
      <c r="S310" s="103"/>
      <c r="T310" s="106" t="str">
        <f>エンティティ一覧!$O$2</f>
        <v>milscm_2023_009</v>
      </c>
    </row>
    <row r="311" spans="2:23" ht="18.75" customHeight="1">
      <c r="C311" s="104"/>
      <c r="D311" s="105"/>
      <c r="E311" s="115"/>
      <c r="F311" s="37"/>
      <c r="G311" s="37"/>
      <c r="H311" s="37"/>
      <c r="I311" s="37"/>
      <c r="J311" s="37"/>
      <c r="K311" s="37"/>
      <c r="L311" s="37"/>
      <c r="M311" s="37"/>
      <c r="N311" s="37"/>
      <c r="O311" s="37"/>
      <c r="P311" s="37"/>
      <c r="Q311" s="37"/>
      <c r="R311" s="104"/>
      <c r="S311" s="105"/>
      <c r="T311" s="10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3553</v>
      </c>
      <c r="D315" s="90"/>
      <c r="W315" s="35" t="str">
        <f>"-- "&amp;B315&amp;" : "&amp;C315</f>
        <v>-- SQL_ID : 01_A3-17</v>
      </c>
    </row>
    <row r="316" spans="2:23" ht="18.75" customHeight="1">
      <c r="B316" s="43" t="s">
        <v>158</v>
      </c>
      <c r="C316" s="108" t="str">
        <f>R319&amp;"登録"</f>
        <v>バックアップ_処理対象施設マスタ管理登録</v>
      </c>
      <c r="D316" s="109"/>
      <c r="E316" s="109"/>
      <c r="F316" s="109"/>
      <c r="G316" s="109"/>
      <c r="H316" s="109"/>
      <c r="I316" s="109"/>
      <c r="J316" s="109"/>
      <c r="K316" s="109"/>
      <c r="L316" s="109"/>
      <c r="M316" s="109"/>
      <c r="N316" s="109"/>
      <c r="O316" s="109"/>
      <c r="P316" s="109"/>
      <c r="Q316" s="109"/>
      <c r="R316" s="109"/>
      <c r="S316" s="109"/>
      <c r="T316" s="109"/>
      <c r="U316" s="110"/>
      <c r="W316" s="35" t="str">
        <f>"-- "&amp;C316</f>
        <v>-- バックアップ_処理対象施設マスタ管理登録</v>
      </c>
    </row>
    <row r="317" spans="2:23" ht="18.75" customHeight="1">
      <c r="B317" s="43" t="s">
        <v>159</v>
      </c>
      <c r="C317" s="111" t="str">
        <f>C319&amp;"テーブルのレコードを"&amp;R319&amp;"テーブルに格納する。"</f>
        <v>処理対象施設マスタ管理テーブルのレコードをバックアップ_処理対象施設マスタ管理テーブルに格納する。</v>
      </c>
      <c r="D317" s="112"/>
      <c r="E317" s="112"/>
      <c r="F317" s="112"/>
      <c r="G317" s="112"/>
      <c r="H317" s="112"/>
      <c r="I317" s="112"/>
      <c r="J317" s="112"/>
      <c r="K317" s="112"/>
      <c r="L317" s="112"/>
      <c r="M317" s="112"/>
      <c r="N317" s="112"/>
      <c r="O317" s="112"/>
      <c r="P317" s="112"/>
      <c r="Q317" s="112"/>
      <c r="R317" s="112"/>
      <c r="S317" s="112"/>
      <c r="T317" s="112"/>
      <c r="U317" s="113"/>
      <c r="W317" s="35" t="str">
        <f>"-- "&amp;C317</f>
        <v>-- 処理対象施設マスタ管理テーブルのレコードをバックアップ_処理対象施設マスタ管理テーブルに格納する。</v>
      </c>
    </row>
    <row r="319" spans="2:23" ht="18.75" customHeight="1">
      <c r="C319" s="102" t="s">
        <v>3554</v>
      </c>
      <c r="D319" s="103"/>
      <c r="E319" s="114" t="s">
        <v>162</v>
      </c>
      <c r="F319" s="36"/>
      <c r="G319" s="36"/>
      <c r="H319" s="36"/>
      <c r="I319" s="36"/>
      <c r="J319" s="36"/>
      <c r="K319" s="36"/>
      <c r="L319" s="36"/>
      <c r="M319" s="36"/>
      <c r="N319" s="36"/>
      <c r="O319" s="36"/>
      <c r="P319" s="36"/>
      <c r="Q319" s="36"/>
      <c r="R319" s="102" t="str">
        <f>"バックアップ_"&amp;SUBSTITUTE(C319,"_結合","")</f>
        <v>バックアップ_処理対象施設マスタ管理</v>
      </c>
      <c r="S319" s="103"/>
      <c r="T319" s="106" t="str">
        <f>エンティティ一覧!$O$2</f>
        <v>milscm_2023_009</v>
      </c>
    </row>
    <row r="320" spans="2:23" ht="18.75" customHeight="1">
      <c r="C320" s="104"/>
      <c r="D320" s="105"/>
      <c r="E320" s="115"/>
      <c r="F320" s="37"/>
      <c r="G320" s="37"/>
      <c r="H320" s="37"/>
      <c r="I320" s="37"/>
      <c r="J320" s="37"/>
      <c r="K320" s="37"/>
      <c r="L320" s="37"/>
      <c r="M320" s="37"/>
      <c r="N320" s="37"/>
      <c r="O320" s="37"/>
      <c r="P320" s="37"/>
      <c r="Q320" s="37"/>
      <c r="R320" s="104"/>
      <c r="S320" s="105"/>
      <c r="T320" s="107"/>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3555</v>
      </c>
      <c r="D324" s="90"/>
      <c r="W324" s="35" t="str">
        <f>"-- "&amp;B324&amp;" : "&amp;C324</f>
        <v>-- SQL_ID : 01_A3-18</v>
      </c>
    </row>
    <row r="325" spans="2:23" ht="18.75" customHeight="1">
      <c r="B325" s="43" t="s">
        <v>158</v>
      </c>
      <c r="C325" s="108" t="str">
        <f>R328&amp;"登録"</f>
        <v>バックアップ_医薬品マスタ登録</v>
      </c>
      <c r="D325" s="109"/>
      <c r="E325" s="109"/>
      <c r="F325" s="109"/>
      <c r="G325" s="109"/>
      <c r="H325" s="109"/>
      <c r="I325" s="109"/>
      <c r="J325" s="109"/>
      <c r="K325" s="109"/>
      <c r="L325" s="109"/>
      <c r="M325" s="109"/>
      <c r="N325" s="109"/>
      <c r="O325" s="109"/>
      <c r="P325" s="109"/>
      <c r="Q325" s="109"/>
      <c r="R325" s="109"/>
      <c r="S325" s="109"/>
      <c r="T325" s="109"/>
      <c r="U325" s="110"/>
      <c r="W325" s="35" t="str">
        <f>"-- "&amp;C325</f>
        <v>-- バックアップ_医薬品マスタ登録</v>
      </c>
    </row>
    <row r="326" spans="2:23" ht="18.75" customHeight="1">
      <c r="B326" s="43" t="s">
        <v>159</v>
      </c>
      <c r="C326" s="111" t="str">
        <f>C328&amp;"テーブルのレコードを"&amp;R328&amp;"テーブルに格納する。"</f>
        <v>医薬品マスタテーブルのレコードをバックアップ_医薬品マスタテーブルに格納する。</v>
      </c>
      <c r="D326" s="112"/>
      <c r="E326" s="112"/>
      <c r="F326" s="112"/>
      <c r="G326" s="112"/>
      <c r="H326" s="112"/>
      <c r="I326" s="112"/>
      <c r="J326" s="112"/>
      <c r="K326" s="112"/>
      <c r="L326" s="112"/>
      <c r="M326" s="112"/>
      <c r="N326" s="112"/>
      <c r="O326" s="112"/>
      <c r="P326" s="112"/>
      <c r="Q326" s="112"/>
      <c r="R326" s="112"/>
      <c r="S326" s="112"/>
      <c r="T326" s="112"/>
      <c r="U326" s="113"/>
      <c r="W326" s="35" t="str">
        <f>"-- "&amp;C326</f>
        <v>-- 医薬品マスタテーブルのレコードをバックアップ_医薬品マスタテーブルに格納する。</v>
      </c>
    </row>
    <row r="328" spans="2:23" ht="18.75" customHeight="1">
      <c r="C328" s="102" t="s">
        <v>3556</v>
      </c>
      <c r="D328" s="103"/>
      <c r="E328" s="114" t="s">
        <v>162</v>
      </c>
      <c r="F328" s="36"/>
      <c r="G328" s="36"/>
      <c r="H328" s="36"/>
      <c r="I328" s="36"/>
      <c r="J328" s="36"/>
      <c r="K328" s="36"/>
      <c r="L328" s="36"/>
      <c r="M328" s="36"/>
      <c r="N328" s="36"/>
      <c r="O328" s="36"/>
      <c r="P328" s="36"/>
      <c r="Q328" s="36"/>
      <c r="R328" s="102" t="str">
        <f>"バックアップ_"&amp;SUBSTITUTE(C328,"_結合","")</f>
        <v>バックアップ_医薬品マスタ</v>
      </c>
      <c r="S328" s="103"/>
      <c r="T328" s="106" t="str">
        <f>エンティティ一覧!$O$2</f>
        <v>milscm_2023_009</v>
      </c>
    </row>
    <row r="329" spans="2:23" ht="18.75" customHeight="1">
      <c r="C329" s="104"/>
      <c r="D329" s="105"/>
      <c r="E329" s="115"/>
      <c r="F329" s="37"/>
      <c r="G329" s="37"/>
      <c r="H329" s="37"/>
      <c r="I329" s="37"/>
      <c r="J329" s="37"/>
      <c r="K329" s="37"/>
      <c r="L329" s="37"/>
      <c r="M329" s="37"/>
      <c r="N329" s="37"/>
      <c r="O329" s="37"/>
      <c r="P329" s="37"/>
      <c r="Q329" s="37"/>
      <c r="R329" s="104"/>
      <c r="S329" s="105"/>
      <c r="T329" s="107"/>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3557</v>
      </c>
      <c r="D333" s="90"/>
      <c r="W333" s="35" t="str">
        <f>"-- "&amp;B333&amp;" : "&amp;C333</f>
        <v>-- SQL_ID : 01_A3-19</v>
      </c>
    </row>
    <row r="334" spans="2:23" ht="18.75" customHeight="1">
      <c r="B334" s="43" t="s">
        <v>158</v>
      </c>
      <c r="C334" s="108" t="str">
        <f>R337&amp;"登録"</f>
        <v>バックアップ_医薬品ブランドマスタ登録</v>
      </c>
      <c r="D334" s="109"/>
      <c r="E334" s="109"/>
      <c r="F334" s="109"/>
      <c r="G334" s="109"/>
      <c r="H334" s="109"/>
      <c r="I334" s="109"/>
      <c r="J334" s="109"/>
      <c r="K334" s="109"/>
      <c r="L334" s="109"/>
      <c r="M334" s="109"/>
      <c r="N334" s="109"/>
      <c r="O334" s="109"/>
      <c r="P334" s="109"/>
      <c r="Q334" s="109"/>
      <c r="R334" s="109"/>
      <c r="S334" s="109"/>
      <c r="T334" s="109"/>
      <c r="U334" s="110"/>
      <c r="W334" s="35" t="str">
        <f>"-- "&amp;C334</f>
        <v>-- バックアップ_医薬品ブランドマスタ登録</v>
      </c>
    </row>
    <row r="335" spans="2:23" ht="18.75" customHeight="1">
      <c r="B335" s="43" t="s">
        <v>159</v>
      </c>
      <c r="C335" s="111" t="str">
        <f>C337&amp;"テーブルのレコードを"&amp;R337&amp;"テーブルに格納する。"</f>
        <v>医薬品ブランドマスタテーブルのレコードをバックアップ_医薬品ブランドマスタテーブルに格納する。</v>
      </c>
      <c r="D335" s="112"/>
      <c r="E335" s="112"/>
      <c r="F335" s="112"/>
      <c r="G335" s="112"/>
      <c r="H335" s="112"/>
      <c r="I335" s="112"/>
      <c r="J335" s="112"/>
      <c r="K335" s="112"/>
      <c r="L335" s="112"/>
      <c r="M335" s="112"/>
      <c r="N335" s="112"/>
      <c r="O335" s="112"/>
      <c r="P335" s="112"/>
      <c r="Q335" s="112"/>
      <c r="R335" s="112"/>
      <c r="S335" s="112"/>
      <c r="T335" s="112"/>
      <c r="U335" s="113"/>
      <c r="W335" s="35" t="str">
        <f>"-- "&amp;C335</f>
        <v>-- 医薬品ブランドマスタテーブルのレコードをバックアップ_医薬品ブランドマスタテーブルに格納する。</v>
      </c>
    </row>
    <row r="337" spans="2:23" ht="18.75" customHeight="1">
      <c r="C337" s="102" t="s">
        <v>3558</v>
      </c>
      <c r="D337" s="103"/>
      <c r="E337" s="114" t="s">
        <v>162</v>
      </c>
      <c r="F337" s="36"/>
      <c r="G337" s="36"/>
      <c r="H337" s="36"/>
      <c r="I337" s="36"/>
      <c r="J337" s="36"/>
      <c r="K337" s="36"/>
      <c r="L337" s="36"/>
      <c r="M337" s="36"/>
      <c r="N337" s="36"/>
      <c r="O337" s="36"/>
      <c r="P337" s="36"/>
      <c r="Q337" s="36"/>
      <c r="R337" s="102" t="str">
        <f>"バックアップ_"&amp;SUBSTITUTE(C337,"_結合","")</f>
        <v>バックアップ_医薬品ブランドマスタ</v>
      </c>
      <c r="S337" s="103"/>
      <c r="T337" s="106" t="str">
        <f>エンティティ一覧!$O$2</f>
        <v>milscm_2023_009</v>
      </c>
    </row>
    <row r="338" spans="2:23" ht="18.75" customHeight="1">
      <c r="C338" s="104"/>
      <c r="D338" s="105"/>
      <c r="E338" s="115"/>
      <c r="F338" s="37"/>
      <c r="G338" s="37"/>
      <c r="H338" s="37"/>
      <c r="I338" s="37"/>
      <c r="J338" s="37"/>
      <c r="K338" s="37"/>
      <c r="L338" s="37"/>
      <c r="M338" s="37"/>
      <c r="N338" s="37"/>
      <c r="O338" s="37"/>
      <c r="P338" s="37"/>
      <c r="Q338" s="37"/>
      <c r="R338" s="104"/>
      <c r="S338" s="105"/>
      <c r="T338" s="107"/>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3559</v>
      </c>
      <c r="D342" s="90"/>
      <c r="W342" s="35" t="str">
        <f>"-- "&amp;B342&amp;" : "&amp;C342</f>
        <v>-- SQL_ID : 01_A3-20</v>
      </c>
    </row>
    <row r="343" spans="2:23" ht="18.75" customHeight="1">
      <c r="B343" s="43" t="s">
        <v>158</v>
      </c>
      <c r="C343" s="108" t="str">
        <f>R346&amp;"登録"</f>
        <v>バックアップ_医薬品一般名マスタ登録</v>
      </c>
      <c r="D343" s="109"/>
      <c r="E343" s="109"/>
      <c r="F343" s="109"/>
      <c r="G343" s="109"/>
      <c r="H343" s="109"/>
      <c r="I343" s="109"/>
      <c r="J343" s="109"/>
      <c r="K343" s="109"/>
      <c r="L343" s="109"/>
      <c r="M343" s="109"/>
      <c r="N343" s="109"/>
      <c r="O343" s="109"/>
      <c r="P343" s="109"/>
      <c r="Q343" s="109"/>
      <c r="R343" s="109"/>
      <c r="S343" s="109"/>
      <c r="T343" s="109"/>
      <c r="U343" s="110"/>
      <c r="W343" s="35" t="str">
        <f>"-- "&amp;C343</f>
        <v>-- バックアップ_医薬品一般名マスタ登録</v>
      </c>
    </row>
    <row r="344" spans="2:23" ht="18.75" customHeight="1">
      <c r="B344" s="43" t="s">
        <v>159</v>
      </c>
      <c r="C344" s="111" t="str">
        <f>C346&amp;"テーブルのレコードを"&amp;R346&amp;"テーブルに格納する。"</f>
        <v>医薬品一般名マスタテーブルのレコードをバックアップ_医薬品一般名マスタテーブルに格納する。</v>
      </c>
      <c r="D344" s="112"/>
      <c r="E344" s="112"/>
      <c r="F344" s="112"/>
      <c r="G344" s="112"/>
      <c r="H344" s="112"/>
      <c r="I344" s="112"/>
      <c r="J344" s="112"/>
      <c r="K344" s="112"/>
      <c r="L344" s="112"/>
      <c r="M344" s="112"/>
      <c r="N344" s="112"/>
      <c r="O344" s="112"/>
      <c r="P344" s="112"/>
      <c r="Q344" s="112"/>
      <c r="R344" s="112"/>
      <c r="S344" s="112"/>
      <c r="T344" s="112"/>
      <c r="U344" s="113"/>
      <c r="W344" s="35" t="str">
        <f>"-- "&amp;C344</f>
        <v>-- 医薬品一般名マスタテーブルのレコードをバックアップ_医薬品一般名マスタテーブルに格納する。</v>
      </c>
    </row>
    <row r="346" spans="2:23" ht="18.75" customHeight="1">
      <c r="C346" s="102" t="s">
        <v>3560</v>
      </c>
      <c r="D346" s="103"/>
      <c r="E346" s="114" t="s">
        <v>162</v>
      </c>
      <c r="F346" s="36"/>
      <c r="G346" s="36"/>
      <c r="H346" s="36"/>
      <c r="I346" s="36"/>
      <c r="J346" s="36"/>
      <c r="K346" s="36"/>
      <c r="L346" s="36"/>
      <c r="M346" s="36"/>
      <c r="N346" s="36"/>
      <c r="O346" s="36"/>
      <c r="P346" s="36"/>
      <c r="Q346" s="36"/>
      <c r="R346" s="102" t="str">
        <f>"バックアップ_"&amp;SUBSTITUTE(C346,"_結合","")</f>
        <v>バックアップ_医薬品一般名マスタ</v>
      </c>
      <c r="S346" s="103"/>
      <c r="T346" s="106" t="str">
        <f>エンティティ一覧!$O$2</f>
        <v>milscm_2023_009</v>
      </c>
    </row>
    <row r="347" spans="2:23" ht="18.75" customHeight="1">
      <c r="C347" s="104"/>
      <c r="D347" s="105"/>
      <c r="E347" s="115"/>
      <c r="F347" s="37"/>
      <c r="G347" s="37"/>
      <c r="H347" s="37"/>
      <c r="I347" s="37"/>
      <c r="J347" s="37"/>
      <c r="K347" s="37"/>
      <c r="L347" s="37"/>
      <c r="M347" s="37"/>
      <c r="N347" s="37"/>
      <c r="O347" s="37"/>
      <c r="P347" s="37"/>
      <c r="Q347" s="37"/>
      <c r="R347" s="104"/>
      <c r="S347" s="105"/>
      <c r="T347" s="10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3561</v>
      </c>
      <c r="D351" s="90"/>
      <c r="W351" s="35" t="str">
        <f>"-- "&amp;B351&amp;" : "&amp;C351</f>
        <v>-- SQL_ID : 01_A3-21</v>
      </c>
    </row>
    <row r="352" spans="2:23" ht="18.75" customHeight="1">
      <c r="B352" s="43" t="s">
        <v>158</v>
      </c>
      <c r="C352" s="108" t="str">
        <f>R355&amp;"登録"</f>
        <v>バックアップ_医薬品販売会社マスタ登録</v>
      </c>
      <c r="D352" s="109"/>
      <c r="E352" s="109"/>
      <c r="F352" s="109"/>
      <c r="G352" s="109"/>
      <c r="H352" s="109"/>
      <c r="I352" s="109"/>
      <c r="J352" s="109"/>
      <c r="K352" s="109"/>
      <c r="L352" s="109"/>
      <c r="M352" s="109"/>
      <c r="N352" s="109"/>
      <c r="O352" s="109"/>
      <c r="P352" s="109"/>
      <c r="Q352" s="109"/>
      <c r="R352" s="109"/>
      <c r="S352" s="109"/>
      <c r="T352" s="109"/>
      <c r="U352" s="110"/>
      <c r="W352" s="35" t="str">
        <f>"-- "&amp;C352</f>
        <v>-- バックアップ_医薬品販売会社マスタ登録</v>
      </c>
    </row>
    <row r="353" spans="2:23" ht="18.75" customHeight="1">
      <c r="B353" s="43" t="s">
        <v>159</v>
      </c>
      <c r="C353" s="111" t="str">
        <f>C355&amp;"テーブルのレコードを"&amp;R355&amp;"テーブルに格納する。"</f>
        <v>医薬品販売会社マスタテーブルのレコードをバックアップ_医薬品販売会社マスタテーブルに格納する。</v>
      </c>
      <c r="D353" s="112"/>
      <c r="E353" s="112"/>
      <c r="F353" s="112"/>
      <c r="G353" s="112"/>
      <c r="H353" s="112"/>
      <c r="I353" s="112"/>
      <c r="J353" s="112"/>
      <c r="K353" s="112"/>
      <c r="L353" s="112"/>
      <c r="M353" s="112"/>
      <c r="N353" s="112"/>
      <c r="O353" s="112"/>
      <c r="P353" s="112"/>
      <c r="Q353" s="112"/>
      <c r="R353" s="112"/>
      <c r="S353" s="112"/>
      <c r="T353" s="112"/>
      <c r="U353" s="113"/>
      <c r="W353" s="35" t="str">
        <f>"-- "&amp;C353</f>
        <v>-- 医薬品販売会社マスタテーブルのレコードをバックアップ_医薬品販売会社マスタテーブルに格納する。</v>
      </c>
    </row>
    <row r="355" spans="2:23" ht="18.75" customHeight="1">
      <c r="C355" s="102" t="s">
        <v>3562</v>
      </c>
      <c r="D355" s="103"/>
      <c r="E355" s="114" t="s">
        <v>162</v>
      </c>
      <c r="F355" s="36"/>
      <c r="G355" s="36"/>
      <c r="H355" s="36"/>
      <c r="I355" s="36"/>
      <c r="J355" s="36"/>
      <c r="K355" s="36"/>
      <c r="L355" s="36"/>
      <c r="M355" s="36"/>
      <c r="N355" s="36"/>
      <c r="O355" s="36"/>
      <c r="P355" s="36"/>
      <c r="Q355" s="36"/>
      <c r="R355" s="102" t="str">
        <f>"バックアップ_"&amp;SUBSTITUTE(C355,"_結合","")</f>
        <v>バックアップ_医薬品販売会社マスタ</v>
      </c>
      <c r="S355" s="103"/>
      <c r="T355" s="106" t="str">
        <f>エンティティ一覧!$O$2</f>
        <v>milscm_2023_009</v>
      </c>
    </row>
    <row r="356" spans="2:23" ht="18.75" customHeight="1">
      <c r="C356" s="104"/>
      <c r="D356" s="105"/>
      <c r="E356" s="115"/>
      <c r="F356" s="37"/>
      <c r="G356" s="37"/>
      <c r="H356" s="37"/>
      <c r="I356" s="37"/>
      <c r="J356" s="37"/>
      <c r="K356" s="37"/>
      <c r="L356" s="37"/>
      <c r="M356" s="37"/>
      <c r="N356" s="37"/>
      <c r="O356" s="37"/>
      <c r="P356" s="37"/>
      <c r="Q356" s="37"/>
      <c r="R356" s="104"/>
      <c r="S356" s="105"/>
      <c r="T356" s="107"/>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3563</v>
      </c>
      <c r="D360" s="90"/>
      <c r="W360" s="35" t="str">
        <f>"-- "&amp;B360&amp;" : "&amp;C360</f>
        <v>-- SQL_ID : 01_A3-22</v>
      </c>
    </row>
    <row r="361" spans="2:23" ht="18.75" customHeight="1">
      <c r="B361" s="43" t="s">
        <v>158</v>
      </c>
      <c r="C361" s="108" t="str">
        <f>R364&amp;"登録"</f>
        <v>バックアップ_メーカマスタ登録</v>
      </c>
      <c r="D361" s="109"/>
      <c r="E361" s="109"/>
      <c r="F361" s="109"/>
      <c r="G361" s="109"/>
      <c r="H361" s="109"/>
      <c r="I361" s="109"/>
      <c r="J361" s="109"/>
      <c r="K361" s="109"/>
      <c r="L361" s="109"/>
      <c r="M361" s="109"/>
      <c r="N361" s="109"/>
      <c r="O361" s="109"/>
      <c r="P361" s="109"/>
      <c r="Q361" s="109"/>
      <c r="R361" s="109"/>
      <c r="S361" s="109"/>
      <c r="T361" s="109"/>
      <c r="U361" s="110"/>
      <c r="W361" s="35" t="str">
        <f>"-- "&amp;C361</f>
        <v>-- バックアップ_メーカマスタ登録</v>
      </c>
    </row>
    <row r="362" spans="2:23" ht="18.75" customHeight="1">
      <c r="B362" s="43" t="s">
        <v>159</v>
      </c>
      <c r="C362" s="111" t="str">
        <f>C364&amp;"テーブルのレコードを"&amp;R364&amp;"テーブルに格納する。"</f>
        <v>メーカマスタテーブルのレコードをバックアップ_メーカマスタテーブルに格納する。</v>
      </c>
      <c r="D362" s="112"/>
      <c r="E362" s="112"/>
      <c r="F362" s="112"/>
      <c r="G362" s="112"/>
      <c r="H362" s="112"/>
      <c r="I362" s="112"/>
      <c r="J362" s="112"/>
      <c r="K362" s="112"/>
      <c r="L362" s="112"/>
      <c r="M362" s="112"/>
      <c r="N362" s="112"/>
      <c r="O362" s="112"/>
      <c r="P362" s="112"/>
      <c r="Q362" s="112"/>
      <c r="R362" s="112"/>
      <c r="S362" s="112"/>
      <c r="T362" s="112"/>
      <c r="U362" s="113"/>
      <c r="W362" s="35" t="str">
        <f>"-- "&amp;C362</f>
        <v>-- メーカマスタテーブルのレコードをバックアップ_メーカマスタテーブルに格納する。</v>
      </c>
    </row>
    <row r="364" spans="2:23" ht="18.75" customHeight="1">
      <c r="C364" s="102" t="s">
        <v>3564</v>
      </c>
      <c r="D364" s="103"/>
      <c r="E364" s="114" t="s">
        <v>162</v>
      </c>
      <c r="F364" s="36"/>
      <c r="G364" s="36"/>
      <c r="H364" s="36"/>
      <c r="I364" s="36"/>
      <c r="J364" s="36"/>
      <c r="K364" s="36"/>
      <c r="L364" s="36"/>
      <c r="M364" s="36"/>
      <c r="N364" s="36"/>
      <c r="O364" s="36"/>
      <c r="P364" s="36"/>
      <c r="Q364" s="36"/>
      <c r="R364" s="102" t="str">
        <f>"バックアップ_"&amp;SUBSTITUTE(C364,"_結合","")</f>
        <v>バックアップ_メーカマスタ</v>
      </c>
      <c r="S364" s="103"/>
      <c r="T364" s="106" t="str">
        <f>エンティティ一覧!$O$2</f>
        <v>milscm_2023_009</v>
      </c>
    </row>
    <row r="365" spans="2:23" ht="18.75" customHeight="1">
      <c r="C365" s="104"/>
      <c r="D365" s="105"/>
      <c r="E365" s="115"/>
      <c r="F365" s="37"/>
      <c r="G365" s="37"/>
      <c r="H365" s="37"/>
      <c r="I365" s="37"/>
      <c r="J365" s="37"/>
      <c r="K365" s="37"/>
      <c r="L365" s="37"/>
      <c r="M365" s="37"/>
      <c r="N365" s="37"/>
      <c r="O365" s="37"/>
      <c r="P365" s="37"/>
      <c r="Q365" s="37"/>
      <c r="R365" s="104"/>
      <c r="S365" s="105"/>
      <c r="T365" s="107"/>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3565</v>
      </c>
      <c r="D369" s="90"/>
      <c r="W369" s="35" t="str">
        <f>"-- "&amp;B369&amp;" : "&amp;C369</f>
        <v>-- SQL_ID : 01_A3-23</v>
      </c>
    </row>
    <row r="370" spans="2:23" ht="18.75" customHeight="1">
      <c r="B370" s="43" t="s">
        <v>158</v>
      </c>
      <c r="C370" s="108" t="str">
        <f>R373&amp;"登録"</f>
        <v>バックアップ_薬価マスタ登録</v>
      </c>
      <c r="D370" s="109"/>
      <c r="E370" s="109"/>
      <c r="F370" s="109"/>
      <c r="G370" s="109"/>
      <c r="H370" s="109"/>
      <c r="I370" s="109"/>
      <c r="J370" s="109"/>
      <c r="K370" s="109"/>
      <c r="L370" s="109"/>
      <c r="M370" s="109"/>
      <c r="N370" s="109"/>
      <c r="O370" s="109"/>
      <c r="P370" s="109"/>
      <c r="Q370" s="109"/>
      <c r="R370" s="109"/>
      <c r="S370" s="109"/>
      <c r="T370" s="109"/>
      <c r="U370" s="110"/>
      <c r="W370" s="35" t="str">
        <f>"-- "&amp;C370</f>
        <v>-- バックアップ_薬価マスタ登録</v>
      </c>
    </row>
    <row r="371" spans="2:23" ht="18.75" customHeight="1">
      <c r="B371" s="43" t="s">
        <v>159</v>
      </c>
      <c r="C371" s="111" t="str">
        <f>C373&amp;"テーブルのレコードを"&amp;R373&amp;"テーブルに格納する。"</f>
        <v>薬価マスタテーブルのレコードをバックアップ_薬価マスタテーブルに格納する。</v>
      </c>
      <c r="D371" s="112"/>
      <c r="E371" s="112"/>
      <c r="F371" s="112"/>
      <c r="G371" s="112"/>
      <c r="H371" s="112"/>
      <c r="I371" s="112"/>
      <c r="J371" s="112"/>
      <c r="K371" s="112"/>
      <c r="L371" s="112"/>
      <c r="M371" s="112"/>
      <c r="N371" s="112"/>
      <c r="O371" s="112"/>
      <c r="P371" s="112"/>
      <c r="Q371" s="112"/>
      <c r="R371" s="112"/>
      <c r="S371" s="112"/>
      <c r="T371" s="112"/>
      <c r="U371" s="113"/>
      <c r="W371" s="35" t="str">
        <f>"-- "&amp;C371</f>
        <v>-- 薬価マスタテーブルのレコードをバックアップ_薬価マスタテーブルに格納する。</v>
      </c>
    </row>
    <row r="373" spans="2:23" ht="18.75" customHeight="1">
      <c r="C373" s="102" t="s">
        <v>3566</v>
      </c>
      <c r="D373" s="103"/>
      <c r="E373" s="114" t="s">
        <v>162</v>
      </c>
      <c r="F373" s="36"/>
      <c r="G373" s="36"/>
      <c r="H373" s="36"/>
      <c r="I373" s="36"/>
      <c r="J373" s="36"/>
      <c r="K373" s="36"/>
      <c r="L373" s="36"/>
      <c r="M373" s="36"/>
      <c r="N373" s="36"/>
      <c r="O373" s="36"/>
      <c r="P373" s="36"/>
      <c r="Q373" s="36"/>
      <c r="R373" s="102" t="str">
        <f>"バックアップ_"&amp;SUBSTITUTE(C373,"_結合","")</f>
        <v>バックアップ_薬価マスタ</v>
      </c>
      <c r="S373" s="103"/>
      <c r="T373" s="106" t="str">
        <f>エンティティ一覧!$O$2</f>
        <v>milscm_2023_009</v>
      </c>
    </row>
    <row r="374" spans="2:23" ht="18.75" customHeight="1">
      <c r="C374" s="104"/>
      <c r="D374" s="105"/>
      <c r="E374" s="115"/>
      <c r="F374" s="37"/>
      <c r="G374" s="37"/>
      <c r="H374" s="37"/>
      <c r="I374" s="37"/>
      <c r="J374" s="37"/>
      <c r="K374" s="37"/>
      <c r="L374" s="37"/>
      <c r="M374" s="37"/>
      <c r="N374" s="37"/>
      <c r="O374" s="37"/>
      <c r="P374" s="37"/>
      <c r="Q374" s="37"/>
      <c r="R374" s="104"/>
      <c r="S374" s="105"/>
      <c r="T374" s="107"/>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3567</v>
      </c>
      <c r="D378" s="90"/>
      <c r="W378" s="35" t="str">
        <f>"-- "&amp;B378&amp;" : "&amp;C378</f>
        <v>-- SQL_ID : 01_A3-24</v>
      </c>
    </row>
    <row r="379" spans="2:23" ht="18.75" customHeight="1">
      <c r="B379" s="43" t="s">
        <v>158</v>
      </c>
      <c r="C379" s="108" t="str">
        <f>R382&amp;"登録"</f>
        <v>バックアップ_薬効ATC分類1マスタ登録</v>
      </c>
      <c r="D379" s="109"/>
      <c r="E379" s="109"/>
      <c r="F379" s="109"/>
      <c r="G379" s="109"/>
      <c r="H379" s="109"/>
      <c r="I379" s="109"/>
      <c r="J379" s="109"/>
      <c r="K379" s="109"/>
      <c r="L379" s="109"/>
      <c r="M379" s="109"/>
      <c r="N379" s="109"/>
      <c r="O379" s="109"/>
      <c r="P379" s="109"/>
      <c r="Q379" s="109"/>
      <c r="R379" s="109"/>
      <c r="S379" s="109"/>
      <c r="T379" s="109"/>
      <c r="U379" s="110"/>
      <c r="W379" s="35" t="str">
        <f>"-- "&amp;C379</f>
        <v>-- バックアップ_薬効ATC分類1マスタ登録</v>
      </c>
    </row>
    <row r="380" spans="2:23" ht="18.75" customHeight="1">
      <c r="B380" s="43" t="s">
        <v>159</v>
      </c>
      <c r="C380" s="111" t="str">
        <f>C382&amp;"テーブルのレコードを"&amp;R382&amp;"テーブルに格納する。"</f>
        <v>薬効ATC分類1マスタテーブルのレコードをバックアップ_薬効ATC分類1マスタテーブルに格納する。</v>
      </c>
      <c r="D380" s="112"/>
      <c r="E380" s="112"/>
      <c r="F380" s="112"/>
      <c r="G380" s="112"/>
      <c r="H380" s="112"/>
      <c r="I380" s="112"/>
      <c r="J380" s="112"/>
      <c r="K380" s="112"/>
      <c r="L380" s="112"/>
      <c r="M380" s="112"/>
      <c r="N380" s="112"/>
      <c r="O380" s="112"/>
      <c r="P380" s="112"/>
      <c r="Q380" s="112"/>
      <c r="R380" s="112"/>
      <c r="S380" s="112"/>
      <c r="T380" s="112"/>
      <c r="U380" s="113"/>
      <c r="W380" s="35" t="str">
        <f>"-- "&amp;C380</f>
        <v>-- 薬効ATC分類1マスタテーブルのレコードをバックアップ_薬効ATC分類1マスタテーブルに格納する。</v>
      </c>
    </row>
    <row r="382" spans="2:23" ht="18.75" customHeight="1">
      <c r="C382" s="102" t="s">
        <v>3568</v>
      </c>
      <c r="D382" s="103"/>
      <c r="E382" s="114" t="s">
        <v>162</v>
      </c>
      <c r="F382" s="36"/>
      <c r="G382" s="36"/>
      <c r="H382" s="36"/>
      <c r="I382" s="36"/>
      <c r="J382" s="36"/>
      <c r="K382" s="36"/>
      <c r="L382" s="36"/>
      <c r="M382" s="36"/>
      <c r="N382" s="36"/>
      <c r="O382" s="36"/>
      <c r="P382" s="36"/>
      <c r="Q382" s="36"/>
      <c r="R382" s="102" t="str">
        <f>"バックアップ_"&amp;SUBSTITUTE(C382,"_結合","")</f>
        <v>バックアップ_薬効ATC分類1マスタ</v>
      </c>
      <c r="S382" s="103"/>
      <c r="T382" s="106" t="str">
        <f>エンティティ一覧!$O$2</f>
        <v>milscm_2023_009</v>
      </c>
    </row>
    <row r="383" spans="2:23" ht="18.75" customHeight="1">
      <c r="C383" s="104"/>
      <c r="D383" s="105"/>
      <c r="E383" s="115"/>
      <c r="F383" s="37"/>
      <c r="G383" s="37"/>
      <c r="H383" s="37"/>
      <c r="I383" s="37"/>
      <c r="J383" s="37"/>
      <c r="K383" s="37"/>
      <c r="L383" s="37"/>
      <c r="M383" s="37"/>
      <c r="N383" s="37"/>
      <c r="O383" s="37"/>
      <c r="P383" s="37"/>
      <c r="Q383" s="37"/>
      <c r="R383" s="104"/>
      <c r="S383" s="105"/>
      <c r="T383" s="10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3569</v>
      </c>
      <c r="D387" s="90"/>
      <c r="W387" s="35" t="str">
        <f>"-- "&amp;B387&amp;" : "&amp;C387</f>
        <v>-- SQL_ID : 01_A3-25</v>
      </c>
    </row>
    <row r="388" spans="2:23" ht="18.75" customHeight="1">
      <c r="B388" s="43" t="s">
        <v>158</v>
      </c>
      <c r="C388" s="108" t="str">
        <f>R391&amp;"登録"</f>
        <v>バックアップ_薬効ATC分類2マスタ登録</v>
      </c>
      <c r="D388" s="109"/>
      <c r="E388" s="109"/>
      <c r="F388" s="109"/>
      <c r="G388" s="109"/>
      <c r="H388" s="109"/>
      <c r="I388" s="109"/>
      <c r="J388" s="109"/>
      <c r="K388" s="109"/>
      <c r="L388" s="109"/>
      <c r="M388" s="109"/>
      <c r="N388" s="109"/>
      <c r="O388" s="109"/>
      <c r="P388" s="109"/>
      <c r="Q388" s="109"/>
      <c r="R388" s="109"/>
      <c r="S388" s="109"/>
      <c r="T388" s="109"/>
      <c r="U388" s="110"/>
      <c r="W388" s="35" t="str">
        <f>"-- "&amp;C388</f>
        <v>-- バックアップ_薬効ATC分類2マスタ登録</v>
      </c>
    </row>
    <row r="389" spans="2:23" ht="18.75" customHeight="1">
      <c r="B389" s="43" t="s">
        <v>159</v>
      </c>
      <c r="C389" s="111" t="str">
        <f>C391&amp;"テーブルのレコードを"&amp;R391&amp;"テーブルに格納する。"</f>
        <v>薬効ATC分類2マスタテーブルのレコードをバックアップ_薬効ATC分類2マスタテーブルに格納する。</v>
      </c>
      <c r="D389" s="112"/>
      <c r="E389" s="112"/>
      <c r="F389" s="112"/>
      <c r="G389" s="112"/>
      <c r="H389" s="112"/>
      <c r="I389" s="112"/>
      <c r="J389" s="112"/>
      <c r="K389" s="112"/>
      <c r="L389" s="112"/>
      <c r="M389" s="112"/>
      <c r="N389" s="112"/>
      <c r="O389" s="112"/>
      <c r="P389" s="112"/>
      <c r="Q389" s="112"/>
      <c r="R389" s="112"/>
      <c r="S389" s="112"/>
      <c r="T389" s="112"/>
      <c r="U389" s="113"/>
      <c r="W389" s="35" t="str">
        <f>"-- "&amp;C389</f>
        <v>-- 薬効ATC分類2マスタテーブルのレコードをバックアップ_薬効ATC分類2マスタテーブルに格納する。</v>
      </c>
    </row>
    <row r="391" spans="2:23" ht="18.75" customHeight="1">
      <c r="C391" s="102" t="s">
        <v>3570</v>
      </c>
      <c r="D391" s="103"/>
      <c r="E391" s="114" t="s">
        <v>162</v>
      </c>
      <c r="F391" s="36"/>
      <c r="G391" s="36"/>
      <c r="H391" s="36"/>
      <c r="I391" s="36"/>
      <c r="J391" s="36"/>
      <c r="K391" s="36"/>
      <c r="L391" s="36"/>
      <c r="M391" s="36"/>
      <c r="N391" s="36"/>
      <c r="O391" s="36"/>
      <c r="P391" s="36"/>
      <c r="Q391" s="36"/>
      <c r="R391" s="102" t="str">
        <f>"バックアップ_"&amp;SUBSTITUTE(C391,"_結合","")</f>
        <v>バックアップ_薬効ATC分類2マスタ</v>
      </c>
      <c r="S391" s="103"/>
      <c r="T391" s="106" t="str">
        <f>エンティティ一覧!$O$2</f>
        <v>milscm_2023_009</v>
      </c>
    </row>
    <row r="392" spans="2:23" ht="18.75" customHeight="1">
      <c r="C392" s="104"/>
      <c r="D392" s="105"/>
      <c r="E392" s="115"/>
      <c r="F392" s="37"/>
      <c r="G392" s="37"/>
      <c r="H392" s="37"/>
      <c r="I392" s="37"/>
      <c r="J392" s="37"/>
      <c r="K392" s="37"/>
      <c r="L392" s="37"/>
      <c r="M392" s="37"/>
      <c r="N392" s="37"/>
      <c r="O392" s="37"/>
      <c r="P392" s="37"/>
      <c r="Q392" s="37"/>
      <c r="R392" s="104"/>
      <c r="S392" s="105"/>
      <c r="T392" s="107"/>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3571</v>
      </c>
      <c r="D396" s="90"/>
      <c r="W396" s="35" t="str">
        <f>"-- "&amp;B396&amp;" : "&amp;C396</f>
        <v>-- SQL_ID : 01_A3-26</v>
      </c>
    </row>
    <row r="397" spans="2:23" ht="18.75" customHeight="1">
      <c r="B397" s="43" t="s">
        <v>158</v>
      </c>
      <c r="C397" s="108" t="str">
        <f>R400&amp;"登録"</f>
        <v>バックアップ_薬効ATC分類3マスタ登録</v>
      </c>
      <c r="D397" s="109"/>
      <c r="E397" s="109"/>
      <c r="F397" s="109"/>
      <c r="G397" s="109"/>
      <c r="H397" s="109"/>
      <c r="I397" s="109"/>
      <c r="J397" s="109"/>
      <c r="K397" s="109"/>
      <c r="L397" s="109"/>
      <c r="M397" s="109"/>
      <c r="N397" s="109"/>
      <c r="O397" s="109"/>
      <c r="P397" s="109"/>
      <c r="Q397" s="109"/>
      <c r="R397" s="109"/>
      <c r="S397" s="109"/>
      <c r="T397" s="109"/>
      <c r="U397" s="110"/>
      <c r="W397" s="35" t="str">
        <f>"-- "&amp;C397</f>
        <v>-- バックアップ_薬効ATC分類3マスタ登録</v>
      </c>
    </row>
    <row r="398" spans="2:23" ht="18.75" customHeight="1">
      <c r="B398" s="43" t="s">
        <v>159</v>
      </c>
      <c r="C398" s="111" t="str">
        <f>C400&amp;"テーブルのレコードを"&amp;R400&amp;"テーブルに格納する。"</f>
        <v>薬効ATC分類3マスタテーブルのレコードをバックアップ_薬効ATC分類3マスタテーブルに格納する。</v>
      </c>
      <c r="D398" s="112"/>
      <c r="E398" s="112"/>
      <c r="F398" s="112"/>
      <c r="G398" s="112"/>
      <c r="H398" s="112"/>
      <c r="I398" s="112"/>
      <c r="J398" s="112"/>
      <c r="K398" s="112"/>
      <c r="L398" s="112"/>
      <c r="M398" s="112"/>
      <c r="N398" s="112"/>
      <c r="O398" s="112"/>
      <c r="P398" s="112"/>
      <c r="Q398" s="112"/>
      <c r="R398" s="112"/>
      <c r="S398" s="112"/>
      <c r="T398" s="112"/>
      <c r="U398" s="113"/>
      <c r="W398" s="35" t="str">
        <f>"-- "&amp;C398</f>
        <v>-- 薬効ATC分類3マスタテーブルのレコードをバックアップ_薬効ATC分類3マスタテーブルに格納する。</v>
      </c>
    </row>
    <row r="400" spans="2:23" ht="18.75" customHeight="1">
      <c r="C400" s="102" t="s">
        <v>3572</v>
      </c>
      <c r="D400" s="103"/>
      <c r="E400" s="114" t="s">
        <v>162</v>
      </c>
      <c r="F400" s="36"/>
      <c r="G400" s="36"/>
      <c r="H400" s="36"/>
      <c r="I400" s="36"/>
      <c r="J400" s="36"/>
      <c r="K400" s="36"/>
      <c r="L400" s="36"/>
      <c r="M400" s="36"/>
      <c r="N400" s="36"/>
      <c r="O400" s="36"/>
      <c r="P400" s="36"/>
      <c r="Q400" s="36"/>
      <c r="R400" s="102" t="str">
        <f>"バックアップ_"&amp;SUBSTITUTE(C400,"_結合","")</f>
        <v>バックアップ_薬効ATC分類3マスタ</v>
      </c>
      <c r="S400" s="103"/>
      <c r="T400" s="106" t="str">
        <f>エンティティ一覧!$O$2</f>
        <v>milscm_2023_009</v>
      </c>
    </row>
    <row r="401" spans="2:23" ht="18.75" customHeight="1">
      <c r="C401" s="104"/>
      <c r="D401" s="105"/>
      <c r="E401" s="115"/>
      <c r="F401" s="37"/>
      <c r="G401" s="37"/>
      <c r="H401" s="37"/>
      <c r="I401" s="37"/>
      <c r="J401" s="37"/>
      <c r="K401" s="37"/>
      <c r="L401" s="37"/>
      <c r="M401" s="37"/>
      <c r="N401" s="37"/>
      <c r="O401" s="37"/>
      <c r="P401" s="37"/>
      <c r="Q401" s="37"/>
      <c r="R401" s="104"/>
      <c r="S401" s="105"/>
      <c r="T401" s="107"/>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3573</v>
      </c>
      <c r="D405" s="90"/>
      <c r="W405" s="35" t="str">
        <f>"-- "&amp;B405&amp;" : "&amp;C405</f>
        <v>-- SQL_ID : 01_A3-27</v>
      </c>
    </row>
    <row r="406" spans="2:23" ht="18.75" customHeight="1">
      <c r="B406" s="43" t="s">
        <v>158</v>
      </c>
      <c r="C406" s="108" t="str">
        <f>R409&amp;"登録"</f>
        <v>バックアップ_薬効ATC分類4マスタ登録</v>
      </c>
      <c r="D406" s="109"/>
      <c r="E406" s="109"/>
      <c r="F406" s="109"/>
      <c r="G406" s="109"/>
      <c r="H406" s="109"/>
      <c r="I406" s="109"/>
      <c r="J406" s="109"/>
      <c r="K406" s="109"/>
      <c r="L406" s="109"/>
      <c r="M406" s="109"/>
      <c r="N406" s="109"/>
      <c r="O406" s="109"/>
      <c r="P406" s="109"/>
      <c r="Q406" s="109"/>
      <c r="R406" s="109"/>
      <c r="S406" s="109"/>
      <c r="T406" s="109"/>
      <c r="U406" s="110"/>
      <c r="W406" s="35" t="str">
        <f>"-- "&amp;C406</f>
        <v>-- バックアップ_薬効ATC分類4マスタ登録</v>
      </c>
    </row>
    <row r="407" spans="2:23" ht="18.75" customHeight="1">
      <c r="B407" s="43" t="s">
        <v>159</v>
      </c>
      <c r="C407" s="111" t="str">
        <f>C409&amp;"テーブルのレコードを"&amp;R409&amp;"テーブルに格納する。"</f>
        <v>薬効ATC分類4マスタテーブルのレコードをバックアップ_薬効ATC分類4マスタテーブルに格納する。</v>
      </c>
      <c r="D407" s="112"/>
      <c r="E407" s="112"/>
      <c r="F407" s="112"/>
      <c r="G407" s="112"/>
      <c r="H407" s="112"/>
      <c r="I407" s="112"/>
      <c r="J407" s="112"/>
      <c r="K407" s="112"/>
      <c r="L407" s="112"/>
      <c r="M407" s="112"/>
      <c r="N407" s="112"/>
      <c r="O407" s="112"/>
      <c r="P407" s="112"/>
      <c r="Q407" s="112"/>
      <c r="R407" s="112"/>
      <c r="S407" s="112"/>
      <c r="T407" s="112"/>
      <c r="U407" s="113"/>
      <c r="W407" s="35" t="str">
        <f>"-- "&amp;C407</f>
        <v>-- 薬効ATC分類4マスタテーブルのレコードをバックアップ_薬効ATC分類4マスタテーブルに格納する。</v>
      </c>
    </row>
    <row r="409" spans="2:23" ht="18.75" customHeight="1">
      <c r="C409" s="102" t="s">
        <v>3574</v>
      </c>
      <c r="D409" s="103"/>
      <c r="E409" s="114" t="s">
        <v>162</v>
      </c>
      <c r="F409" s="36"/>
      <c r="G409" s="36"/>
      <c r="H409" s="36"/>
      <c r="I409" s="36"/>
      <c r="J409" s="36"/>
      <c r="K409" s="36"/>
      <c r="L409" s="36"/>
      <c r="M409" s="36"/>
      <c r="N409" s="36"/>
      <c r="O409" s="36"/>
      <c r="P409" s="36"/>
      <c r="Q409" s="36"/>
      <c r="R409" s="102" t="str">
        <f>"バックアップ_"&amp;SUBSTITUTE(C409,"_結合","")</f>
        <v>バックアップ_薬効ATC分類4マスタ</v>
      </c>
      <c r="S409" s="103"/>
      <c r="T409" s="106" t="str">
        <f>エンティティ一覧!$O$2</f>
        <v>milscm_2023_009</v>
      </c>
    </row>
    <row r="410" spans="2:23" ht="18.75" customHeight="1">
      <c r="C410" s="104"/>
      <c r="D410" s="105"/>
      <c r="E410" s="115"/>
      <c r="F410" s="37"/>
      <c r="G410" s="37"/>
      <c r="H410" s="37"/>
      <c r="I410" s="37"/>
      <c r="J410" s="37"/>
      <c r="K410" s="37"/>
      <c r="L410" s="37"/>
      <c r="M410" s="37"/>
      <c r="N410" s="37"/>
      <c r="O410" s="37"/>
      <c r="P410" s="37"/>
      <c r="Q410" s="37"/>
      <c r="R410" s="104"/>
      <c r="S410" s="105"/>
      <c r="T410" s="107"/>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3575</v>
      </c>
      <c r="D414" s="90"/>
      <c r="W414" s="35" t="str">
        <f>"-- "&amp;B414&amp;" : "&amp;C414</f>
        <v>-- SQL_ID : 01_A3-28</v>
      </c>
    </row>
    <row r="415" spans="2:23" ht="18.75" customHeight="1">
      <c r="B415" s="43" t="s">
        <v>158</v>
      </c>
      <c r="C415" s="108" t="str">
        <f>R418&amp;"登録"</f>
        <v>バックアップ_薬効ATC分類5マスタ登録</v>
      </c>
      <c r="D415" s="109"/>
      <c r="E415" s="109"/>
      <c r="F415" s="109"/>
      <c r="G415" s="109"/>
      <c r="H415" s="109"/>
      <c r="I415" s="109"/>
      <c r="J415" s="109"/>
      <c r="K415" s="109"/>
      <c r="L415" s="109"/>
      <c r="M415" s="109"/>
      <c r="N415" s="109"/>
      <c r="O415" s="109"/>
      <c r="P415" s="109"/>
      <c r="Q415" s="109"/>
      <c r="R415" s="109"/>
      <c r="S415" s="109"/>
      <c r="T415" s="109"/>
      <c r="U415" s="110"/>
      <c r="W415" s="35" t="str">
        <f>"-- "&amp;C415</f>
        <v>-- バックアップ_薬効ATC分類5マスタ登録</v>
      </c>
    </row>
    <row r="416" spans="2:23" ht="18.75" customHeight="1">
      <c r="B416" s="43" t="s">
        <v>159</v>
      </c>
      <c r="C416" s="111" t="str">
        <f>C418&amp;"テーブルのレコードを"&amp;R418&amp;"テーブルに格納する。"</f>
        <v>薬効ATC分類5マスタテーブルのレコードをバックアップ_薬効ATC分類5マスタテーブルに格納する。</v>
      </c>
      <c r="D416" s="112"/>
      <c r="E416" s="112"/>
      <c r="F416" s="112"/>
      <c r="G416" s="112"/>
      <c r="H416" s="112"/>
      <c r="I416" s="112"/>
      <c r="J416" s="112"/>
      <c r="K416" s="112"/>
      <c r="L416" s="112"/>
      <c r="M416" s="112"/>
      <c r="N416" s="112"/>
      <c r="O416" s="112"/>
      <c r="P416" s="112"/>
      <c r="Q416" s="112"/>
      <c r="R416" s="112"/>
      <c r="S416" s="112"/>
      <c r="T416" s="112"/>
      <c r="U416" s="113"/>
      <c r="W416" s="35" t="str">
        <f>"-- "&amp;C416</f>
        <v>-- 薬効ATC分類5マスタテーブルのレコードをバックアップ_薬効ATC分類5マスタテーブルに格納する。</v>
      </c>
    </row>
    <row r="418" spans="2:23" ht="18.75" customHeight="1">
      <c r="C418" s="102" t="s">
        <v>3576</v>
      </c>
      <c r="D418" s="103"/>
      <c r="E418" s="114" t="s">
        <v>162</v>
      </c>
      <c r="F418" s="36"/>
      <c r="G418" s="36"/>
      <c r="H418" s="36"/>
      <c r="I418" s="36"/>
      <c r="J418" s="36"/>
      <c r="K418" s="36"/>
      <c r="L418" s="36"/>
      <c r="M418" s="36"/>
      <c r="N418" s="36"/>
      <c r="O418" s="36"/>
      <c r="P418" s="36"/>
      <c r="Q418" s="36"/>
      <c r="R418" s="102" t="str">
        <f>"バックアップ_"&amp;SUBSTITUTE(C418,"_結合","")</f>
        <v>バックアップ_薬効ATC分類5マスタ</v>
      </c>
      <c r="S418" s="103"/>
      <c r="T418" s="106" t="str">
        <f>エンティティ一覧!$O$2</f>
        <v>milscm_2023_009</v>
      </c>
    </row>
    <row r="419" spans="2:23" ht="18.75" customHeight="1">
      <c r="C419" s="104"/>
      <c r="D419" s="105"/>
      <c r="E419" s="115"/>
      <c r="F419" s="37"/>
      <c r="G419" s="37"/>
      <c r="H419" s="37"/>
      <c r="I419" s="37"/>
      <c r="J419" s="37"/>
      <c r="K419" s="37"/>
      <c r="L419" s="37"/>
      <c r="M419" s="37"/>
      <c r="N419" s="37"/>
      <c r="O419" s="37"/>
      <c r="P419" s="37"/>
      <c r="Q419" s="37"/>
      <c r="R419" s="104"/>
      <c r="S419" s="105"/>
      <c r="T419" s="10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3577</v>
      </c>
      <c r="D423" s="90"/>
      <c r="W423" s="35" t="str">
        <f>"-- "&amp;B423&amp;" : "&amp;C423</f>
        <v>-- SQL_ID : 01_A3-29</v>
      </c>
    </row>
    <row r="424" spans="2:23" ht="18.75" customHeight="1">
      <c r="B424" s="43" t="s">
        <v>158</v>
      </c>
      <c r="C424" s="108" t="str">
        <f>R427&amp;"登録"</f>
        <v>バックアップ_疾病マスタ登録</v>
      </c>
      <c r="D424" s="109"/>
      <c r="E424" s="109"/>
      <c r="F424" s="109"/>
      <c r="G424" s="109"/>
      <c r="H424" s="109"/>
      <c r="I424" s="109"/>
      <c r="J424" s="109"/>
      <c r="K424" s="109"/>
      <c r="L424" s="109"/>
      <c r="M424" s="109"/>
      <c r="N424" s="109"/>
      <c r="O424" s="109"/>
      <c r="P424" s="109"/>
      <c r="Q424" s="109"/>
      <c r="R424" s="109"/>
      <c r="S424" s="109"/>
      <c r="T424" s="109"/>
      <c r="U424" s="110"/>
      <c r="W424" s="35" t="str">
        <f>"-- "&amp;C424</f>
        <v>-- バックアップ_疾病マスタ登録</v>
      </c>
    </row>
    <row r="425" spans="2:23" ht="18.75" customHeight="1">
      <c r="B425" s="43" t="s">
        <v>159</v>
      </c>
      <c r="C425" s="111" t="str">
        <f>C427&amp;"テーブルのレコードを"&amp;R427&amp;"テーブルに格納する。"</f>
        <v>疾病マスタテーブルのレコードをバックアップ_疾病マスタテーブルに格納する。</v>
      </c>
      <c r="D425" s="112"/>
      <c r="E425" s="112"/>
      <c r="F425" s="112"/>
      <c r="G425" s="112"/>
      <c r="H425" s="112"/>
      <c r="I425" s="112"/>
      <c r="J425" s="112"/>
      <c r="K425" s="112"/>
      <c r="L425" s="112"/>
      <c r="M425" s="112"/>
      <c r="N425" s="112"/>
      <c r="O425" s="112"/>
      <c r="P425" s="112"/>
      <c r="Q425" s="112"/>
      <c r="R425" s="112"/>
      <c r="S425" s="112"/>
      <c r="T425" s="112"/>
      <c r="U425" s="113"/>
      <c r="W425" s="35" t="str">
        <f>"-- "&amp;C425</f>
        <v>-- 疾病マスタテーブルのレコードをバックアップ_疾病マスタテーブルに格納する。</v>
      </c>
    </row>
    <row r="427" spans="2:23" ht="18.75" customHeight="1">
      <c r="C427" s="102" t="s">
        <v>3578</v>
      </c>
      <c r="D427" s="103"/>
      <c r="E427" s="114" t="s">
        <v>162</v>
      </c>
      <c r="F427" s="36"/>
      <c r="G427" s="36"/>
      <c r="H427" s="36"/>
      <c r="I427" s="36"/>
      <c r="J427" s="36"/>
      <c r="K427" s="36"/>
      <c r="L427" s="36"/>
      <c r="M427" s="36"/>
      <c r="N427" s="36"/>
      <c r="O427" s="36"/>
      <c r="P427" s="36"/>
      <c r="Q427" s="36"/>
      <c r="R427" s="102" t="str">
        <f>"バックアップ_"&amp;SUBSTITUTE(C427,"_結合","")</f>
        <v>バックアップ_疾病マスタ</v>
      </c>
      <c r="S427" s="103"/>
      <c r="T427" s="106" t="str">
        <f>エンティティ一覧!$O$2</f>
        <v>milscm_2023_009</v>
      </c>
    </row>
    <row r="428" spans="2:23" ht="18.75" customHeight="1">
      <c r="C428" s="104"/>
      <c r="D428" s="105"/>
      <c r="E428" s="115"/>
      <c r="F428" s="37"/>
      <c r="G428" s="37"/>
      <c r="H428" s="37"/>
      <c r="I428" s="37"/>
      <c r="J428" s="37"/>
      <c r="K428" s="37"/>
      <c r="L428" s="37"/>
      <c r="M428" s="37"/>
      <c r="N428" s="37"/>
      <c r="O428" s="37"/>
      <c r="P428" s="37"/>
      <c r="Q428" s="37"/>
      <c r="R428" s="104"/>
      <c r="S428" s="105"/>
      <c r="T428" s="107"/>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3579</v>
      </c>
      <c r="D432" s="90"/>
      <c r="W432" s="35" t="str">
        <f>"-- "&amp;B432&amp;" : "&amp;C432</f>
        <v>-- SQL_ID : 01_A3-30</v>
      </c>
    </row>
    <row r="433" spans="2:23" ht="18.75" customHeight="1">
      <c r="B433" s="43" t="s">
        <v>158</v>
      </c>
      <c r="C433" s="108" t="str">
        <f>R436&amp;"登録"</f>
        <v>バックアップ_ICD10大分類マスタ登録</v>
      </c>
      <c r="D433" s="109"/>
      <c r="E433" s="109"/>
      <c r="F433" s="109"/>
      <c r="G433" s="109"/>
      <c r="H433" s="109"/>
      <c r="I433" s="109"/>
      <c r="J433" s="109"/>
      <c r="K433" s="109"/>
      <c r="L433" s="109"/>
      <c r="M433" s="109"/>
      <c r="N433" s="109"/>
      <c r="O433" s="109"/>
      <c r="P433" s="109"/>
      <c r="Q433" s="109"/>
      <c r="R433" s="109"/>
      <c r="S433" s="109"/>
      <c r="T433" s="109"/>
      <c r="U433" s="110"/>
      <c r="W433" s="35" t="str">
        <f>"-- "&amp;C433</f>
        <v>-- バックアップ_ICD10大分類マスタ登録</v>
      </c>
    </row>
    <row r="434" spans="2:23" ht="18.75" customHeight="1">
      <c r="B434" s="43" t="s">
        <v>159</v>
      </c>
      <c r="C434" s="111" t="str">
        <f>C436&amp;"テーブルのレコードを"&amp;R436&amp;"テーブルに格納する。"</f>
        <v>ICD10大分類マスタテーブルのレコードをバックアップ_ICD10大分類マスタテーブルに格納する。</v>
      </c>
      <c r="D434" s="112"/>
      <c r="E434" s="112"/>
      <c r="F434" s="112"/>
      <c r="G434" s="112"/>
      <c r="H434" s="112"/>
      <c r="I434" s="112"/>
      <c r="J434" s="112"/>
      <c r="K434" s="112"/>
      <c r="L434" s="112"/>
      <c r="M434" s="112"/>
      <c r="N434" s="112"/>
      <c r="O434" s="112"/>
      <c r="P434" s="112"/>
      <c r="Q434" s="112"/>
      <c r="R434" s="112"/>
      <c r="S434" s="112"/>
      <c r="T434" s="112"/>
      <c r="U434" s="113"/>
      <c r="W434" s="35" t="str">
        <f>"-- "&amp;C434</f>
        <v>-- ICD10大分類マスタテーブルのレコードをバックアップ_ICD10大分類マスタテーブルに格納する。</v>
      </c>
    </row>
    <row r="436" spans="2:23" ht="18.75" customHeight="1">
      <c r="C436" s="102" t="s">
        <v>3580</v>
      </c>
      <c r="D436" s="103"/>
      <c r="E436" s="114" t="s">
        <v>162</v>
      </c>
      <c r="F436" s="36"/>
      <c r="G436" s="36"/>
      <c r="H436" s="36"/>
      <c r="I436" s="36"/>
      <c r="J436" s="36"/>
      <c r="K436" s="36"/>
      <c r="L436" s="36"/>
      <c r="M436" s="36"/>
      <c r="N436" s="36"/>
      <c r="O436" s="36"/>
      <c r="P436" s="36"/>
      <c r="Q436" s="36"/>
      <c r="R436" s="102" t="str">
        <f>"バックアップ_"&amp;SUBSTITUTE(C436,"_結合","")</f>
        <v>バックアップ_ICD10大分類マスタ</v>
      </c>
      <c r="S436" s="103"/>
      <c r="T436" s="106" t="str">
        <f>エンティティ一覧!$O$2</f>
        <v>milscm_2023_009</v>
      </c>
    </row>
    <row r="437" spans="2:23" ht="18.75" customHeight="1">
      <c r="C437" s="104"/>
      <c r="D437" s="105"/>
      <c r="E437" s="115"/>
      <c r="F437" s="37"/>
      <c r="G437" s="37"/>
      <c r="H437" s="37"/>
      <c r="I437" s="37"/>
      <c r="J437" s="37"/>
      <c r="K437" s="37"/>
      <c r="L437" s="37"/>
      <c r="M437" s="37"/>
      <c r="N437" s="37"/>
      <c r="O437" s="37"/>
      <c r="P437" s="37"/>
      <c r="Q437" s="37"/>
      <c r="R437" s="104"/>
      <c r="S437" s="105"/>
      <c r="T437" s="107"/>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3581</v>
      </c>
      <c r="D441" s="90"/>
      <c r="W441" s="35" t="str">
        <f>"-- "&amp;B441&amp;" : "&amp;C441</f>
        <v>-- SQL_ID : 01_A3-31</v>
      </c>
    </row>
    <row r="442" spans="2:23" ht="18.75" customHeight="1">
      <c r="B442" s="43" t="s">
        <v>158</v>
      </c>
      <c r="C442" s="108" t="str">
        <f>R445&amp;"登録"</f>
        <v>バックアップ_ICD10中分類マスタ登録</v>
      </c>
      <c r="D442" s="109"/>
      <c r="E442" s="109"/>
      <c r="F442" s="109"/>
      <c r="G442" s="109"/>
      <c r="H442" s="109"/>
      <c r="I442" s="109"/>
      <c r="J442" s="109"/>
      <c r="K442" s="109"/>
      <c r="L442" s="109"/>
      <c r="M442" s="109"/>
      <c r="N442" s="109"/>
      <c r="O442" s="109"/>
      <c r="P442" s="109"/>
      <c r="Q442" s="109"/>
      <c r="R442" s="109"/>
      <c r="S442" s="109"/>
      <c r="T442" s="109"/>
      <c r="U442" s="110"/>
      <c r="W442" s="35" t="str">
        <f>"-- "&amp;C442</f>
        <v>-- バックアップ_ICD10中分類マスタ登録</v>
      </c>
    </row>
    <row r="443" spans="2:23" ht="18.75" customHeight="1">
      <c r="B443" s="43" t="s">
        <v>159</v>
      </c>
      <c r="C443" s="111" t="str">
        <f>C445&amp;"テーブルのレコードを"&amp;R445&amp;"テーブルに格納する。"</f>
        <v>ICD10中分類マスタテーブルのレコードをバックアップ_ICD10中分類マスタテーブルに格納する。</v>
      </c>
      <c r="D443" s="112"/>
      <c r="E443" s="112"/>
      <c r="F443" s="112"/>
      <c r="G443" s="112"/>
      <c r="H443" s="112"/>
      <c r="I443" s="112"/>
      <c r="J443" s="112"/>
      <c r="K443" s="112"/>
      <c r="L443" s="112"/>
      <c r="M443" s="112"/>
      <c r="N443" s="112"/>
      <c r="O443" s="112"/>
      <c r="P443" s="112"/>
      <c r="Q443" s="112"/>
      <c r="R443" s="112"/>
      <c r="S443" s="112"/>
      <c r="T443" s="112"/>
      <c r="U443" s="113"/>
      <c r="W443" s="35" t="str">
        <f>"-- "&amp;C443</f>
        <v>-- ICD10中分類マスタテーブルのレコードをバックアップ_ICD10中分類マスタテーブルに格納する。</v>
      </c>
    </row>
    <row r="445" spans="2:23" ht="18.75" customHeight="1">
      <c r="C445" s="102" t="s">
        <v>3582</v>
      </c>
      <c r="D445" s="103"/>
      <c r="E445" s="114" t="s">
        <v>162</v>
      </c>
      <c r="F445" s="36"/>
      <c r="G445" s="36"/>
      <c r="H445" s="36"/>
      <c r="I445" s="36"/>
      <c r="J445" s="36"/>
      <c r="K445" s="36"/>
      <c r="L445" s="36"/>
      <c r="M445" s="36"/>
      <c r="N445" s="36"/>
      <c r="O445" s="36"/>
      <c r="P445" s="36"/>
      <c r="Q445" s="36"/>
      <c r="R445" s="102" t="str">
        <f>"バックアップ_"&amp;SUBSTITUTE(C445,"_結合","")</f>
        <v>バックアップ_ICD10中分類マスタ</v>
      </c>
      <c r="S445" s="103"/>
      <c r="T445" s="106" t="str">
        <f>エンティティ一覧!$O$2</f>
        <v>milscm_2023_009</v>
      </c>
    </row>
    <row r="446" spans="2:23" ht="18.75" customHeight="1">
      <c r="C446" s="104"/>
      <c r="D446" s="105"/>
      <c r="E446" s="115"/>
      <c r="F446" s="37"/>
      <c r="G446" s="37"/>
      <c r="H446" s="37"/>
      <c r="I446" s="37"/>
      <c r="J446" s="37"/>
      <c r="K446" s="37"/>
      <c r="L446" s="37"/>
      <c r="M446" s="37"/>
      <c r="N446" s="37"/>
      <c r="O446" s="37"/>
      <c r="P446" s="37"/>
      <c r="Q446" s="37"/>
      <c r="R446" s="104"/>
      <c r="S446" s="105"/>
      <c r="T446" s="107"/>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3583</v>
      </c>
      <c r="D450" s="90"/>
      <c r="W450" s="35" t="str">
        <f>"-- "&amp;B450&amp;" : "&amp;C450</f>
        <v>-- SQL_ID : 01_A3-32</v>
      </c>
    </row>
    <row r="451" spans="2:23" ht="18.75" customHeight="1">
      <c r="B451" s="43" t="s">
        <v>158</v>
      </c>
      <c r="C451" s="108" t="str">
        <f>R454&amp;"登録"</f>
        <v>バックアップ_ICD10小分類マスタ登録</v>
      </c>
      <c r="D451" s="109"/>
      <c r="E451" s="109"/>
      <c r="F451" s="109"/>
      <c r="G451" s="109"/>
      <c r="H451" s="109"/>
      <c r="I451" s="109"/>
      <c r="J451" s="109"/>
      <c r="K451" s="109"/>
      <c r="L451" s="109"/>
      <c r="M451" s="109"/>
      <c r="N451" s="109"/>
      <c r="O451" s="109"/>
      <c r="P451" s="109"/>
      <c r="Q451" s="109"/>
      <c r="R451" s="109"/>
      <c r="S451" s="109"/>
      <c r="T451" s="109"/>
      <c r="U451" s="110"/>
      <c r="W451" s="35" t="str">
        <f>"-- "&amp;C451</f>
        <v>-- バックアップ_ICD10小分類マスタ登録</v>
      </c>
    </row>
    <row r="452" spans="2:23" ht="18.75" customHeight="1">
      <c r="B452" s="43" t="s">
        <v>159</v>
      </c>
      <c r="C452" s="111" t="str">
        <f>C454&amp;"テーブルのレコードを"&amp;R454&amp;"テーブルに格納する。"</f>
        <v>ICD10小分類マスタテーブルのレコードをバックアップ_ICD10小分類マスタテーブルに格納する。</v>
      </c>
      <c r="D452" s="112"/>
      <c r="E452" s="112"/>
      <c r="F452" s="112"/>
      <c r="G452" s="112"/>
      <c r="H452" s="112"/>
      <c r="I452" s="112"/>
      <c r="J452" s="112"/>
      <c r="K452" s="112"/>
      <c r="L452" s="112"/>
      <c r="M452" s="112"/>
      <c r="N452" s="112"/>
      <c r="O452" s="112"/>
      <c r="P452" s="112"/>
      <c r="Q452" s="112"/>
      <c r="R452" s="112"/>
      <c r="S452" s="112"/>
      <c r="T452" s="112"/>
      <c r="U452" s="113"/>
      <c r="W452" s="35" t="str">
        <f>"-- "&amp;C452</f>
        <v>-- ICD10小分類マスタテーブルのレコードをバックアップ_ICD10小分類マスタテーブルに格納する。</v>
      </c>
    </row>
    <row r="454" spans="2:23" ht="18.75" customHeight="1">
      <c r="C454" s="102" t="s">
        <v>3584</v>
      </c>
      <c r="D454" s="103"/>
      <c r="E454" s="114" t="s">
        <v>162</v>
      </c>
      <c r="F454" s="36"/>
      <c r="G454" s="36"/>
      <c r="H454" s="36"/>
      <c r="I454" s="36"/>
      <c r="J454" s="36"/>
      <c r="K454" s="36"/>
      <c r="L454" s="36"/>
      <c r="M454" s="36"/>
      <c r="N454" s="36"/>
      <c r="O454" s="36"/>
      <c r="P454" s="36"/>
      <c r="Q454" s="36"/>
      <c r="R454" s="102" t="str">
        <f>"バックアップ_"&amp;SUBSTITUTE(C454,"_結合","")</f>
        <v>バックアップ_ICD10小分類マスタ</v>
      </c>
      <c r="S454" s="103"/>
      <c r="T454" s="106" t="str">
        <f>エンティティ一覧!$O$2</f>
        <v>milscm_2023_009</v>
      </c>
    </row>
    <row r="455" spans="2:23" ht="18.75" customHeight="1">
      <c r="C455" s="104"/>
      <c r="D455" s="105"/>
      <c r="E455" s="115"/>
      <c r="F455" s="37"/>
      <c r="G455" s="37"/>
      <c r="H455" s="37"/>
      <c r="I455" s="37"/>
      <c r="J455" s="37"/>
      <c r="K455" s="37"/>
      <c r="L455" s="37"/>
      <c r="M455" s="37"/>
      <c r="N455" s="37"/>
      <c r="O455" s="37"/>
      <c r="P455" s="37"/>
      <c r="Q455" s="37"/>
      <c r="R455" s="104"/>
      <c r="S455" s="105"/>
      <c r="T455" s="10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3585</v>
      </c>
      <c r="D459" s="90"/>
      <c r="W459" s="35" t="str">
        <f>"-- "&amp;B459&amp;" : "&amp;C459</f>
        <v>-- SQL_ID : 01_A3-33</v>
      </c>
    </row>
    <row r="460" spans="2:23" ht="18.75" customHeight="1">
      <c r="B460" s="43" t="s">
        <v>158</v>
      </c>
      <c r="C460" s="108" t="str">
        <f>R463&amp;"登録"</f>
        <v>バックアップ_ICD10細分類マスタ登録</v>
      </c>
      <c r="D460" s="109"/>
      <c r="E460" s="109"/>
      <c r="F460" s="109"/>
      <c r="G460" s="109"/>
      <c r="H460" s="109"/>
      <c r="I460" s="109"/>
      <c r="J460" s="109"/>
      <c r="K460" s="109"/>
      <c r="L460" s="109"/>
      <c r="M460" s="109"/>
      <c r="N460" s="109"/>
      <c r="O460" s="109"/>
      <c r="P460" s="109"/>
      <c r="Q460" s="109"/>
      <c r="R460" s="109"/>
      <c r="S460" s="109"/>
      <c r="T460" s="109"/>
      <c r="U460" s="110"/>
      <c r="W460" s="35" t="str">
        <f>"-- "&amp;C460</f>
        <v>-- バックアップ_ICD10細分類マスタ登録</v>
      </c>
    </row>
    <row r="461" spans="2:23" ht="18.75" customHeight="1">
      <c r="B461" s="43" t="s">
        <v>159</v>
      </c>
      <c r="C461" s="111" t="str">
        <f>C463&amp;"テーブルのレコードを"&amp;R463&amp;"テーブルに格納する。"</f>
        <v>ICD10細分類マスタテーブルのレコードをバックアップ_ICD10細分類マスタテーブルに格納する。</v>
      </c>
      <c r="D461" s="112"/>
      <c r="E461" s="112"/>
      <c r="F461" s="112"/>
      <c r="G461" s="112"/>
      <c r="H461" s="112"/>
      <c r="I461" s="112"/>
      <c r="J461" s="112"/>
      <c r="K461" s="112"/>
      <c r="L461" s="112"/>
      <c r="M461" s="112"/>
      <c r="N461" s="112"/>
      <c r="O461" s="112"/>
      <c r="P461" s="112"/>
      <c r="Q461" s="112"/>
      <c r="R461" s="112"/>
      <c r="S461" s="112"/>
      <c r="T461" s="112"/>
      <c r="U461" s="113"/>
      <c r="W461" s="35" t="str">
        <f>"-- "&amp;C461</f>
        <v>-- ICD10細分類マスタテーブルのレコードをバックアップ_ICD10細分類マスタテーブルに格納する。</v>
      </c>
    </row>
    <row r="463" spans="2:23" ht="18.75" customHeight="1">
      <c r="C463" s="102" t="s">
        <v>3586</v>
      </c>
      <c r="D463" s="103"/>
      <c r="E463" s="114" t="s">
        <v>162</v>
      </c>
      <c r="F463" s="36"/>
      <c r="G463" s="36"/>
      <c r="H463" s="36"/>
      <c r="I463" s="36"/>
      <c r="J463" s="36"/>
      <c r="K463" s="36"/>
      <c r="L463" s="36"/>
      <c r="M463" s="36"/>
      <c r="N463" s="36"/>
      <c r="O463" s="36"/>
      <c r="P463" s="36"/>
      <c r="Q463" s="36"/>
      <c r="R463" s="102" t="str">
        <f>"バックアップ_"&amp;SUBSTITUTE(C463,"_結合","")</f>
        <v>バックアップ_ICD10細分類マスタ</v>
      </c>
      <c r="S463" s="103"/>
      <c r="T463" s="106" t="str">
        <f>エンティティ一覧!$O$2</f>
        <v>milscm_2023_009</v>
      </c>
    </row>
    <row r="464" spans="2:23" ht="18.75" customHeight="1">
      <c r="C464" s="104"/>
      <c r="D464" s="105"/>
      <c r="E464" s="115"/>
      <c r="F464" s="37"/>
      <c r="G464" s="37"/>
      <c r="H464" s="37"/>
      <c r="I464" s="37"/>
      <c r="J464" s="37"/>
      <c r="K464" s="37"/>
      <c r="L464" s="37"/>
      <c r="M464" s="37"/>
      <c r="N464" s="37"/>
      <c r="O464" s="37"/>
      <c r="P464" s="37"/>
      <c r="Q464" s="37"/>
      <c r="R464" s="104"/>
      <c r="S464" s="105"/>
      <c r="T464" s="107"/>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3587</v>
      </c>
      <c r="D468" s="90"/>
      <c r="W468" s="35" t="str">
        <f>"-- "&amp;B468&amp;" : "&amp;C468</f>
        <v>-- SQL_ID : 01_A3-34</v>
      </c>
    </row>
    <row r="469" spans="2:23" ht="18.75" customHeight="1">
      <c r="B469" s="43" t="s">
        <v>158</v>
      </c>
      <c r="C469" s="108" t="str">
        <f>R472&amp;"登録"</f>
        <v>バックアップ_DPC2桁マスタ登録</v>
      </c>
      <c r="D469" s="109"/>
      <c r="E469" s="109"/>
      <c r="F469" s="109"/>
      <c r="G469" s="109"/>
      <c r="H469" s="109"/>
      <c r="I469" s="109"/>
      <c r="J469" s="109"/>
      <c r="K469" s="109"/>
      <c r="L469" s="109"/>
      <c r="M469" s="109"/>
      <c r="N469" s="109"/>
      <c r="O469" s="109"/>
      <c r="P469" s="109"/>
      <c r="Q469" s="109"/>
      <c r="R469" s="109"/>
      <c r="S469" s="109"/>
      <c r="T469" s="109"/>
      <c r="U469" s="110"/>
      <c r="W469" s="35" t="str">
        <f>"-- "&amp;C469</f>
        <v>-- バックアップ_DPC2桁マスタ登録</v>
      </c>
    </row>
    <row r="470" spans="2:23" ht="18.75" customHeight="1">
      <c r="B470" s="43" t="s">
        <v>159</v>
      </c>
      <c r="C470" s="111" t="str">
        <f>C472&amp;"テーブルのレコードを"&amp;R472&amp;"テーブルに格納する。"</f>
        <v>DPC2桁マスタテーブルのレコードをバックアップ_DPC2桁マスタテーブルに格納する。</v>
      </c>
      <c r="D470" s="112"/>
      <c r="E470" s="112"/>
      <c r="F470" s="112"/>
      <c r="G470" s="112"/>
      <c r="H470" s="112"/>
      <c r="I470" s="112"/>
      <c r="J470" s="112"/>
      <c r="K470" s="112"/>
      <c r="L470" s="112"/>
      <c r="M470" s="112"/>
      <c r="N470" s="112"/>
      <c r="O470" s="112"/>
      <c r="P470" s="112"/>
      <c r="Q470" s="112"/>
      <c r="R470" s="112"/>
      <c r="S470" s="112"/>
      <c r="T470" s="112"/>
      <c r="U470" s="113"/>
      <c r="W470" s="35" t="str">
        <f>"-- "&amp;C470</f>
        <v>-- DPC2桁マスタテーブルのレコードをバックアップ_DPC2桁マスタテーブルに格納する。</v>
      </c>
    </row>
    <row r="472" spans="2:23" ht="18.75" customHeight="1">
      <c r="C472" s="102" t="s">
        <v>3588</v>
      </c>
      <c r="D472" s="103"/>
      <c r="E472" s="114" t="s">
        <v>162</v>
      </c>
      <c r="F472" s="36"/>
      <c r="G472" s="36"/>
      <c r="H472" s="36"/>
      <c r="I472" s="36"/>
      <c r="J472" s="36"/>
      <c r="K472" s="36"/>
      <c r="L472" s="36"/>
      <c r="M472" s="36"/>
      <c r="N472" s="36"/>
      <c r="O472" s="36"/>
      <c r="P472" s="36"/>
      <c r="Q472" s="36"/>
      <c r="R472" s="102" t="str">
        <f>"バックアップ_"&amp;SUBSTITUTE(C472,"_結合","")</f>
        <v>バックアップ_DPC2桁マスタ</v>
      </c>
      <c r="S472" s="103"/>
      <c r="T472" s="106" t="str">
        <f>エンティティ一覧!$O$2</f>
        <v>milscm_2023_009</v>
      </c>
    </row>
    <row r="473" spans="2:23" ht="18.75" customHeight="1">
      <c r="C473" s="104"/>
      <c r="D473" s="105"/>
      <c r="E473" s="115"/>
      <c r="F473" s="37"/>
      <c r="G473" s="37"/>
      <c r="H473" s="37"/>
      <c r="I473" s="37"/>
      <c r="J473" s="37"/>
      <c r="K473" s="37"/>
      <c r="L473" s="37"/>
      <c r="M473" s="37"/>
      <c r="N473" s="37"/>
      <c r="O473" s="37"/>
      <c r="P473" s="37"/>
      <c r="Q473" s="37"/>
      <c r="R473" s="104"/>
      <c r="S473" s="105"/>
      <c r="T473" s="107"/>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3589</v>
      </c>
      <c r="D477" s="90"/>
      <c r="W477" s="35" t="str">
        <f>"-- "&amp;B477&amp;" : "&amp;C477</f>
        <v>-- SQL_ID : 01_A3-35</v>
      </c>
    </row>
    <row r="478" spans="2:23" ht="18.75" customHeight="1">
      <c r="B478" s="43" t="s">
        <v>158</v>
      </c>
      <c r="C478" s="108" t="str">
        <f>R481&amp;"登録"</f>
        <v>バックアップ_DPC6桁マスタ登録</v>
      </c>
      <c r="D478" s="109"/>
      <c r="E478" s="109"/>
      <c r="F478" s="109"/>
      <c r="G478" s="109"/>
      <c r="H478" s="109"/>
      <c r="I478" s="109"/>
      <c r="J478" s="109"/>
      <c r="K478" s="109"/>
      <c r="L478" s="109"/>
      <c r="M478" s="109"/>
      <c r="N478" s="109"/>
      <c r="O478" s="109"/>
      <c r="P478" s="109"/>
      <c r="Q478" s="109"/>
      <c r="R478" s="109"/>
      <c r="S478" s="109"/>
      <c r="T478" s="109"/>
      <c r="U478" s="110"/>
      <c r="W478" s="35" t="str">
        <f>"-- "&amp;C478</f>
        <v>-- バックアップ_DPC6桁マスタ登録</v>
      </c>
    </row>
    <row r="479" spans="2:23" ht="18.75" customHeight="1">
      <c r="B479" s="43" t="s">
        <v>159</v>
      </c>
      <c r="C479" s="111" t="str">
        <f>C481&amp;"テーブルのレコードを"&amp;R481&amp;"テーブルに格納する。"</f>
        <v>DPC6桁マスタテーブルのレコードをバックアップ_DPC6桁マスタテーブルに格納する。</v>
      </c>
      <c r="D479" s="112"/>
      <c r="E479" s="112"/>
      <c r="F479" s="112"/>
      <c r="G479" s="112"/>
      <c r="H479" s="112"/>
      <c r="I479" s="112"/>
      <c r="J479" s="112"/>
      <c r="K479" s="112"/>
      <c r="L479" s="112"/>
      <c r="M479" s="112"/>
      <c r="N479" s="112"/>
      <c r="O479" s="112"/>
      <c r="P479" s="112"/>
      <c r="Q479" s="112"/>
      <c r="R479" s="112"/>
      <c r="S479" s="112"/>
      <c r="T479" s="112"/>
      <c r="U479" s="113"/>
      <c r="W479" s="35" t="str">
        <f>"-- "&amp;C479</f>
        <v>-- DPC6桁マスタテーブルのレコードをバックアップ_DPC6桁マスタテーブルに格納する。</v>
      </c>
    </row>
    <row r="481" spans="2:23" ht="18.75" customHeight="1">
      <c r="C481" s="102" t="s">
        <v>3590</v>
      </c>
      <c r="D481" s="103"/>
      <c r="E481" s="114" t="s">
        <v>162</v>
      </c>
      <c r="F481" s="36"/>
      <c r="G481" s="36"/>
      <c r="H481" s="36"/>
      <c r="I481" s="36"/>
      <c r="J481" s="36"/>
      <c r="K481" s="36"/>
      <c r="L481" s="36"/>
      <c r="M481" s="36"/>
      <c r="N481" s="36"/>
      <c r="O481" s="36"/>
      <c r="P481" s="36"/>
      <c r="Q481" s="36"/>
      <c r="R481" s="102" t="str">
        <f>"バックアップ_"&amp;SUBSTITUTE(C481,"_結合","")</f>
        <v>バックアップ_DPC6桁マスタ</v>
      </c>
      <c r="S481" s="103"/>
      <c r="T481" s="106" t="str">
        <f>エンティティ一覧!$O$2</f>
        <v>milscm_2023_009</v>
      </c>
    </row>
    <row r="482" spans="2:23" ht="18.75" customHeight="1">
      <c r="C482" s="104"/>
      <c r="D482" s="105"/>
      <c r="E482" s="115"/>
      <c r="F482" s="37"/>
      <c r="G482" s="37"/>
      <c r="H482" s="37"/>
      <c r="I482" s="37"/>
      <c r="J482" s="37"/>
      <c r="K482" s="37"/>
      <c r="L482" s="37"/>
      <c r="M482" s="37"/>
      <c r="N482" s="37"/>
      <c r="O482" s="37"/>
      <c r="P482" s="37"/>
      <c r="Q482" s="37"/>
      <c r="R482" s="104"/>
      <c r="S482" s="105"/>
      <c r="T482" s="107"/>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3591</v>
      </c>
      <c r="D486" s="90"/>
      <c r="W486" s="35" t="str">
        <f>"-- "&amp;B486&amp;" : "&amp;C486</f>
        <v>-- SQL_ID : 01_A3-36</v>
      </c>
    </row>
    <row r="487" spans="2:23" ht="18.75" customHeight="1">
      <c r="B487" s="43" t="s">
        <v>158</v>
      </c>
      <c r="C487" s="108" t="str">
        <f>R490&amp;"登録"</f>
        <v>バックアップ_郵便番号マスタ登録</v>
      </c>
      <c r="D487" s="109"/>
      <c r="E487" s="109"/>
      <c r="F487" s="109"/>
      <c r="G487" s="109"/>
      <c r="H487" s="109"/>
      <c r="I487" s="109"/>
      <c r="J487" s="109"/>
      <c r="K487" s="109"/>
      <c r="L487" s="109"/>
      <c r="M487" s="109"/>
      <c r="N487" s="109"/>
      <c r="O487" s="109"/>
      <c r="P487" s="109"/>
      <c r="Q487" s="109"/>
      <c r="R487" s="109"/>
      <c r="S487" s="109"/>
      <c r="T487" s="109"/>
      <c r="U487" s="110"/>
      <c r="W487" s="35" t="str">
        <f>"-- "&amp;C487</f>
        <v>-- バックアップ_郵便番号マスタ登録</v>
      </c>
    </row>
    <row r="488" spans="2:23" ht="18.75" customHeight="1">
      <c r="B488" s="43" t="s">
        <v>159</v>
      </c>
      <c r="C488" s="111" t="str">
        <f>C490&amp;"テーブルのレコードを"&amp;R490&amp;"テーブルに格納する。"</f>
        <v>郵便番号マスタテーブルのレコードをバックアップ_郵便番号マスタテーブルに格納する。</v>
      </c>
      <c r="D488" s="112"/>
      <c r="E488" s="112"/>
      <c r="F488" s="112"/>
      <c r="G488" s="112"/>
      <c r="H488" s="112"/>
      <c r="I488" s="112"/>
      <c r="J488" s="112"/>
      <c r="K488" s="112"/>
      <c r="L488" s="112"/>
      <c r="M488" s="112"/>
      <c r="N488" s="112"/>
      <c r="O488" s="112"/>
      <c r="P488" s="112"/>
      <c r="Q488" s="112"/>
      <c r="R488" s="112"/>
      <c r="S488" s="112"/>
      <c r="T488" s="112"/>
      <c r="U488" s="113"/>
      <c r="W488" s="35" t="str">
        <f>"-- "&amp;C488</f>
        <v>-- 郵便番号マスタテーブルのレコードをバックアップ_郵便番号マスタテーブルに格納する。</v>
      </c>
    </row>
    <row r="490" spans="2:23" ht="18.75" customHeight="1">
      <c r="C490" s="102" t="s">
        <v>3592</v>
      </c>
      <c r="D490" s="103"/>
      <c r="E490" s="114" t="s">
        <v>162</v>
      </c>
      <c r="F490" s="36"/>
      <c r="G490" s="36"/>
      <c r="H490" s="36"/>
      <c r="I490" s="36"/>
      <c r="J490" s="36"/>
      <c r="K490" s="36"/>
      <c r="L490" s="36"/>
      <c r="M490" s="36"/>
      <c r="N490" s="36"/>
      <c r="O490" s="36"/>
      <c r="P490" s="36"/>
      <c r="Q490" s="36"/>
      <c r="R490" s="102" t="str">
        <f>"バックアップ_"&amp;SUBSTITUTE(C490,"_結合","")</f>
        <v>バックアップ_郵便番号マスタ</v>
      </c>
      <c r="S490" s="103"/>
      <c r="T490" s="106" t="str">
        <f>エンティティ一覧!$O$2</f>
        <v>milscm_2023_009</v>
      </c>
    </row>
    <row r="491" spans="2:23" ht="18.75" customHeight="1">
      <c r="C491" s="104"/>
      <c r="D491" s="105"/>
      <c r="E491" s="115"/>
      <c r="F491" s="37"/>
      <c r="G491" s="37"/>
      <c r="H491" s="37"/>
      <c r="I491" s="37"/>
      <c r="J491" s="37"/>
      <c r="K491" s="37"/>
      <c r="L491" s="37"/>
      <c r="M491" s="37"/>
      <c r="N491" s="37"/>
      <c r="O491" s="37"/>
      <c r="P491" s="37"/>
      <c r="Q491" s="37"/>
      <c r="R491" s="104"/>
      <c r="S491" s="105"/>
      <c r="T491" s="107"/>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3593</v>
      </c>
      <c r="D495" s="90"/>
      <c r="W495" s="35" t="str">
        <f>"-- "&amp;B495&amp;" : "&amp;C495</f>
        <v>-- SQL_ID : 01_A3-37</v>
      </c>
    </row>
    <row r="496" spans="2:23" ht="18.75" customHeight="1">
      <c r="B496" s="43" t="s">
        <v>158</v>
      </c>
      <c r="C496" s="108" t="str">
        <f>R499&amp;"登録"</f>
        <v>バックアップ_特定機材マスタ登録</v>
      </c>
      <c r="D496" s="109"/>
      <c r="E496" s="109"/>
      <c r="F496" s="109"/>
      <c r="G496" s="109"/>
      <c r="H496" s="109"/>
      <c r="I496" s="109"/>
      <c r="J496" s="109"/>
      <c r="K496" s="109"/>
      <c r="L496" s="109"/>
      <c r="M496" s="109"/>
      <c r="N496" s="109"/>
      <c r="O496" s="109"/>
      <c r="P496" s="109"/>
      <c r="Q496" s="109"/>
      <c r="R496" s="109"/>
      <c r="S496" s="109"/>
      <c r="T496" s="109"/>
      <c r="U496" s="110"/>
      <c r="W496" s="35" t="str">
        <f>"-- "&amp;C496</f>
        <v>-- バックアップ_特定機材マスタ登録</v>
      </c>
    </row>
    <row r="497" spans="2:23" ht="18.75" customHeight="1">
      <c r="B497" s="43" t="s">
        <v>159</v>
      </c>
      <c r="C497" s="111" t="str">
        <f>C499&amp;"テーブルのレコードを"&amp;R499&amp;"テーブルに格納する。"</f>
        <v>特定機材マスタテーブルのレコードをバックアップ_特定機材マスタテーブルに格納する。</v>
      </c>
      <c r="D497" s="112"/>
      <c r="E497" s="112"/>
      <c r="F497" s="112"/>
      <c r="G497" s="112"/>
      <c r="H497" s="112"/>
      <c r="I497" s="112"/>
      <c r="J497" s="112"/>
      <c r="K497" s="112"/>
      <c r="L497" s="112"/>
      <c r="M497" s="112"/>
      <c r="N497" s="112"/>
      <c r="O497" s="112"/>
      <c r="P497" s="112"/>
      <c r="Q497" s="112"/>
      <c r="R497" s="112"/>
      <c r="S497" s="112"/>
      <c r="T497" s="112"/>
      <c r="U497" s="113"/>
      <c r="W497" s="35" t="str">
        <f>"-- "&amp;C497</f>
        <v>-- 特定機材マスタテーブルのレコードをバックアップ_特定機材マスタテーブルに格納する。</v>
      </c>
    </row>
    <row r="499" spans="2:23" ht="18.75" customHeight="1">
      <c r="C499" s="102" t="s">
        <v>3594</v>
      </c>
      <c r="D499" s="103"/>
      <c r="E499" s="114" t="s">
        <v>162</v>
      </c>
      <c r="F499" s="36"/>
      <c r="G499" s="36"/>
      <c r="H499" s="36"/>
      <c r="I499" s="36"/>
      <c r="J499" s="36"/>
      <c r="K499" s="36"/>
      <c r="L499" s="36"/>
      <c r="M499" s="36"/>
      <c r="N499" s="36"/>
      <c r="O499" s="36"/>
      <c r="P499" s="36"/>
      <c r="Q499" s="36"/>
      <c r="R499" s="102" t="str">
        <f>"バックアップ_"&amp;SUBSTITUTE(C499,"_結合","")</f>
        <v>バックアップ_特定機材マスタ</v>
      </c>
      <c r="S499" s="103"/>
      <c r="T499" s="106" t="str">
        <f>エンティティ一覧!$O$2</f>
        <v>milscm_2023_009</v>
      </c>
    </row>
    <row r="500" spans="2:23" ht="18.75" customHeight="1">
      <c r="C500" s="104"/>
      <c r="D500" s="105"/>
      <c r="E500" s="115"/>
      <c r="F500" s="37"/>
      <c r="G500" s="37"/>
      <c r="H500" s="37"/>
      <c r="I500" s="37"/>
      <c r="J500" s="37"/>
      <c r="K500" s="37"/>
      <c r="L500" s="37"/>
      <c r="M500" s="37"/>
      <c r="N500" s="37"/>
      <c r="O500" s="37"/>
      <c r="P500" s="37"/>
      <c r="Q500" s="37"/>
      <c r="R500" s="104"/>
      <c r="S500" s="105"/>
      <c r="T500" s="107"/>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3595</v>
      </c>
      <c r="D504" s="90"/>
      <c r="W504" s="35" t="str">
        <f>"-- "&amp;B504&amp;" : "&amp;C504</f>
        <v>-- SQL_ID : 01_A4-01</v>
      </c>
    </row>
    <row r="505" spans="2:23" ht="18.75" customHeight="1">
      <c r="B505" s="43" t="s">
        <v>158</v>
      </c>
      <c r="C505" s="108" t="str">
        <f>R508&amp;"登録"</f>
        <v>バックアップ_年度マスタ登録</v>
      </c>
      <c r="D505" s="109"/>
      <c r="E505" s="109"/>
      <c r="F505" s="109"/>
      <c r="G505" s="109"/>
      <c r="H505" s="109"/>
      <c r="I505" s="109"/>
      <c r="J505" s="109"/>
      <c r="K505" s="109"/>
      <c r="L505" s="109"/>
      <c r="M505" s="109"/>
      <c r="N505" s="109"/>
      <c r="O505" s="109"/>
      <c r="P505" s="109"/>
      <c r="Q505" s="109"/>
      <c r="R505" s="109"/>
      <c r="S505" s="109"/>
      <c r="T505" s="109"/>
      <c r="U505" s="110"/>
      <c r="W505" s="35" t="str">
        <f>"-- "&amp;C505</f>
        <v>-- バックアップ_年度マスタ登録</v>
      </c>
    </row>
    <row r="506" spans="2:23" ht="18.75" customHeight="1">
      <c r="B506" s="43" t="s">
        <v>159</v>
      </c>
      <c r="C506" s="111" t="str">
        <f>C508&amp;"テーブルのレコードを"&amp;R508&amp;"テーブルに格納する。"</f>
        <v>年度マスタテーブルのレコードをバックアップ_年度マスタテーブルに格納する。</v>
      </c>
      <c r="D506" s="112"/>
      <c r="E506" s="112"/>
      <c r="F506" s="112"/>
      <c r="G506" s="112"/>
      <c r="H506" s="112"/>
      <c r="I506" s="112"/>
      <c r="J506" s="112"/>
      <c r="K506" s="112"/>
      <c r="L506" s="112"/>
      <c r="M506" s="112"/>
      <c r="N506" s="112"/>
      <c r="O506" s="112"/>
      <c r="P506" s="112"/>
      <c r="Q506" s="112"/>
      <c r="R506" s="112"/>
      <c r="S506" s="112"/>
      <c r="T506" s="112"/>
      <c r="U506" s="113"/>
      <c r="W506" s="35" t="str">
        <f>"-- "&amp;C506</f>
        <v>-- 年度マスタテーブルのレコードをバックアップ_年度マスタテーブルに格納する。</v>
      </c>
    </row>
    <row r="508" spans="2:23" ht="18.75" customHeight="1">
      <c r="C508" s="102" t="s">
        <v>3596</v>
      </c>
      <c r="D508" s="103"/>
      <c r="E508" s="114" t="s">
        <v>162</v>
      </c>
      <c r="F508" s="36"/>
      <c r="G508" s="36"/>
      <c r="H508" s="36"/>
      <c r="I508" s="36"/>
      <c r="J508" s="36"/>
      <c r="K508" s="36"/>
      <c r="L508" s="36"/>
      <c r="M508" s="36"/>
      <c r="N508" s="36"/>
      <c r="O508" s="36"/>
      <c r="P508" s="36"/>
      <c r="Q508" s="36"/>
      <c r="R508" s="102" t="str">
        <f>"バックアップ_"&amp;SUBSTITUTE(C508,"_結合","")</f>
        <v>バックアップ_年度マスタ</v>
      </c>
      <c r="S508" s="103"/>
      <c r="T508" s="106" t="str">
        <f>エンティティ一覧!$O$2</f>
        <v>milscm_2023_009</v>
      </c>
    </row>
    <row r="509" spans="2:23" ht="18.75" customHeight="1">
      <c r="C509" s="104"/>
      <c r="D509" s="105"/>
      <c r="E509" s="115"/>
      <c r="F509" s="37"/>
      <c r="G509" s="37"/>
      <c r="H509" s="37"/>
      <c r="I509" s="37"/>
      <c r="J509" s="37"/>
      <c r="K509" s="37"/>
      <c r="L509" s="37"/>
      <c r="M509" s="37"/>
      <c r="N509" s="37"/>
      <c r="O509" s="37"/>
      <c r="P509" s="37"/>
      <c r="Q509" s="37"/>
      <c r="R509" s="104"/>
      <c r="S509" s="105"/>
      <c r="T509" s="107"/>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3597</v>
      </c>
      <c r="D513" s="90"/>
      <c r="W513" s="35" t="str">
        <f>"-- "&amp;B513&amp;" : "&amp;C513</f>
        <v>-- SQL_ID : 01_A4-02</v>
      </c>
    </row>
    <row r="514" spans="2:23" ht="18.75" customHeight="1">
      <c r="B514" s="43" t="s">
        <v>158</v>
      </c>
      <c r="C514" s="108" t="str">
        <f>R517&amp;"登録"</f>
        <v>バックアップ_都道府県地方コードマスタ登録</v>
      </c>
      <c r="D514" s="109"/>
      <c r="E514" s="109"/>
      <c r="F514" s="109"/>
      <c r="G514" s="109"/>
      <c r="H514" s="109"/>
      <c r="I514" s="109"/>
      <c r="J514" s="109"/>
      <c r="K514" s="109"/>
      <c r="L514" s="109"/>
      <c r="M514" s="109"/>
      <c r="N514" s="109"/>
      <c r="O514" s="109"/>
      <c r="P514" s="109"/>
      <c r="Q514" s="109"/>
      <c r="R514" s="109"/>
      <c r="S514" s="109"/>
      <c r="T514" s="109"/>
      <c r="U514" s="110"/>
      <c r="W514" s="35" t="str">
        <f>"-- "&amp;C514</f>
        <v>-- バックアップ_都道府県地方コードマスタ登録</v>
      </c>
    </row>
    <row r="515" spans="2:23" ht="18.75" customHeight="1">
      <c r="B515" s="43" t="s">
        <v>159</v>
      </c>
      <c r="C515" s="111" t="str">
        <f>C517&amp;"テーブルのレコードを"&amp;R517&amp;"テーブルに格納する。"</f>
        <v>都道府県地方コードマスタテーブルのレコードをバックアップ_都道府県地方コードマスタテーブルに格納する。</v>
      </c>
      <c r="D515" s="112"/>
      <c r="E515" s="112"/>
      <c r="F515" s="112"/>
      <c r="G515" s="112"/>
      <c r="H515" s="112"/>
      <c r="I515" s="112"/>
      <c r="J515" s="112"/>
      <c r="K515" s="112"/>
      <c r="L515" s="112"/>
      <c r="M515" s="112"/>
      <c r="N515" s="112"/>
      <c r="O515" s="112"/>
      <c r="P515" s="112"/>
      <c r="Q515" s="112"/>
      <c r="R515" s="112"/>
      <c r="S515" s="112"/>
      <c r="T515" s="112"/>
      <c r="U515" s="113"/>
      <c r="W515" s="35" t="str">
        <f>"-- "&amp;C515</f>
        <v>-- 都道府県地方コードマスタテーブルのレコードをバックアップ_都道府県地方コードマスタテーブルに格納する。</v>
      </c>
    </row>
    <row r="517" spans="2:23" ht="18.75" customHeight="1">
      <c r="C517" s="102" t="s">
        <v>3598</v>
      </c>
      <c r="D517" s="103"/>
      <c r="E517" s="114" t="s">
        <v>162</v>
      </c>
      <c r="F517" s="36"/>
      <c r="G517" s="36"/>
      <c r="H517" s="36"/>
      <c r="I517" s="36"/>
      <c r="J517" s="36"/>
      <c r="K517" s="36"/>
      <c r="L517" s="36"/>
      <c r="M517" s="36"/>
      <c r="N517" s="36"/>
      <c r="O517" s="36"/>
      <c r="P517" s="36"/>
      <c r="Q517" s="36"/>
      <c r="R517" s="102" t="str">
        <f>"バックアップ_"&amp;SUBSTITUTE(C517,"_結合","")</f>
        <v>バックアップ_都道府県地方コードマスタ</v>
      </c>
      <c r="S517" s="103"/>
      <c r="T517" s="106" t="str">
        <f>エンティティ一覧!$O$2</f>
        <v>milscm_2023_009</v>
      </c>
    </row>
    <row r="518" spans="2:23" ht="18.75" customHeight="1">
      <c r="C518" s="104"/>
      <c r="D518" s="105"/>
      <c r="E518" s="115"/>
      <c r="F518" s="37"/>
      <c r="G518" s="37"/>
      <c r="H518" s="37"/>
      <c r="I518" s="37"/>
      <c r="J518" s="37"/>
      <c r="K518" s="37"/>
      <c r="L518" s="37"/>
      <c r="M518" s="37"/>
      <c r="N518" s="37"/>
      <c r="O518" s="37"/>
      <c r="P518" s="37"/>
      <c r="Q518" s="37"/>
      <c r="R518" s="104"/>
      <c r="S518" s="105"/>
      <c r="T518" s="107"/>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3599</v>
      </c>
      <c r="D522" s="90"/>
      <c r="W522" s="35" t="str">
        <f>"-- "&amp;B522&amp;" : "&amp;C522</f>
        <v>-- SQL_ID : 01_A4-03</v>
      </c>
    </row>
    <row r="523" spans="2:23" ht="18.75" customHeight="1">
      <c r="B523" s="43" t="s">
        <v>158</v>
      </c>
      <c r="C523" s="108" t="str">
        <f>R526&amp;"登録"</f>
        <v>バックアップ_施設属性マスタ登録</v>
      </c>
      <c r="D523" s="109"/>
      <c r="E523" s="109"/>
      <c r="F523" s="109"/>
      <c r="G523" s="109"/>
      <c r="H523" s="109"/>
      <c r="I523" s="109"/>
      <c r="J523" s="109"/>
      <c r="K523" s="109"/>
      <c r="L523" s="109"/>
      <c r="M523" s="109"/>
      <c r="N523" s="109"/>
      <c r="O523" s="109"/>
      <c r="P523" s="109"/>
      <c r="Q523" s="109"/>
      <c r="R523" s="109"/>
      <c r="S523" s="109"/>
      <c r="T523" s="109"/>
      <c r="U523" s="110"/>
      <c r="W523" s="35" t="str">
        <f>"-- "&amp;C523</f>
        <v>-- バックアップ_施設属性マスタ登録</v>
      </c>
    </row>
    <row r="524" spans="2:23" ht="18.75" customHeight="1">
      <c r="B524" s="43" t="s">
        <v>159</v>
      </c>
      <c r="C524" s="111" t="str">
        <f>C526&amp;"テーブルのレコードを"&amp;R526&amp;"テーブルに格納する。"</f>
        <v>施設属性マスタテーブルのレコードをバックアップ_施設属性マスタテーブルに格納する。</v>
      </c>
      <c r="D524" s="112"/>
      <c r="E524" s="112"/>
      <c r="F524" s="112"/>
      <c r="G524" s="112"/>
      <c r="H524" s="112"/>
      <c r="I524" s="112"/>
      <c r="J524" s="112"/>
      <c r="K524" s="112"/>
      <c r="L524" s="112"/>
      <c r="M524" s="112"/>
      <c r="N524" s="112"/>
      <c r="O524" s="112"/>
      <c r="P524" s="112"/>
      <c r="Q524" s="112"/>
      <c r="R524" s="112"/>
      <c r="S524" s="112"/>
      <c r="T524" s="112"/>
      <c r="U524" s="113"/>
      <c r="W524" s="35" t="str">
        <f>"-- "&amp;C524</f>
        <v>-- 施設属性マスタテーブルのレコードをバックアップ_施設属性マスタテーブルに格納する。</v>
      </c>
    </row>
    <row r="526" spans="2:23" ht="18.75" customHeight="1">
      <c r="C526" s="102" t="s">
        <v>3600</v>
      </c>
      <c r="D526" s="103"/>
      <c r="E526" s="114" t="s">
        <v>162</v>
      </c>
      <c r="F526" s="36"/>
      <c r="G526" s="36"/>
      <c r="H526" s="36"/>
      <c r="I526" s="36"/>
      <c r="J526" s="36"/>
      <c r="K526" s="36"/>
      <c r="L526" s="36"/>
      <c r="M526" s="36"/>
      <c r="N526" s="36"/>
      <c r="O526" s="36"/>
      <c r="P526" s="36"/>
      <c r="Q526" s="36"/>
      <c r="R526" s="102" t="str">
        <f>"バックアップ_"&amp;SUBSTITUTE(C526,"_結合","")</f>
        <v>バックアップ_施設属性マスタ</v>
      </c>
      <c r="S526" s="103"/>
      <c r="T526" s="106" t="str">
        <f>エンティティ一覧!$O$2</f>
        <v>milscm_2023_009</v>
      </c>
    </row>
    <row r="527" spans="2:23" ht="18.75" customHeight="1">
      <c r="C527" s="104"/>
      <c r="D527" s="105"/>
      <c r="E527" s="115"/>
      <c r="F527" s="37"/>
      <c r="G527" s="37"/>
      <c r="H527" s="37"/>
      <c r="I527" s="37"/>
      <c r="J527" s="37"/>
      <c r="K527" s="37"/>
      <c r="L527" s="37"/>
      <c r="M527" s="37"/>
      <c r="N527" s="37"/>
      <c r="O527" s="37"/>
      <c r="P527" s="37"/>
      <c r="Q527" s="37"/>
      <c r="R527" s="104"/>
      <c r="S527" s="105"/>
      <c r="T527" s="107"/>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3601</v>
      </c>
      <c r="D531" s="90"/>
      <c r="W531" s="35" t="str">
        <f>"-- "&amp;B531&amp;" : "&amp;C531</f>
        <v>-- SQL_ID : 01_A4-04</v>
      </c>
    </row>
    <row r="532" spans="2:23" ht="18.75" customHeight="1">
      <c r="B532" s="43" t="s">
        <v>158</v>
      </c>
      <c r="C532" s="108" t="str">
        <f>R535&amp;"登録"</f>
        <v>バックアップ_二次医療圏マスタ登録</v>
      </c>
      <c r="D532" s="109"/>
      <c r="E532" s="109"/>
      <c r="F532" s="109"/>
      <c r="G532" s="109"/>
      <c r="H532" s="109"/>
      <c r="I532" s="109"/>
      <c r="J532" s="109"/>
      <c r="K532" s="109"/>
      <c r="L532" s="109"/>
      <c r="M532" s="109"/>
      <c r="N532" s="109"/>
      <c r="O532" s="109"/>
      <c r="P532" s="109"/>
      <c r="Q532" s="109"/>
      <c r="R532" s="109"/>
      <c r="S532" s="109"/>
      <c r="T532" s="109"/>
      <c r="U532" s="110"/>
      <c r="W532" s="35" t="str">
        <f>"-- "&amp;C532</f>
        <v>-- バックアップ_二次医療圏マスタ登録</v>
      </c>
    </row>
    <row r="533" spans="2:23" ht="18.75" customHeight="1">
      <c r="B533" s="43" t="s">
        <v>159</v>
      </c>
      <c r="C533" s="111" t="str">
        <f>C535&amp;"テーブルのレコードを"&amp;R535&amp;"テーブルに格納する。"</f>
        <v>二次医療圏マスタテーブルのレコードをバックアップ_二次医療圏マスタテーブルに格納する。</v>
      </c>
      <c r="D533" s="112"/>
      <c r="E533" s="112"/>
      <c r="F533" s="112"/>
      <c r="G533" s="112"/>
      <c r="H533" s="112"/>
      <c r="I533" s="112"/>
      <c r="J533" s="112"/>
      <c r="K533" s="112"/>
      <c r="L533" s="112"/>
      <c r="M533" s="112"/>
      <c r="N533" s="112"/>
      <c r="O533" s="112"/>
      <c r="P533" s="112"/>
      <c r="Q533" s="112"/>
      <c r="R533" s="112"/>
      <c r="S533" s="112"/>
      <c r="T533" s="112"/>
      <c r="U533" s="113"/>
      <c r="W533" s="35" t="str">
        <f>"-- "&amp;C533</f>
        <v>-- 二次医療圏マスタテーブルのレコードをバックアップ_二次医療圏マスタテーブルに格納する。</v>
      </c>
    </row>
    <row r="535" spans="2:23" ht="18.75" customHeight="1">
      <c r="C535" s="102" t="s">
        <v>3602</v>
      </c>
      <c r="D535" s="103"/>
      <c r="E535" s="114" t="s">
        <v>162</v>
      </c>
      <c r="F535" s="36"/>
      <c r="G535" s="36"/>
      <c r="H535" s="36"/>
      <c r="I535" s="36"/>
      <c r="J535" s="36"/>
      <c r="K535" s="36"/>
      <c r="L535" s="36"/>
      <c r="M535" s="36"/>
      <c r="N535" s="36"/>
      <c r="O535" s="36"/>
      <c r="P535" s="36"/>
      <c r="Q535" s="36"/>
      <c r="R535" s="102" t="str">
        <f>"バックアップ_"&amp;SUBSTITUTE(C535,"_結合","")</f>
        <v>バックアップ_二次医療圏マスタ</v>
      </c>
      <c r="S535" s="103"/>
      <c r="T535" s="106" t="str">
        <f>エンティティ一覧!$O$2</f>
        <v>milscm_2023_009</v>
      </c>
    </row>
    <row r="536" spans="2:23" ht="18.75" customHeight="1">
      <c r="C536" s="104"/>
      <c r="D536" s="105"/>
      <c r="E536" s="115"/>
      <c r="F536" s="37"/>
      <c r="G536" s="37"/>
      <c r="H536" s="37"/>
      <c r="I536" s="37"/>
      <c r="J536" s="37"/>
      <c r="K536" s="37"/>
      <c r="L536" s="37"/>
      <c r="M536" s="37"/>
      <c r="N536" s="37"/>
      <c r="O536" s="37"/>
      <c r="P536" s="37"/>
      <c r="Q536" s="37"/>
      <c r="R536" s="104"/>
      <c r="S536" s="105"/>
      <c r="T536" s="107"/>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3603</v>
      </c>
      <c r="D540" s="90"/>
      <c r="W540" s="35" t="str">
        <f>"-- "&amp;B540&amp;" : "&amp;C540</f>
        <v>-- SQL_ID : 01_A4-05</v>
      </c>
    </row>
    <row r="541" spans="2:23" ht="18.75" customHeight="1">
      <c r="B541" s="43" t="s">
        <v>158</v>
      </c>
      <c r="C541" s="108" t="str">
        <f>R544&amp;"登録"</f>
        <v>バックアップ_施設ID対応マスタ登録</v>
      </c>
      <c r="D541" s="109"/>
      <c r="E541" s="109"/>
      <c r="F541" s="109"/>
      <c r="G541" s="109"/>
      <c r="H541" s="109"/>
      <c r="I541" s="109"/>
      <c r="J541" s="109"/>
      <c r="K541" s="109"/>
      <c r="L541" s="109"/>
      <c r="M541" s="109"/>
      <c r="N541" s="109"/>
      <c r="O541" s="109"/>
      <c r="P541" s="109"/>
      <c r="Q541" s="109"/>
      <c r="R541" s="109"/>
      <c r="S541" s="109"/>
      <c r="T541" s="109"/>
      <c r="U541" s="110"/>
      <c r="W541" s="35" t="str">
        <f>"-- "&amp;C541</f>
        <v>-- バックアップ_施設ID対応マスタ登録</v>
      </c>
    </row>
    <row r="542" spans="2:23" ht="18.75" customHeight="1">
      <c r="B542" s="43" t="s">
        <v>159</v>
      </c>
      <c r="C542" s="111" t="str">
        <f>C544&amp;"テーブルのレコードを"&amp;R544&amp;"テーブルに格納する。"</f>
        <v>施設ID対応マスタテーブルのレコードをバックアップ_施設ID対応マスタテーブルに格納する。</v>
      </c>
      <c r="D542" s="112"/>
      <c r="E542" s="112"/>
      <c r="F542" s="112"/>
      <c r="G542" s="112"/>
      <c r="H542" s="112"/>
      <c r="I542" s="112"/>
      <c r="J542" s="112"/>
      <c r="K542" s="112"/>
      <c r="L542" s="112"/>
      <c r="M542" s="112"/>
      <c r="N542" s="112"/>
      <c r="O542" s="112"/>
      <c r="P542" s="112"/>
      <c r="Q542" s="112"/>
      <c r="R542" s="112"/>
      <c r="S542" s="112"/>
      <c r="T542" s="112"/>
      <c r="U542" s="113"/>
      <c r="W542" s="35" t="str">
        <f>"-- "&amp;C542</f>
        <v>-- 施設ID対応マスタテーブルのレコードをバックアップ_施設ID対応マスタテーブルに格納する。</v>
      </c>
    </row>
    <row r="544" spans="2:23" ht="18.75" customHeight="1">
      <c r="C544" s="102" t="s">
        <v>3604</v>
      </c>
      <c r="D544" s="103"/>
      <c r="E544" s="114" t="s">
        <v>162</v>
      </c>
      <c r="F544" s="36"/>
      <c r="G544" s="36"/>
      <c r="H544" s="36"/>
      <c r="I544" s="36"/>
      <c r="J544" s="36"/>
      <c r="K544" s="36"/>
      <c r="L544" s="36"/>
      <c r="M544" s="36"/>
      <c r="N544" s="36"/>
      <c r="O544" s="36"/>
      <c r="P544" s="36"/>
      <c r="Q544" s="36"/>
      <c r="R544" s="102" t="str">
        <f>"バックアップ_"&amp;SUBSTITUTE(C544,"_結合","")</f>
        <v>バックアップ_施設ID対応マスタ</v>
      </c>
      <c r="S544" s="103"/>
      <c r="T544" s="106" t="str">
        <f>エンティティ一覧!$O$2</f>
        <v>milscm_2023_009</v>
      </c>
    </row>
    <row r="545" spans="2:23" ht="18.75" customHeight="1">
      <c r="C545" s="104"/>
      <c r="D545" s="105"/>
      <c r="E545" s="115"/>
      <c r="F545" s="37"/>
      <c r="G545" s="37"/>
      <c r="H545" s="37"/>
      <c r="I545" s="37"/>
      <c r="J545" s="37"/>
      <c r="K545" s="37"/>
      <c r="L545" s="37"/>
      <c r="M545" s="37"/>
      <c r="N545" s="37"/>
      <c r="O545" s="37"/>
      <c r="P545" s="37"/>
      <c r="Q545" s="37"/>
      <c r="R545" s="104"/>
      <c r="S545" s="105"/>
      <c r="T545" s="107"/>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3605</v>
      </c>
      <c r="D549" s="90"/>
      <c r="W549" s="35" t="str">
        <f>"-- "&amp;B549&amp;" : "&amp;C549</f>
        <v>-- SQL_ID : 01_A4-07</v>
      </c>
    </row>
    <row r="550" spans="2:23" ht="18.75" customHeight="1">
      <c r="B550" s="43" t="s">
        <v>158</v>
      </c>
      <c r="C550" s="108" t="str">
        <f>R553&amp;"登録"</f>
        <v>バックアップ_医薬品関連マスタ登録</v>
      </c>
      <c r="D550" s="109"/>
      <c r="E550" s="109"/>
      <c r="F550" s="109"/>
      <c r="G550" s="109"/>
      <c r="H550" s="109"/>
      <c r="I550" s="109"/>
      <c r="J550" s="109"/>
      <c r="K550" s="109"/>
      <c r="L550" s="109"/>
      <c r="M550" s="109"/>
      <c r="N550" s="109"/>
      <c r="O550" s="109"/>
      <c r="P550" s="109"/>
      <c r="Q550" s="109"/>
      <c r="R550" s="109"/>
      <c r="S550" s="109"/>
      <c r="T550" s="109"/>
      <c r="U550" s="110"/>
      <c r="W550" s="35" t="str">
        <f>"-- "&amp;C550</f>
        <v>-- バックアップ_医薬品関連マスタ登録</v>
      </c>
    </row>
    <row r="551" spans="2:23" ht="18.75" customHeight="1">
      <c r="B551" s="43" t="s">
        <v>159</v>
      </c>
      <c r="C551" s="111" t="str">
        <f>C553&amp;"テーブルのレコードを"&amp;R553&amp;"テーブルに格納する。"</f>
        <v>医薬品関連マスタテーブルのレコードをバックアップ_医薬品関連マスタテーブルに格納する。</v>
      </c>
      <c r="D551" s="112"/>
      <c r="E551" s="112"/>
      <c r="F551" s="112"/>
      <c r="G551" s="112"/>
      <c r="H551" s="112"/>
      <c r="I551" s="112"/>
      <c r="J551" s="112"/>
      <c r="K551" s="112"/>
      <c r="L551" s="112"/>
      <c r="M551" s="112"/>
      <c r="N551" s="112"/>
      <c r="O551" s="112"/>
      <c r="P551" s="112"/>
      <c r="Q551" s="112"/>
      <c r="R551" s="112"/>
      <c r="S551" s="112"/>
      <c r="T551" s="112"/>
      <c r="U551" s="113"/>
      <c r="W551" s="35" t="str">
        <f>"-- "&amp;C551</f>
        <v>-- 医薬品関連マスタテーブルのレコードをバックアップ_医薬品関連マスタテーブルに格納する。</v>
      </c>
    </row>
    <row r="553" spans="2:23" ht="18.75" customHeight="1">
      <c r="C553" s="102" t="s">
        <v>3606</v>
      </c>
      <c r="D553" s="103"/>
      <c r="E553" s="114" t="s">
        <v>162</v>
      </c>
      <c r="F553" s="36"/>
      <c r="G553" s="36"/>
      <c r="H553" s="36"/>
      <c r="I553" s="36"/>
      <c r="J553" s="36"/>
      <c r="K553" s="36"/>
      <c r="L553" s="36"/>
      <c r="M553" s="36"/>
      <c r="N553" s="36"/>
      <c r="O553" s="36"/>
      <c r="P553" s="36"/>
      <c r="Q553" s="36"/>
      <c r="R553" s="102" t="str">
        <f>"バックアップ_"&amp;SUBSTITUTE(C553,"_結合","")</f>
        <v>バックアップ_医薬品関連マスタ</v>
      </c>
      <c r="S553" s="103"/>
      <c r="T553" s="106" t="str">
        <f>エンティティ一覧!$O$2</f>
        <v>milscm_2023_009</v>
      </c>
    </row>
    <row r="554" spans="2:23" ht="18.75" customHeight="1">
      <c r="C554" s="104"/>
      <c r="D554" s="105"/>
      <c r="E554" s="115"/>
      <c r="F554" s="37"/>
      <c r="G554" s="37"/>
      <c r="H554" s="37"/>
      <c r="I554" s="37"/>
      <c r="J554" s="37"/>
      <c r="K554" s="37"/>
      <c r="L554" s="37"/>
      <c r="M554" s="37"/>
      <c r="N554" s="37"/>
      <c r="O554" s="37"/>
      <c r="P554" s="37"/>
      <c r="Q554" s="37"/>
      <c r="R554" s="104"/>
      <c r="S554" s="105"/>
      <c r="T554" s="107"/>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3607</v>
      </c>
      <c r="D558" s="90"/>
      <c r="W558" s="35" t="str">
        <f>"-- "&amp;B558&amp;" : "&amp;C558</f>
        <v>-- SQL_ID : 01_A4-08</v>
      </c>
    </row>
    <row r="559" spans="2:23" ht="18.75" customHeight="1">
      <c r="B559" s="43" t="s">
        <v>158</v>
      </c>
      <c r="C559" s="108" t="str">
        <f>R562&amp;"登録"</f>
        <v>バックアップ_薬価関連マスタ登録</v>
      </c>
      <c r="D559" s="109"/>
      <c r="E559" s="109"/>
      <c r="F559" s="109"/>
      <c r="G559" s="109"/>
      <c r="H559" s="109"/>
      <c r="I559" s="109"/>
      <c r="J559" s="109"/>
      <c r="K559" s="109"/>
      <c r="L559" s="109"/>
      <c r="M559" s="109"/>
      <c r="N559" s="109"/>
      <c r="O559" s="109"/>
      <c r="P559" s="109"/>
      <c r="Q559" s="109"/>
      <c r="R559" s="109"/>
      <c r="S559" s="109"/>
      <c r="T559" s="109"/>
      <c r="U559" s="110"/>
      <c r="W559" s="35" t="str">
        <f>"-- "&amp;C559</f>
        <v>-- バックアップ_薬価関連マスタ登録</v>
      </c>
    </row>
    <row r="560" spans="2:23" ht="18.75" customHeight="1">
      <c r="B560" s="43" t="s">
        <v>159</v>
      </c>
      <c r="C560" s="111" t="str">
        <f>C562&amp;"テーブルのレコードを"&amp;R562&amp;"テーブルに格納する。"</f>
        <v>薬価関連マスタテーブルのレコードをバックアップ_薬価関連マスタテーブルに格納する。</v>
      </c>
      <c r="D560" s="112"/>
      <c r="E560" s="112"/>
      <c r="F560" s="112"/>
      <c r="G560" s="112"/>
      <c r="H560" s="112"/>
      <c r="I560" s="112"/>
      <c r="J560" s="112"/>
      <c r="K560" s="112"/>
      <c r="L560" s="112"/>
      <c r="M560" s="112"/>
      <c r="N560" s="112"/>
      <c r="O560" s="112"/>
      <c r="P560" s="112"/>
      <c r="Q560" s="112"/>
      <c r="R560" s="112"/>
      <c r="S560" s="112"/>
      <c r="T560" s="112"/>
      <c r="U560" s="113"/>
      <c r="W560" s="35" t="str">
        <f>"-- "&amp;C560</f>
        <v>-- 薬価関連マスタテーブルのレコードをバックアップ_薬価関連マスタテーブルに格納する。</v>
      </c>
    </row>
    <row r="562" spans="2:23" ht="18.75" customHeight="1">
      <c r="C562" s="102" t="s">
        <v>3608</v>
      </c>
      <c r="D562" s="103"/>
      <c r="E562" s="114" t="s">
        <v>162</v>
      </c>
      <c r="F562" s="36"/>
      <c r="G562" s="36"/>
      <c r="H562" s="36"/>
      <c r="I562" s="36"/>
      <c r="J562" s="36"/>
      <c r="K562" s="36"/>
      <c r="L562" s="36"/>
      <c r="M562" s="36"/>
      <c r="N562" s="36"/>
      <c r="O562" s="36"/>
      <c r="P562" s="36"/>
      <c r="Q562" s="36"/>
      <c r="R562" s="102" t="str">
        <f>"バックアップ_"&amp;SUBSTITUTE(C562,"_結合","")</f>
        <v>バックアップ_薬価関連マスタ</v>
      </c>
      <c r="S562" s="103"/>
      <c r="T562" s="106" t="str">
        <f>エンティティ一覧!$O$2</f>
        <v>milscm_2023_009</v>
      </c>
    </row>
    <row r="563" spans="2:23" ht="18.75" customHeight="1">
      <c r="C563" s="104"/>
      <c r="D563" s="105"/>
      <c r="E563" s="115"/>
      <c r="F563" s="37"/>
      <c r="G563" s="37"/>
      <c r="H563" s="37"/>
      <c r="I563" s="37"/>
      <c r="J563" s="37"/>
      <c r="K563" s="37"/>
      <c r="L563" s="37"/>
      <c r="M563" s="37"/>
      <c r="N563" s="37"/>
      <c r="O563" s="37"/>
      <c r="P563" s="37"/>
      <c r="Q563" s="37"/>
      <c r="R563" s="104"/>
      <c r="S563" s="105"/>
      <c r="T563" s="107"/>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3609</v>
      </c>
      <c r="D567" s="90"/>
      <c r="W567" s="35" t="str">
        <f>"-- "&amp;B567&amp;" : "&amp;C567</f>
        <v>-- SQL_ID : 01_A4-09</v>
      </c>
    </row>
    <row r="568" spans="2:23" ht="18.75" customHeight="1">
      <c r="B568" s="43" t="s">
        <v>158</v>
      </c>
      <c r="C568" s="108" t="str">
        <f>R571&amp;"登録"</f>
        <v>バックアップ_診療行為関連マスタ登録</v>
      </c>
      <c r="D568" s="109"/>
      <c r="E568" s="109"/>
      <c r="F568" s="109"/>
      <c r="G568" s="109"/>
      <c r="H568" s="109"/>
      <c r="I568" s="109"/>
      <c r="J568" s="109"/>
      <c r="K568" s="109"/>
      <c r="L568" s="109"/>
      <c r="M568" s="109"/>
      <c r="N568" s="109"/>
      <c r="O568" s="109"/>
      <c r="P568" s="109"/>
      <c r="Q568" s="109"/>
      <c r="R568" s="109"/>
      <c r="S568" s="109"/>
      <c r="T568" s="109"/>
      <c r="U568" s="110"/>
      <c r="W568" s="35" t="str">
        <f>"-- "&amp;C568</f>
        <v>-- バックアップ_診療行為関連マスタ登録</v>
      </c>
    </row>
    <row r="569" spans="2:23" ht="18.75" customHeight="1">
      <c r="B569" s="43" t="s">
        <v>159</v>
      </c>
      <c r="C569" s="111" t="str">
        <f>C571&amp;"テーブルのレコードを"&amp;R571&amp;"テーブルに格納する。"</f>
        <v>診療行為関連マスタテーブルのレコードをバックアップ_診療行為関連マスタテーブルに格納する。</v>
      </c>
      <c r="D569" s="112"/>
      <c r="E569" s="112"/>
      <c r="F569" s="112"/>
      <c r="G569" s="112"/>
      <c r="H569" s="112"/>
      <c r="I569" s="112"/>
      <c r="J569" s="112"/>
      <c r="K569" s="112"/>
      <c r="L569" s="112"/>
      <c r="M569" s="112"/>
      <c r="N569" s="112"/>
      <c r="O569" s="112"/>
      <c r="P569" s="112"/>
      <c r="Q569" s="112"/>
      <c r="R569" s="112"/>
      <c r="S569" s="112"/>
      <c r="T569" s="112"/>
      <c r="U569" s="113"/>
      <c r="W569" s="35" t="str">
        <f>"-- "&amp;C569</f>
        <v>-- 診療行為関連マスタテーブルのレコードをバックアップ_診療行為関連マスタテーブルに格納する。</v>
      </c>
    </row>
    <row r="571" spans="2:23" ht="18.75" customHeight="1">
      <c r="C571" s="102" t="s">
        <v>3610</v>
      </c>
      <c r="D571" s="103"/>
      <c r="E571" s="114" t="s">
        <v>162</v>
      </c>
      <c r="F571" s="36"/>
      <c r="G571" s="36"/>
      <c r="H571" s="36"/>
      <c r="I571" s="36"/>
      <c r="J571" s="36"/>
      <c r="K571" s="36"/>
      <c r="L571" s="36"/>
      <c r="M571" s="36"/>
      <c r="N571" s="36"/>
      <c r="O571" s="36"/>
      <c r="P571" s="36"/>
      <c r="Q571" s="36"/>
      <c r="R571" s="102" t="str">
        <f>"バックアップ_"&amp;SUBSTITUTE(C571,"_結合","")</f>
        <v>バックアップ_診療行為関連マスタ</v>
      </c>
      <c r="S571" s="103"/>
      <c r="T571" s="106" t="str">
        <f>エンティティ一覧!$O$2</f>
        <v>milscm_2023_009</v>
      </c>
    </row>
    <row r="572" spans="2:23" ht="18.75" customHeight="1">
      <c r="C572" s="104"/>
      <c r="D572" s="105"/>
      <c r="E572" s="115"/>
      <c r="F572" s="37"/>
      <c r="G572" s="37"/>
      <c r="H572" s="37"/>
      <c r="I572" s="37"/>
      <c r="J572" s="37"/>
      <c r="K572" s="37"/>
      <c r="L572" s="37"/>
      <c r="M572" s="37"/>
      <c r="N572" s="37"/>
      <c r="O572" s="37"/>
      <c r="P572" s="37"/>
      <c r="Q572" s="37"/>
      <c r="R572" s="104"/>
      <c r="S572" s="105"/>
      <c r="T572" s="107"/>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3611</v>
      </c>
      <c r="D576" s="90"/>
      <c r="W576" s="35" t="str">
        <f>"-- "&amp;B576&amp;" : "&amp;C576</f>
        <v>-- SQL_ID : 01_A4-10</v>
      </c>
    </row>
    <row r="577" spans="2:23" ht="18.75" customHeight="1">
      <c r="B577" s="43" t="s">
        <v>158</v>
      </c>
      <c r="C577" s="108" t="str">
        <f>R580&amp;"登録"</f>
        <v>バックアップ_特定器材関連マスタ登録</v>
      </c>
      <c r="D577" s="109"/>
      <c r="E577" s="109"/>
      <c r="F577" s="109"/>
      <c r="G577" s="109"/>
      <c r="H577" s="109"/>
      <c r="I577" s="109"/>
      <c r="J577" s="109"/>
      <c r="K577" s="109"/>
      <c r="L577" s="109"/>
      <c r="M577" s="109"/>
      <c r="N577" s="109"/>
      <c r="O577" s="109"/>
      <c r="P577" s="109"/>
      <c r="Q577" s="109"/>
      <c r="R577" s="109"/>
      <c r="S577" s="109"/>
      <c r="T577" s="109"/>
      <c r="U577" s="110"/>
      <c r="W577" s="35" t="str">
        <f>"-- "&amp;C577</f>
        <v>-- バックアップ_特定器材関連マスタ登録</v>
      </c>
    </row>
    <row r="578" spans="2:23" ht="18.75" customHeight="1">
      <c r="B578" s="43" t="s">
        <v>159</v>
      </c>
      <c r="C578" s="111" t="str">
        <f>C580&amp;"テーブルのレコードを"&amp;R580&amp;"テーブルに格納する。"</f>
        <v>特定器材関連マスタテーブルのレコードをバックアップ_特定器材関連マスタテーブルに格納する。</v>
      </c>
      <c r="D578" s="112"/>
      <c r="E578" s="112"/>
      <c r="F578" s="112"/>
      <c r="G578" s="112"/>
      <c r="H578" s="112"/>
      <c r="I578" s="112"/>
      <c r="J578" s="112"/>
      <c r="K578" s="112"/>
      <c r="L578" s="112"/>
      <c r="M578" s="112"/>
      <c r="N578" s="112"/>
      <c r="O578" s="112"/>
      <c r="P578" s="112"/>
      <c r="Q578" s="112"/>
      <c r="R578" s="112"/>
      <c r="S578" s="112"/>
      <c r="T578" s="112"/>
      <c r="U578" s="113"/>
      <c r="W578" s="35" t="str">
        <f>"-- "&amp;C578</f>
        <v>-- 特定器材関連マスタテーブルのレコードをバックアップ_特定器材関連マスタテーブルに格納する。</v>
      </c>
    </row>
    <row r="580" spans="2:23" ht="18.75" customHeight="1">
      <c r="C580" s="102" t="s">
        <v>3612</v>
      </c>
      <c r="D580" s="103"/>
      <c r="E580" s="114" t="s">
        <v>162</v>
      </c>
      <c r="F580" s="36"/>
      <c r="G580" s="36"/>
      <c r="H580" s="36"/>
      <c r="I580" s="36"/>
      <c r="J580" s="36"/>
      <c r="K580" s="36"/>
      <c r="L580" s="36"/>
      <c r="M580" s="36"/>
      <c r="N580" s="36"/>
      <c r="O580" s="36"/>
      <c r="P580" s="36"/>
      <c r="Q580" s="36"/>
      <c r="R580" s="102" t="str">
        <f>"バックアップ_"&amp;SUBSTITUTE(C580,"_結合","")</f>
        <v>バックアップ_特定器材関連マスタ</v>
      </c>
      <c r="S580" s="103"/>
      <c r="T580" s="106" t="str">
        <f>エンティティ一覧!$O$2</f>
        <v>milscm_2023_009</v>
      </c>
    </row>
    <row r="581" spans="2:23" ht="18.75" customHeight="1">
      <c r="C581" s="104"/>
      <c r="D581" s="105"/>
      <c r="E581" s="115"/>
      <c r="F581" s="37"/>
      <c r="G581" s="37"/>
      <c r="H581" s="37"/>
      <c r="I581" s="37"/>
      <c r="J581" s="37"/>
      <c r="K581" s="37"/>
      <c r="L581" s="37"/>
      <c r="M581" s="37"/>
      <c r="N581" s="37"/>
      <c r="O581" s="37"/>
      <c r="P581" s="37"/>
      <c r="Q581" s="37"/>
      <c r="R581" s="104"/>
      <c r="S581" s="105"/>
      <c r="T581" s="107"/>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3613</v>
      </c>
      <c r="D585" s="90"/>
      <c r="W585" s="35" t="str">
        <f>"-- "&amp;B585&amp;" : "&amp;C585</f>
        <v>-- SQL_ID : 01_A4-11</v>
      </c>
    </row>
    <row r="586" spans="2:23" ht="18.75" customHeight="1">
      <c r="B586" s="43" t="s">
        <v>158</v>
      </c>
      <c r="C586" s="108" t="str">
        <f>R589&amp;"登録"</f>
        <v>バックアップ_DPC関連マスタ登録</v>
      </c>
      <c r="D586" s="109"/>
      <c r="E586" s="109"/>
      <c r="F586" s="109"/>
      <c r="G586" s="109"/>
      <c r="H586" s="109"/>
      <c r="I586" s="109"/>
      <c r="J586" s="109"/>
      <c r="K586" s="109"/>
      <c r="L586" s="109"/>
      <c r="M586" s="109"/>
      <c r="N586" s="109"/>
      <c r="O586" s="109"/>
      <c r="P586" s="109"/>
      <c r="Q586" s="109"/>
      <c r="R586" s="109"/>
      <c r="S586" s="109"/>
      <c r="T586" s="109"/>
      <c r="U586" s="110"/>
      <c r="W586" s="35" t="str">
        <f>"-- "&amp;C586</f>
        <v>-- バックアップ_DPC関連マスタ登録</v>
      </c>
    </row>
    <row r="587" spans="2:23" ht="18.75" customHeight="1">
      <c r="B587" s="43" t="s">
        <v>159</v>
      </c>
      <c r="C587" s="111" t="str">
        <f>C589&amp;"テーブルのレコードを"&amp;R589&amp;"テーブルに格納する。"</f>
        <v>DPC関連マスタテーブルのレコードをバックアップ_DPC関連マスタテーブルに格納する。</v>
      </c>
      <c r="D587" s="112"/>
      <c r="E587" s="112"/>
      <c r="F587" s="112"/>
      <c r="G587" s="112"/>
      <c r="H587" s="112"/>
      <c r="I587" s="112"/>
      <c r="J587" s="112"/>
      <c r="K587" s="112"/>
      <c r="L587" s="112"/>
      <c r="M587" s="112"/>
      <c r="N587" s="112"/>
      <c r="O587" s="112"/>
      <c r="P587" s="112"/>
      <c r="Q587" s="112"/>
      <c r="R587" s="112"/>
      <c r="S587" s="112"/>
      <c r="T587" s="112"/>
      <c r="U587" s="113"/>
      <c r="W587" s="35" t="str">
        <f>"-- "&amp;C587</f>
        <v>-- DPC関連マスタテーブルのレコードをバックアップ_DPC関連マスタテーブルに格納する。</v>
      </c>
    </row>
    <row r="589" spans="2:23" ht="18.75" customHeight="1">
      <c r="C589" s="102" t="s">
        <v>3614</v>
      </c>
      <c r="D589" s="103"/>
      <c r="E589" s="114" t="s">
        <v>162</v>
      </c>
      <c r="F589" s="36"/>
      <c r="G589" s="36"/>
      <c r="H589" s="36"/>
      <c r="I589" s="36"/>
      <c r="J589" s="36"/>
      <c r="K589" s="36"/>
      <c r="L589" s="36"/>
      <c r="M589" s="36"/>
      <c r="N589" s="36"/>
      <c r="O589" s="36"/>
      <c r="P589" s="36"/>
      <c r="Q589" s="36"/>
      <c r="R589" s="102" t="str">
        <f>"バックアップ_"&amp;SUBSTITUTE(C589,"_結合","")</f>
        <v>バックアップ_DPC関連マスタ</v>
      </c>
      <c r="S589" s="103"/>
      <c r="T589" s="106" t="str">
        <f>エンティティ一覧!$O$2</f>
        <v>milscm_2023_009</v>
      </c>
    </row>
    <row r="590" spans="2:23" ht="18.75" customHeight="1">
      <c r="C590" s="104"/>
      <c r="D590" s="105"/>
      <c r="E590" s="115"/>
      <c r="F590" s="37"/>
      <c r="G590" s="37"/>
      <c r="H590" s="37"/>
      <c r="I590" s="37"/>
      <c r="J590" s="37"/>
      <c r="K590" s="37"/>
      <c r="L590" s="37"/>
      <c r="M590" s="37"/>
      <c r="N590" s="37"/>
      <c r="O590" s="37"/>
      <c r="P590" s="37"/>
      <c r="Q590" s="37"/>
      <c r="R590" s="104"/>
      <c r="S590" s="105"/>
      <c r="T590" s="107"/>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3615</v>
      </c>
      <c r="D594" s="90"/>
      <c r="W594" s="35" t="str">
        <f>"-- "&amp;B594&amp;" : "&amp;C594</f>
        <v>-- SQL_ID : 01_A4-12</v>
      </c>
    </row>
    <row r="595" spans="2:23" ht="18.75" customHeight="1">
      <c r="B595" s="43" t="s">
        <v>158</v>
      </c>
      <c r="C595" s="108" t="str">
        <f>R598&amp;"登録"</f>
        <v>バックアップ_疾患関連マスタ登録</v>
      </c>
      <c r="D595" s="109"/>
      <c r="E595" s="109"/>
      <c r="F595" s="109"/>
      <c r="G595" s="109"/>
      <c r="H595" s="109"/>
      <c r="I595" s="109"/>
      <c r="J595" s="109"/>
      <c r="K595" s="109"/>
      <c r="L595" s="109"/>
      <c r="M595" s="109"/>
      <c r="N595" s="109"/>
      <c r="O595" s="109"/>
      <c r="P595" s="109"/>
      <c r="Q595" s="109"/>
      <c r="R595" s="109"/>
      <c r="S595" s="109"/>
      <c r="T595" s="109"/>
      <c r="U595" s="110"/>
      <c r="W595" s="35" t="str">
        <f>"-- "&amp;C595</f>
        <v>-- バックアップ_疾患関連マスタ登録</v>
      </c>
    </row>
    <row r="596" spans="2:23" ht="18.75" customHeight="1">
      <c r="B596" s="43" t="s">
        <v>159</v>
      </c>
      <c r="C596" s="111" t="str">
        <f>C598&amp;"テーブルのレコードを"&amp;R598&amp;"テーブルに格納する。"</f>
        <v>疾患関連マスタテーブルのレコードをバックアップ_疾患関連マスタテーブルに格納する。</v>
      </c>
      <c r="D596" s="112"/>
      <c r="E596" s="112"/>
      <c r="F596" s="112"/>
      <c r="G596" s="112"/>
      <c r="H596" s="112"/>
      <c r="I596" s="112"/>
      <c r="J596" s="112"/>
      <c r="K596" s="112"/>
      <c r="L596" s="112"/>
      <c r="M596" s="112"/>
      <c r="N596" s="112"/>
      <c r="O596" s="112"/>
      <c r="P596" s="112"/>
      <c r="Q596" s="112"/>
      <c r="R596" s="112"/>
      <c r="S596" s="112"/>
      <c r="T596" s="112"/>
      <c r="U596" s="113"/>
      <c r="W596" s="35" t="str">
        <f>"-- "&amp;C596</f>
        <v>-- 疾患関連マスタテーブルのレコードをバックアップ_疾患関連マスタテーブルに格納する。</v>
      </c>
    </row>
    <row r="598" spans="2:23" ht="18.75" customHeight="1">
      <c r="C598" s="102" t="s">
        <v>3616</v>
      </c>
      <c r="D598" s="103"/>
      <c r="E598" s="114" t="s">
        <v>162</v>
      </c>
      <c r="F598" s="36"/>
      <c r="G598" s="36"/>
      <c r="H598" s="36"/>
      <c r="I598" s="36"/>
      <c r="J598" s="36"/>
      <c r="K598" s="36"/>
      <c r="L598" s="36"/>
      <c r="M598" s="36"/>
      <c r="N598" s="36"/>
      <c r="O598" s="36"/>
      <c r="P598" s="36"/>
      <c r="Q598" s="36"/>
      <c r="R598" s="102" t="str">
        <f>"バックアップ_"&amp;SUBSTITUTE(C598,"_結合","")</f>
        <v>バックアップ_疾患関連マスタ</v>
      </c>
      <c r="S598" s="103"/>
      <c r="T598" s="106" t="str">
        <f>エンティティ一覧!$O$2</f>
        <v>milscm_2023_009</v>
      </c>
    </row>
    <row r="599" spans="2:23" ht="18.75" customHeight="1">
      <c r="C599" s="104"/>
      <c r="D599" s="105"/>
      <c r="E599" s="115"/>
      <c r="F599" s="37"/>
      <c r="G599" s="37"/>
      <c r="H599" s="37"/>
      <c r="I599" s="37"/>
      <c r="J599" s="37"/>
      <c r="K599" s="37"/>
      <c r="L599" s="37"/>
      <c r="M599" s="37"/>
      <c r="N599" s="37"/>
      <c r="O599" s="37"/>
      <c r="P599" s="37"/>
      <c r="Q599" s="37"/>
      <c r="R599" s="104"/>
      <c r="S599" s="105"/>
      <c r="T599" s="107"/>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3617</v>
      </c>
      <c r="D603" s="90"/>
      <c r="W603" s="35" t="str">
        <f>"-- "&amp;B603&amp;" : "&amp;C603</f>
        <v>-- SQL_ID : 01_A4-13</v>
      </c>
    </row>
    <row r="604" spans="2:23" ht="18.75" customHeight="1">
      <c r="B604" s="43" t="s">
        <v>158</v>
      </c>
      <c r="C604" s="108" t="str">
        <f>R607&amp;"登録"</f>
        <v>バックアップ_医薬品成分関連マスタ登録</v>
      </c>
      <c r="D604" s="109"/>
      <c r="E604" s="109"/>
      <c r="F604" s="109"/>
      <c r="G604" s="109"/>
      <c r="H604" s="109"/>
      <c r="I604" s="109"/>
      <c r="J604" s="109"/>
      <c r="K604" s="109"/>
      <c r="L604" s="109"/>
      <c r="M604" s="109"/>
      <c r="N604" s="109"/>
      <c r="O604" s="109"/>
      <c r="P604" s="109"/>
      <c r="Q604" s="109"/>
      <c r="R604" s="109"/>
      <c r="S604" s="109"/>
      <c r="T604" s="109"/>
      <c r="U604" s="110"/>
      <c r="W604" s="35" t="str">
        <f>"-- "&amp;C604</f>
        <v>-- バックアップ_医薬品成分関連マスタ登録</v>
      </c>
    </row>
    <row r="605" spans="2:23" ht="18.75" customHeight="1">
      <c r="B605" s="43" t="s">
        <v>159</v>
      </c>
      <c r="C605" s="111" t="str">
        <f>C607&amp;"テーブルのレコードを"&amp;R607&amp;"テーブルに格納する。"</f>
        <v>医薬品成分関連マスタテーブルのレコードをバックアップ_医薬品成分関連マスタテーブルに格納する。</v>
      </c>
      <c r="D605" s="112"/>
      <c r="E605" s="112"/>
      <c r="F605" s="112"/>
      <c r="G605" s="112"/>
      <c r="H605" s="112"/>
      <c r="I605" s="112"/>
      <c r="J605" s="112"/>
      <c r="K605" s="112"/>
      <c r="L605" s="112"/>
      <c r="M605" s="112"/>
      <c r="N605" s="112"/>
      <c r="O605" s="112"/>
      <c r="P605" s="112"/>
      <c r="Q605" s="112"/>
      <c r="R605" s="112"/>
      <c r="S605" s="112"/>
      <c r="T605" s="112"/>
      <c r="U605" s="113"/>
      <c r="W605" s="35" t="str">
        <f>"-- "&amp;C605</f>
        <v>-- 医薬品成分関連マスタテーブルのレコードをバックアップ_医薬品成分関連マスタテーブルに格納する。</v>
      </c>
    </row>
    <row r="607" spans="2:23" ht="18.75" customHeight="1">
      <c r="C607" s="102" t="s">
        <v>3618</v>
      </c>
      <c r="D607" s="103"/>
      <c r="E607" s="114" t="s">
        <v>162</v>
      </c>
      <c r="F607" s="36"/>
      <c r="G607" s="36"/>
      <c r="H607" s="36"/>
      <c r="I607" s="36"/>
      <c r="J607" s="36"/>
      <c r="K607" s="36"/>
      <c r="L607" s="36"/>
      <c r="M607" s="36"/>
      <c r="N607" s="36"/>
      <c r="O607" s="36"/>
      <c r="P607" s="36"/>
      <c r="Q607" s="36"/>
      <c r="R607" s="102" t="str">
        <f>"バックアップ_"&amp;SUBSTITUTE(C607,"_結合","")</f>
        <v>バックアップ_医薬品成分関連マスタ</v>
      </c>
      <c r="S607" s="103"/>
      <c r="T607" s="106" t="str">
        <f>エンティティ一覧!$O$2</f>
        <v>milscm_2023_009</v>
      </c>
    </row>
    <row r="608" spans="2:23" ht="18.75" customHeight="1">
      <c r="C608" s="104"/>
      <c r="D608" s="105"/>
      <c r="E608" s="115"/>
      <c r="F608" s="37"/>
      <c r="G608" s="37"/>
      <c r="H608" s="37"/>
      <c r="I608" s="37"/>
      <c r="J608" s="37"/>
      <c r="K608" s="37"/>
      <c r="L608" s="37"/>
      <c r="M608" s="37"/>
      <c r="N608" s="37"/>
      <c r="O608" s="37"/>
      <c r="P608" s="37"/>
      <c r="Q608" s="37"/>
      <c r="R608" s="104"/>
      <c r="S608" s="105"/>
      <c r="T608" s="107"/>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3619</v>
      </c>
      <c r="D612" s="90"/>
      <c r="W612" s="35" t="str">
        <f>"-- "&amp;B612&amp;" : "&amp;C612</f>
        <v>-- SQL_ID : 01_A4-14</v>
      </c>
    </row>
    <row r="613" spans="2:23" ht="18.75" customHeight="1">
      <c r="B613" s="43" t="s">
        <v>158</v>
      </c>
      <c r="C613" s="108" t="str">
        <f>R616&amp;"登録"</f>
        <v>バックアップ_医薬品適用病名関連マスタ登録</v>
      </c>
      <c r="D613" s="109"/>
      <c r="E613" s="109"/>
      <c r="F613" s="109"/>
      <c r="G613" s="109"/>
      <c r="H613" s="109"/>
      <c r="I613" s="109"/>
      <c r="J613" s="109"/>
      <c r="K613" s="109"/>
      <c r="L613" s="109"/>
      <c r="M613" s="109"/>
      <c r="N613" s="109"/>
      <c r="O613" s="109"/>
      <c r="P613" s="109"/>
      <c r="Q613" s="109"/>
      <c r="R613" s="109"/>
      <c r="S613" s="109"/>
      <c r="T613" s="109"/>
      <c r="U613" s="110"/>
      <c r="W613" s="35" t="str">
        <f>"-- "&amp;C613</f>
        <v>-- バックアップ_医薬品適用病名関連マスタ登録</v>
      </c>
    </row>
    <row r="614" spans="2:23" ht="18.75" customHeight="1">
      <c r="B614" s="43" t="s">
        <v>159</v>
      </c>
      <c r="C614" s="111" t="str">
        <f>C616&amp;"テーブルのレコードを"&amp;R616&amp;"テーブルに格納する。"</f>
        <v>医薬品適用病名関連マスタテーブルのレコードをバックアップ_医薬品適用病名関連マスタテーブルに格納する。</v>
      </c>
      <c r="D614" s="112"/>
      <c r="E614" s="112"/>
      <c r="F614" s="112"/>
      <c r="G614" s="112"/>
      <c r="H614" s="112"/>
      <c r="I614" s="112"/>
      <c r="J614" s="112"/>
      <c r="K614" s="112"/>
      <c r="L614" s="112"/>
      <c r="M614" s="112"/>
      <c r="N614" s="112"/>
      <c r="O614" s="112"/>
      <c r="P614" s="112"/>
      <c r="Q614" s="112"/>
      <c r="R614" s="112"/>
      <c r="S614" s="112"/>
      <c r="T614" s="112"/>
      <c r="U614" s="113"/>
      <c r="W614" s="35" t="str">
        <f>"-- "&amp;C614</f>
        <v>-- 医薬品適用病名関連マスタテーブルのレコードをバックアップ_医薬品適用病名関連マスタテーブルに格納する。</v>
      </c>
    </row>
    <row r="616" spans="2:23" ht="18.75" customHeight="1">
      <c r="C616" s="102" t="s">
        <v>3620</v>
      </c>
      <c r="D616" s="103"/>
      <c r="E616" s="114" t="s">
        <v>162</v>
      </c>
      <c r="F616" s="36"/>
      <c r="G616" s="36"/>
      <c r="H616" s="36"/>
      <c r="I616" s="36"/>
      <c r="J616" s="36"/>
      <c r="K616" s="36"/>
      <c r="L616" s="36"/>
      <c r="M616" s="36"/>
      <c r="N616" s="36"/>
      <c r="O616" s="36"/>
      <c r="P616" s="36"/>
      <c r="Q616" s="36"/>
      <c r="R616" s="102" t="str">
        <f>"バックアップ_"&amp;SUBSTITUTE(C616,"_結合","")</f>
        <v>バックアップ_医薬品適用病名関連マスタ</v>
      </c>
      <c r="S616" s="103"/>
      <c r="T616" s="106" t="str">
        <f>エンティティ一覧!$O$2</f>
        <v>milscm_2023_009</v>
      </c>
    </row>
    <row r="617" spans="2:23" ht="18.75" customHeight="1">
      <c r="C617" s="104"/>
      <c r="D617" s="105"/>
      <c r="E617" s="115"/>
      <c r="F617" s="37"/>
      <c r="G617" s="37"/>
      <c r="H617" s="37"/>
      <c r="I617" s="37"/>
      <c r="J617" s="37"/>
      <c r="K617" s="37"/>
      <c r="L617" s="37"/>
      <c r="M617" s="37"/>
      <c r="N617" s="37"/>
      <c r="O617" s="37"/>
      <c r="P617" s="37"/>
      <c r="Q617" s="37"/>
      <c r="R617" s="104"/>
      <c r="S617" s="105"/>
      <c r="T617" s="107"/>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3621</v>
      </c>
      <c r="D621" s="90"/>
      <c r="W621" s="35" t="str">
        <f>"-- "&amp;B621&amp;" : "&amp;C621</f>
        <v>-- SQL_ID : 01_A6-02</v>
      </c>
    </row>
    <row r="622" spans="2:23" ht="18.75" customHeight="1">
      <c r="B622" s="43" t="s">
        <v>158</v>
      </c>
      <c r="C622" s="108" t="str">
        <f>R625&amp;"登録"</f>
        <v>バックアップ_MML共通登録</v>
      </c>
      <c r="D622" s="109"/>
      <c r="E622" s="109"/>
      <c r="F622" s="109"/>
      <c r="G622" s="109"/>
      <c r="H622" s="109"/>
      <c r="I622" s="109"/>
      <c r="J622" s="109"/>
      <c r="K622" s="109"/>
      <c r="L622" s="109"/>
      <c r="M622" s="109"/>
      <c r="N622" s="109"/>
      <c r="O622" s="109"/>
      <c r="P622" s="109"/>
      <c r="Q622" s="109"/>
      <c r="R622" s="109"/>
      <c r="S622" s="109"/>
      <c r="T622" s="109"/>
      <c r="U622" s="110"/>
      <c r="W622" s="35" t="str">
        <f>"-- "&amp;C622</f>
        <v>-- バックアップ_MML共通登録</v>
      </c>
    </row>
    <row r="623" spans="2:23" ht="18.75" customHeight="1">
      <c r="B623" s="43" t="s">
        <v>159</v>
      </c>
      <c r="C623" s="111"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12"/>
      <c r="E623" s="112"/>
      <c r="F623" s="112"/>
      <c r="G623" s="112"/>
      <c r="H623" s="112"/>
      <c r="I623" s="112"/>
      <c r="J623" s="112"/>
      <c r="K623" s="112"/>
      <c r="L623" s="112"/>
      <c r="M623" s="112"/>
      <c r="N623" s="112"/>
      <c r="O623" s="112"/>
      <c r="P623" s="112"/>
      <c r="Q623" s="112"/>
      <c r="R623" s="112"/>
      <c r="S623" s="112"/>
      <c r="T623" s="112"/>
      <c r="U623" s="113"/>
      <c r="W623" s="35" t="str">
        <f>"-- "&amp;C623</f>
        <v>-- MML共通テーブルから組入れ条件の第一条件で絞り込んだ結果をバックアップ_MML共通テーブルに格納する。</v>
      </c>
    </row>
    <row r="625" spans="2:23" ht="18.75" customHeight="1">
      <c r="C625" s="102" t="s">
        <v>3622</v>
      </c>
      <c r="D625" s="103"/>
      <c r="E625" s="114" t="s">
        <v>162</v>
      </c>
      <c r="F625" s="36"/>
      <c r="G625" s="36"/>
      <c r="H625" s="36"/>
      <c r="I625" s="36"/>
      <c r="J625" s="36"/>
      <c r="M625" s="36"/>
      <c r="N625" s="36"/>
      <c r="O625" s="36"/>
      <c r="P625" s="36"/>
      <c r="Q625" s="36"/>
      <c r="R625" s="102" t="str">
        <f>"バックアップ_"&amp;SUBSTITUTE(C625,"_結合","")</f>
        <v>バックアップ_MML共通</v>
      </c>
      <c r="S625" s="103"/>
      <c r="T625" s="106" t="str">
        <f>エンティティ一覧!$O$2</f>
        <v>milscm_2023_009</v>
      </c>
    </row>
    <row r="626" spans="2:23" ht="18.75" customHeight="1">
      <c r="C626" s="104"/>
      <c r="D626" s="105"/>
      <c r="E626" s="115"/>
      <c r="F626" s="37"/>
      <c r="G626" s="37"/>
      <c r="H626" s="37"/>
      <c r="I626" s="37"/>
      <c r="J626" s="37"/>
      <c r="K626" s="37"/>
      <c r="L626" s="38"/>
      <c r="M626" s="37"/>
      <c r="N626" s="37"/>
      <c r="O626" s="37"/>
      <c r="P626" s="37"/>
      <c r="Q626" s="37"/>
      <c r="R626" s="104"/>
      <c r="S626" s="105"/>
      <c r="T626" s="107"/>
    </row>
    <row r="627" spans="2:23" ht="18.75" customHeight="1">
      <c r="K627" s="39"/>
      <c r="L627" s="40"/>
    </row>
    <row r="628" spans="2:23" ht="18.75" customHeight="1">
      <c r="C628" s="102" t="s">
        <v>3201</v>
      </c>
      <c r="D628" s="103"/>
      <c r="E628" s="106" t="str">
        <f>エンティティ一覧!$O$2</f>
        <v>milscm_2023_009</v>
      </c>
      <c r="F628" s="36"/>
      <c r="G628" s="36"/>
      <c r="H628" s="36"/>
      <c r="I628" s="36"/>
      <c r="J628" s="36"/>
      <c r="L628" s="41"/>
    </row>
    <row r="629" spans="2:23" ht="18.75" customHeight="1">
      <c r="C629" s="104"/>
      <c r="D629" s="105"/>
      <c r="E629" s="107"/>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3623</v>
      </c>
      <c r="D633" s="90"/>
      <c r="W633" s="35" t="str">
        <f>"-- "&amp;B633&amp;" : "&amp;C633</f>
        <v>-- SQL_ID : 01_A6-03</v>
      </c>
    </row>
    <row r="634" spans="2:23" ht="18.75" customHeight="1">
      <c r="B634" s="43" t="s">
        <v>158</v>
      </c>
      <c r="C634" s="108" t="str">
        <f>R637&amp;"登録"</f>
        <v>バックアップ_MML_診断履歴情報モジュール_本文登録</v>
      </c>
      <c r="D634" s="109"/>
      <c r="E634" s="109"/>
      <c r="F634" s="109"/>
      <c r="G634" s="109"/>
      <c r="H634" s="109"/>
      <c r="I634" s="109"/>
      <c r="J634" s="109"/>
      <c r="K634" s="109"/>
      <c r="L634" s="109"/>
      <c r="M634" s="109"/>
      <c r="N634" s="109"/>
      <c r="O634" s="109"/>
      <c r="P634" s="109"/>
      <c r="Q634" s="109"/>
      <c r="R634" s="109"/>
      <c r="S634" s="109"/>
      <c r="T634" s="109"/>
      <c r="U634" s="110"/>
      <c r="W634" s="35" t="str">
        <f>"-- "&amp;C634</f>
        <v>-- バックアップ_MML_診断履歴情報モジュール_本文登録</v>
      </c>
    </row>
    <row r="635" spans="2:23" ht="18.75" customHeight="1">
      <c r="B635" s="43" t="s">
        <v>159</v>
      </c>
      <c r="C635" s="111" t="str">
        <f>C637&amp;"テーブルから組入れ条件の第一条件で絞り込んだ結果を"&amp;R637&amp;"テーブルに格納する。"</f>
        <v>MML_診断履歴情報モジュール_本文テーブルから組入れ条件の第一条件で絞り込んだ結果をバックアップ_MML_診断履歴情報モジュール_本文テーブルに格納する。</v>
      </c>
      <c r="D635" s="112"/>
      <c r="E635" s="112"/>
      <c r="F635" s="112"/>
      <c r="G635" s="112"/>
      <c r="H635" s="112"/>
      <c r="I635" s="112"/>
      <c r="J635" s="112"/>
      <c r="K635" s="112"/>
      <c r="L635" s="112"/>
      <c r="M635" s="112"/>
      <c r="N635" s="112"/>
      <c r="O635" s="112"/>
      <c r="P635" s="112"/>
      <c r="Q635" s="112"/>
      <c r="R635" s="112"/>
      <c r="S635" s="112"/>
      <c r="T635" s="112"/>
      <c r="U635" s="113"/>
      <c r="W635" s="35" t="str">
        <f>"-- "&amp;C635</f>
        <v>-- MML_診断履歴情報モジュール_本文テーブルから組入れ条件の第一条件で絞り込んだ結果をバックアップ_MML_診断履歴情報モジュール_本文テーブルに格納する。</v>
      </c>
    </row>
    <row r="637" spans="2:23" ht="18.75" customHeight="1">
      <c r="C637" s="102" t="s">
        <v>3624</v>
      </c>
      <c r="D637" s="103"/>
      <c r="E637" s="114" t="s">
        <v>162</v>
      </c>
      <c r="H637" s="36"/>
      <c r="I637" s="36"/>
      <c r="J637" s="36"/>
      <c r="K637" s="36"/>
      <c r="L637" s="36"/>
      <c r="M637" s="36"/>
      <c r="N637" s="36"/>
      <c r="O637" s="36"/>
      <c r="P637" s="36"/>
      <c r="Q637" s="36"/>
      <c r="R637" s="102" t="str">
        <f>"バックアップ_"&amp;SUBSTITUTE(C637,"_結合","")</f>
        <v>バックアップ_MML_診断履歴情報モジュール_本文</v>
      </c>
      <c r="S637" s="103"/>
      <c r="T637" s="106" t="str">
        <f>エンティティ一覧!$O$2</f>
        <v>milscm_2023_009</v>
      </c>
    </row>
    <row r="638" spans="2:23" ht="18.75" customHeight="1">
      <c r="C638" s="104"/>
      <c r="D638" s="105"/>
      <c r="E638" s="115"/>
      <c r="F638" s="37"/>
      <c r="G638" s="38"/>
      <c r="H638" s="37"/>
      <c r="I638" s="37"/>
      <c r="J638" s="37"/>
      <c r="K638" s="37"/>
      <c r="L638" s="37"/>
      <c r="M638" s="37"/>
      <c r="N638" s="37"/>
      <c r="O638" s="37"/>
      <c r="P638" s="37"/>
      <c r="Q638" s="37"/>
      <c r="R638" s="104"/>
      <c r="S638" s="105"/>
      <c r="T638" s="107"/>
    </row>
    <row r="639" spans="2:23" ht="18.75" customHeight="1">
      <c r="F639" s="39"/>
      <c r="G639" s="40"/>
    </row>
    <row r="640" spans="2:23" ht="18.75" customHeight="1">
      <c r="C640" s="102" t="s">
        <v>3201</v>
      </c>
      <c r="D640" s="103"/>
      <c r="E640" s="106" t="str">
        <f>エンティティ一覧!$O$2</f>
        <v>milscm_2023_009</v>
      </c>
      <c r="G640" s="41"/>
    </row>
    <row r="641" spans="2:23" ht="18.75" customHeight="1">
      <c r="C641" s="104"/>
      <c r="D641" s="105"/>
      <c r="E641" s="107"/>
      <c r="F641" s="37"/>
    </row>
    <row r="643" spans="2:23" ht="18.75" customHeight="1" thickBot="1">
      <c r="B643" s="42"/>
      <c r="C643" s="42"/>
      <c r="D643" s="42"/>
      <c r="E643" s="42"/>
      <c r="F643" s="42"/>
      <c r="G643" s="42"/>
      <c r="H643" s="42"/>
      <c r="I643" s="42"/>
      <c r="J643" s="42"/>
      <c r="K643" s="42"/>
      <c r="L643" s="42"/>
      <c r="M643" s="42"/>
      <c r="N643" s="42"/>
      <c r="O643" s="42"/>
      <c r="P643" s="42"/>
      <c r="Q643" s="42"/>
      <c r="R643" s="42"/>
      <c r="S643" s="42"/>
      <c r="T643" s="42"/>
      <c r="U643" s="42"/>
    </row>
    <row r="645" spans="2:23" ht="18.75" customHeight="1">
      <c r="B645" s="43" t="s">
        <v>163</v>
      </c>
      <c r="C645" s="51" t="s">
        <v>3625</v>
      </c>
      <c r="D645" s="90"/>
      <c r="W645" s="35" t="str">
        <f>"-- "&amp;B645&amp;" : "&amp;C645</f>
        <v>-- SQL_ID : 01_A6-04</v>
      </c>
    </row>
    <row r="646" spans="2:23" ht="18.75" customHeight="1">
      <c r="B646" s="43" t="s">
        <v>158</v>
      </c>
      <c r="C646" s="108" t="str">
        <f>R649&amp;"登録"</f>
        <v>バックアップ_MML_診断履歴情報モジュール_病名登録</v>
      </c>
      <c r="D646" s="109"/>
      <c r="E646" s="109"/>
      <c r="F646" s="109"/>
      <c r="G646" s="109"/>
      <c r="H646" s="109"/>
      <c r="I646" s="109"/>
      <c r="J646" s="109"/>
      <c r="K646" s="109"/>
      <c r="L646" s="109"/>
      <c r="M646" s="109"/>
      <c r="N646" s="109"/>
      <c r="O646" s="109"/>
      <c r="P646" s="109"/>
      <c r="Q646" s="109"/>
      <c r="R646" s="109"/>
      <c r="S646" s="109"/>
      <c r="T646" s="109"/>
      <c r="U646" s="110"/>
      <c r="W646" s="35" t="str">
        <f>"-- "&amp;C646</f>
        <v>-- バックアップ_MML_診断履歴情報モジュール_病名登録</v>
      </c>
    </row>
    <row r="647" spans="2:23" ht="18.75" customHeight="1">
      <c r="B647" s="43" t="s">
        <v>159</v>
      </c>
      <c r="C647" s="111" t="str">
        <f>C649&amp;"テーブルから組入れ条件の第一条件で絞り込んだ結果を"&amp;R649&amp;"テーブルに格納する。"</f>
        <v>MML_診断履歴情報モジュール_病名テーブルから組入れ条件の第一条件で絞り込んだ結果をバックアップ_MML_診断履歴情報モジュール_病名テーブルに格納する。</v>
      </c>
      <c r="D647" s="112"/>
      <c r="E647" s="112"/>
      <c r="F647" s="112"/>
      <c r="G647" s="112"/>
      <c r="H647" s="112"/>
      <c r="I647" s="112"/>
      <c r="J647" s="112"/>
      <c r="K647" s="112"/>
      <c r="L647" s="112"/>
      <c r="M647" s="112"/>
      <c r="N647" s="112"/>
      <c r="O647" s="112"/>
      <c r="P647" s="112"/>
      <c r="Q647" s="112"/>
      <c r="R647" s="112"/>
      <c r="S647" s="112"/>
      <c r="T647" s="112"/>
      <c r="U647" s="113"/>
      <c r="W647" s="35" t="str">
        <f>"-- "&amp;C647</f>
        <v>-- MML_診断履歴情報モジュール_病名テーブルから組入れ条件の第一条件で絞り込んだ結果をバックアップ_MML_診断履歴情報モジュール_病名テーブルに格納する。</v>
      </c>
    </row>
    <row r="649" spans="2:23" ht="18.75" customHeight="1">
      <c r="C649" s="102" t="s">
        <v>3626</v>
      </c>
      <c r="D649" s="103"/>
      <c r="E649" s="114" t="s">
        <v>162</v>
      </c>
      <c r="H649" s="36"/>
      <c r="I649" s="36"/>
      <c r="J649" s="36"/>
      <c r="K649" s="36"/>
      <c r="L649" s="36"/>
      <c r="M649" s="36"/>
      <c r="N649" s="36"/>
      <c r="O649" s="36"/>
      <c r="P649" s="36"/>
      <c r="Q649" s="36"/>
      <c r="R649" s="102" t="str">
        <f>"バックアップ_"&amp;SUBSTITUTE(C649,"_結合","")</f>
        <v>バックアップ_MML_診断履歴情報モジュール_病名</v>
      </c>
      <c r="S649" s="103"/>
      <c r="T649" s="106" t="str">
        <f>エンティティ一覧!$O$2</f>
        <v>milscm_2023_009</v>
      </c>
    </row>
    <row r="650" spans="2:23" ht="18.75" customHeight="1">
      <c r="C650" s="104"/>
      <c r="D650" s="105"/>
      <c r="E650" s="115"/>
      <c r="F650" s="37"/>
      <c r="G650" s="38"/>
      <c r="H650" s="37"/>
      <c r="I650" s="37"/>
      <c r="J650" s="37"/>
      <c r="K650" s="37"/>
      <c r="L650" s="37"/>
      <c r="M650" s="37"/>
      <c r="N650" s="37"/>
      <c r="O650" s="37"/>
      <c r="P650" s="37"/>
      <c r="Q650" s="37"/>
      <c r="R650" s="104"/>
      <c r="S650" s="105"/>
      <c r="T650" s="107"/>
    </row>
    <row r="651" spans="2:23" ht="18.75" customHeight="1">
      <c r="F651" s="39"/>
      <c r="G651" s="40"/>
    </row>
    <row r="652" spans="2:23" ht="18.75" customHeight="1">
      <c r="C652" s="102" t="s">
        <v>3201</v>
      </c>
      <c r="D652" s="103"/>
      <c r="E652" s="106" t="str">
        <f>エンティティ一覧!$O$2</f>
        <v>milscm_2023_009</v>
      </c>
      <c r="G652" s="41"/>
    </row>
    <row r="653" spans="2:23" ht="18.75" customHeight="1">
      <c r="C653" s="104"/>
      <c r="D653" s="105"/>
      <c r="E653" s="107"/>
      <c r="F653" s="37"/>
    </row>
    <row r="655" spans="2:23" ht="18.75" customHeight="1" thickBot="1">
      <c r="B655" s="42"/>
      <c r="C655" s="42"/>
      <c r="D655" s="42"/>
      <c r="E655" s="42"/>
      <c r="F655" s="42"/>
      <c r="G655" s="42"/>
      <c r="H655" s="42"/>
      <c r="I655" s="42"/>
      <c r="J655" s="42"/>
      <c r="K655" s="42"/>
      <c r="L655" s="42"/>
      <c r="M655" s="42"/>
      <c r="N655" s="42"/>
      <c r="O655" s="42"/>
      <c r="P655" s="42"/>
      <c r="Q655" s="42"/>
      <c r="R655" s="42"/>
      <c r="S655" s="42"/>
      <c r="T655" s="42"/>
      <c r="U655" s="42"/>
    </row>
    <row r="657" spans="2:23" ht="18.75" customHeight="1">
      <c r="B657" s="43" t="s">
        <v>163</v>
      </c>
      <c r="C657" s="51" t="s">
        <v>3627</v>
      </c>
      <c r="D657" s="90"/>
      <c r="W657" s="35" t="str">
        <f>"-- "&amp;B657&amp;" : "&amp;C657</f>
        <v>-- SQL_ID : 01_A6-05</v>
      </c>
    </row>
    <row r="658" spans="2:23" ht="18.75" customHeight="1">
      <c r="B658" s="43" t="s">
        <v>158</v>
      </c>
      <c r="C658" s="108" t="str">
        <f>R661&amp;"登録"</f>
        <v>バックアップ_MML_診断履歴情報モジュール_カテゴリ名登録</v>
      </c>
      <c r="D658" s="109"/>
      <c r="E658" s="109"/>
      <c r="F658" s="109"/>
      <c r="G658" s="109"/>
      <c r="H658" s="109"/>
      <c r="I658" s="109"/>
      <c r="J658" s="109"/>
      <c r="K658" s="109"/>
      <c r="L658" s="109"/>
      <c r="M658" s="109"/>
      <c r="N658" s="109"/>
      <c r="O658" s="109"/>
      <c r="P658" s="109"/>
      <c r="Q658" s="109"/>
      <c r="R658" s="109"/>
      <c r="S658" s="109"/>
      <c r="T658" s="109"/>
      <c r="U658" s="110"/>
      <c r="W658" s="35" t="str">
        <f>"-- "&amp;C658</f>
        <v>-- バックアップ_MML_診断履歴情報モジュール_カテゴリ名登録</v>
      </c>
    </row>
    <row r="659" spans="2:23" ht="18.75" customHeight="1">
      <c r="B659" s="43" t="s">
        <v>159</v>
      </c>
      <c r="C659" s="111" t="str">
        <f>C661&amp;"テーブルから組入れ条件の第一条件で絞り込んだ結果を"&amp;R661&amp;"テーブルに格納する。"</f>
        <v>MML_診断履歴情報モジュール_カテゴリ名テーブルから組入れ条件の第一条件で絞り込んだ結果をバックアップ_MML_診断履歴情報モジュール_カテゴリ名テーブルに格納する。</v>
      </c>
      <c r="D659" s="112"/>
      <c r="E659" s="112"/>
      <c r="F659" s="112"/>
      <c r="G659" s="112"/>
      <c r="H659" s="112"/>
      <c r="I659" s="112"/>
      <c r="J659" s="112"/>
      <c r="K659" s="112"/>
      <c r="L659" s="112"/>
      <c r="M659" s="112"/>
      <c r="N659" s="112"/>
      <c r="O659" s="112"/>
      <c r="P659" s="112"/>
      <c r="Q659" s="112"/>
      <c r="R659" s="112"/>
      <c r="S659" s="112"/>
      <c r="T659" s="112"/>
      <c r="U659" s="113"/>
      <c r="W659" s="35" t="str">
        <f>"-- "&amp;C659</f>
        <v>-- MML_診断履歴情報モジュール_カテゴリ名テーブルから組入れ条件の第一条件で絞り込んだ結果をバックアップ_MML_診断履歴情報モジュール_カテゴリ名テーブルに格納する。</v>
      </c>
    </row>
    <row r="661" spans="2:23" ht="18.75" customHeight="1">
      <c r="C661" s="102" t="s">
        <v>3628</v>
      </c>
      <c r="D661" s="103"/>
      <c r="E661" s="114" t="s">
        <v>162</v>
      </c>
      <c r="H661" s="36"/>
      <c r="I661" s="36"/>
      <c r="J661" s="36"/>
      <c r="K661" s="36"/>
      <c r="L661" s="36"/>
      <c r="M661" s="36"/>
      <c r="N661" s="36"/>
      <c r="O661" s="36"/>
      <c r="P661" s="36"/>
      <c r="Q661" s="36"/>
      <c r="R661" s="120" t="str">
        <f>"バックアップ_"&amp;SUBSTITUTE(C661,"_結合","")</f>
        <v>バックアップ_MML_診断履歴情報モジュール_カテゴリ名</v>
      </c>
      <c r="S661" s="121"/>
      <c r="T661" s="106" t="str">
        <f>エンティティ一覧!$O$2</f>
        <v>milscm_2023_009</v>
      </c>
    </row>
    <row r="662" spans="2:23" ht="18.75" customHeight="1">
      <c r="C662" s="104"/>
      <c r="D662" s="105"/>
      <c r="E662" s="115"/>
      <c r="F662" s="37"/>
      <c r="G662" s="38"/>
      <c r="H662" s="37"/>
      <c r="I662" s="37"/>
      <c r="J662" s="37"/>
      <c r="K662" s="37"/>
      <c r="L662" s="37"/>
      <c r="M662" s="37"/>
      <c r="N662" s="37"/>
      <c r="O662" s="37"/>
      <c r="P662" s="37"/>
      <c r="Q662" s="37"/>
      <c r="R662" s="122"/>
      <c r="S662" s="123"/>
      <c r="T662" s="107"/>
    </row>
    <row r="663" spans="2:23" ht="18.75" customHeight="1">
      <c r="F663" s="39"/>
      <c r="G663" s="40"/>
    </row>
    <row r="664" spans="2:23" ht="18.75" customHeight="1">
      <c r="C664" s="102" t="s">
        <v>3201</v>
      </c>
      <c r="D664" s="103"/>
      <c r="E664" s="106" t="str">
        <f>エンティティ一覧!$O$2</f>
        <v>milscm_2023_009</v>
      </c>
      <c r="G664" s="41"/>
    </row>
    <row r="665" spans="2:23" ht="18.75" customHeight="1">
      <c r="C665" s="104"/>
      <c r="D665" s="105"/>
      <c r="E665" s="107"/>
      <c r="F665" s="37"/>
    </row>
    <row r="667" spans="2:23" ht="18.75" customHeight="1" thickBot="1">
      <c r="B667" s="42"/>
      <c r="C667" s="42"/>
      <c r="D667" s="42"/>
      <c r="E667" s="42"/>
      <c r="F667" s="42"/>
      <c r="G667" s="42"/>
      <c r="H667" s="42"/>
      <c r="I667" s="42"/>
      <c r="J667" s="42"/>
      <c r="K667" s="42"/>
      <c r="L667" s="42"/>
      <c r="M667" s="42"/>
      <c r="N667" s="42"/>
      <c r="O667" s="42"/>
      <c r="P667" s="42"/>
      <c r="Q667" s="42"/>
      <c r="R667" s="42"/>
      <c r="S667" s="42"/>
      <c r="T667" s="42"/>
      <c r="U667" s="42"/>
    </row>
    <row r="669" spans="2:23" ht="18.75" customHeight="1">
      <c r="B669" s="43" t="s">
        <v>163</v>
      </c>
      <c r="C669" s="51" t="s">
        <v>3629</v>
      </c>
      <c r="D669" s="90"/>
      <c r="W669" s="35" t="str">
        <f>"-- "&amp;B669&amp;" : "&amp;C669</f>
        <v>-- SQL_ID : 01_A6-24</v>
      </c>
    </row>
    <row r="670" spans="2:23" ht="18.75" customHeight="1">
      <c r="B670" s="43" t="s">
        <v>158</v>
      </c>
      <c r="C670" s="108" t="str">
        <f>R673&amp;"登録"</f>
        <v>バックアップ_MML_処方箋モジュール_本文登録</v>
      </c>
      <c r="D670" s="109"/>
      <c r="E670" s="109"/>
      <c r="F670" s="109"/>
      <c r="G670" s="109"/>
      <c r="H670" s="109"/>
      <c r="I670" s="109"/>
      <c r="J670" s="109"/>
      <c r="K670" s="109"/>
      <c r="L670" s="109"/>
      <c r="M670" s="109"/>
      <c r="N670" s="109"/>
      <c r="O670" s="109"/>
      <c r="P670" s="109"/>
      <c r="Q670" s="109"/>
      <c r="R670" s="109"/>
      <c r="S670" s="109"/>
      <c r="T670" s="109"/>
      <c r="U670" s="110"/>
      <c r="W670" s="35" t="str">
        <f>"-- "&amp;C670</f>
        <v>-- バックアップ_MML_処方箋モジュール_本文登録</v>
      </c>
    </row>
    <row r="671" spans="2:23" ht="18.75" customHeight="1">
      <c r="B671" s="43" t="s">
        <v>159</v>
      </c>
      <c r="C671" s="111" t="str">
        <f>C673&amp;"テーブルから組入れ条件の第一条件で絞り込んだ結果を"&amp;R673&amp;"テーブルに格納する。"</f>
        <v>MML_処方箋モジュール_本文テーブルから組入れ条件の第一条件で絞り込んだ結果をバックアップ_MML_処方箋モジュール_本文テーブルに格納する。</v>
      </c>
      <c r="D671" s="112"/>
      <c r="E671" s="112"/>
      <c r="F671" s="112"/>
      <c r="G671" s="112"/>
      <c r="H671" s="112"/>
      <c r="I671" s="112"/>
      <c r="J671" s="112"/>
      <c r="K671" s="112"/>
      <c r="L671" s="112"/>
      <c r="M671" s="112"/>
      <c r="N671" s="112"/>
      <c r="O671" s="112"/>
      <c r="P671" s="112"/>
      <c r="Q671" s="112"/>
      <c r="R671" s="112"/>
      <c r="S671" s="112"/>
      <c r="T671" s="112"/>
      <c r="U671" s="113"/>
      <c r="W671" s="35" t="str">
        <f>"-- "&amp;C671</f>
        <v>-- MML_処方箋モジュール_本文テーブルから組入れ条件の第一条件で絞り込んだ結果をバックアップ_MML_処方箋モジュール_本文テーブルに格納する。</v>
      </c>
    </row>
    <row r="673" spans="2:23" ht="18.75" customHeight="1">
      <c r="C673" s="102" t="s">
        <v>3630</v>
      </c>
      <c r="D673" s="103"/>
      <c r="E673" s="114" t="s">
        <v>162</v>
      </c>
      <c r="H673" s="36"/>
      <c r="I673" s="36"/>
      <c r="J673" s="36"/>
      <c r="K673" s="36"/>
      <c r="L673" s="36"/>
      <c r="M673" s="36"/>
      <c r="N673" s="36"/>
      <c r="O673" s="36"/>
      <c r="P673" s="36"/>
      <c r="Q673" s="36"/>
      <c r="R673" s="102" t="str">
        <f>"バックアップ_"&amp;SUBSTITUTE(C673,"_結合","")</f>
        <v>バックアップ_MML_処方箋モジュール_本文</v>
      </c>
      <c r="S673" s="103"/>
      <c r="T673" s="106" t="str">
        <f>エンティティ一覧!$O$2</f>
        <v>milscm_2023_009</v>
      </c>
    </row>
    <row r="674" spans="2:23" ht="18.75" customHeight="1">
      <c r="C674" s="104"/>
      <c r="D674" s="105"/>
      <c r="E674" s="115"/>
      <c r="F674" s="37"/>
      <c r="G674" s="38"/>
      <c r="H674" s="37"/>
      <c r="I674" s="37"/>
      <c r="J674" s="37"/>
      <c r="K674" s="37"/>
      <c r="L674" s="37"/>
      <c r="M674" s="37"/>
      <c r="N674" s="37"/>
      <c r="O674" s="37"/>
      <c r="P674" s="37"/>
      <c r="Q674" s="37"/>
      <c r="R674" s="104"/>
      <c r="S674" s="105"/>
      <c r="T674" s="107"/>
    </row>
    <row r="675" spans="2:23" ht="18.75" customHeight="1">
      <c r="F675" s="39"/>
      <c r="G675" s="40"/>
    </row>
    <row r="676" spans="2:23" ht="18.75" customHeight="1">
      <c r="C676" s="102" t="s">
        <v>3201</v>
      </c>
      <c r="D676" s="103"/>
      <c r="E676" s="106" t="str">
        <f>エンティティ一覧!$O$2</f>
        <v>milscm_2023_009</v>
      </c>
      <c r="G676" s="41"/>
    </row>
    <row r="677" spans="2:23" ht="18.75" customHeight="1">
      <c r="C677" s="104"/>
      <c r="D677" s="105"/>
      <c r="E677" s="107"/>
      <c r="F677" s="37"/>
    </row>
    <row r="679" spans="2:23" ht="18.75" customHeight="1" thickBot="1">
      <c r="B679" s="42"/>
      <c r="C679" s="42"/>
      <c r="D679" s="42"/>
      <c r="E679" s="42"/>
      <c r="F679" s="42"/>
      <c r="G679" s="42"/>
      <c r="H679" s="42"/>
      <c r="I679" s="42"/>
      <c r="J679" s="42"/>
      <c r="K679" s="42"/>
      <c r="L679" s="42"/>
      <c r="M679" s="42"/>
      <c r="N679" s="42"/>
      <c r="O679" s="42"/>
      <c r="P679" s="42"/>
      <c r="Q679" s="42"/>
      <c r="R679" s="42"/>
      <c r="S679" s="42"/>
      <c r="T679" s="42"/>
      <c r="U679" s="42"/>
    </row>
    <row r="681" spans="2:23" ht="18.75" customHeight="1">
      <c r="B681" s="43" t="s">
        <v>163</v>
      </c>
      <c r="C681" s="51" t="s">
        <v>3631</v>
      </c>
      <c r="D681" s="90"/>
      <c r="W681" s="35" t="str">
        <f>"-- "&amp;B681&amp;" : "&amp;C681</f>
        <v>-- SQL_ID : 01_A6-25</v>
      </c>
    </row>
    <row r="682" spans="2:23" ht="18.75" customHeight="1">
      <c r="B682" s="43" t="s">
        <v>158</v>
      </c>
      <c r="C682" s="108" t="str">
        <f>R685&amp;"登録"</f>
        <v>バックアップ_MML_処方箋モジュール_投薬登録</v>
      </c>
      <c r="D682" s="109"/>
      <c r="E682" s="109"/>
      <c r="F682" s="109"/>
      <c r="G682" s="109"/>
      <c r="H682" s="109"/>
      <c r="I682" s="109"/>
      <c r="J682" s="109"/>
      <c r="K682" s="109"/>
      <c r="L682" s="109"/>
      <c r="M682" s="109"/>
      <c r="N682" s="109"/>
      <c r="O682" s="109"/>
      <c r="P682" s="109"/>
      <c r="Q682" s="109"/>
      <c r="R682" s="109"/>
      <c r="S682" s="109"/>
      <c r="T682" s="109"/>
      <c r="U682" s="110"/>
      <c r="W682" s="35" t="str">
        <f>"-- "&amp;C682</f>
        <v>-- バックアップ_MML_処方箋モジュール_投薬登録</v>
      </c>
    </row>
    <row r="683" spans="2:23" ht="18.75" customHeight="1">
      <c r="B683" s="43" t="s">
        <v>159</v>
      </c>
      <c r="C683" s="111" t="str">
        <f>C685&amp;"テーブルから組入れ条件の第一条件で絞り込んだ結果を"&amp;R685&amp;"テーブルに格納する。"</f>
        <v>MML_処方箋モジュール_投薬テーブルから組入れ条件の第一条件で絞り込んだ結果をバックアップ_MML_処方箋モジュール_投薬テーブルに格納する。</v>
      </c>
      <c r="D683" s="112"/>
      <c r="E683" s="112"/>
      <c r="F683" s="112"/>
      <c r="G683" s="112"/>
      <c r="H683" s="112"/>
      <c r="I683" s="112"/>
      <c r="J683" s="112"/>
      <c r="K683" s="112"/>
      <c r="L683" s="112"/>
      <c r="M683" s="112"/>
      <c r="N683" s="112"/>
      <c r="O683" s="112"/>
      <c r="P683" s="112"/>
      <c r="Q683" s="112"/>
      <c r="R683" s="112"/>
      <c r="S683" s="112"/>
      <c r="T683" s="112"/>
      <c r="U683" s="113"/>
      <c r="W683" s="35" t="str">
        <f>"-- "&amp;C683</f>
        <v>-- MML_処方箋モジュール_投薬テーブルから組入れ条件の第一条件で絞り込んだ結果をバックアップ_MML_処方箋モジュール_投薬テーブルに格納する。</v>
      </c>
    </row>
    <row r="685" spans="2:23" ht="18.75" customHeight="1">
      <c r="C685" s="102" t="s">
        <v>3632</v>
      </c>
      <c r="D685" s="103"/>
      <c r="E685" s="114" t="s">
        <v>162</v>
      </c>
      <c r="H685" s="36"/>
      <c r="I685" s="36"/>
      <c r="J685" s="36"/>
      <c r="K685" s="36"/>
      <c r="L685" s="36"/>
      <c r="M685" s="36"/>
      <c r="N685" s="36"/>
      <c r="O685" s="36"/>
      <c r="P685" s="36"/>
      <c r="Q685" s="36"/>
      <c r="R685" s="102" t="str">
        <f>"バックアップ_"&amp;SUBSTITUTE(C685,"_結合","")</f>
        <v>バックアップ_MML_処方箋モジュール_投薬</v>
      </c>
      <c r="S685" s="103"/>
      <c r="T685" s="106" t="str">
        <f>エンティティ一覧!$O$2</f>
        <v>milscm_2023_009</v>
      </c>
    </row>
    <row r="686" spans="2:23" ht="18.75" customHeight="1">
      <c r="C686" s="104"/>
      <c r="D686" s="105"/>
      <c r="E686" s="115"/>
      <c r="F686" s="37"/>
      <c r="G686" s="38"/>
      <c r="H686" s="37"/>
      <c r="I686" s="37"/>
      <c r="J686" s="37"/>
      <c r="K686" s="37"/>
      <c r="L686" s="37"/>
      <c r="M686" s="37"/>
      <c r="N686" s="37"/>
      <c r="O686" s="37"/>
      <c r="P686" s="37"/>
      <c r="Q686" s="37"/>
      <c r="R686" s="104"/>
      <c r="S686" s="105"/>
      <c r="T686" s="107"/>
    </row>
    <row r="687" spans="2:23" ht="18.75" customHeight="1">
      <c r="F687" s="39"/>
      <c r="G687" s="40"/>
    </row>
    <row r="688" spans="2:23" ht="18.75" customHeight="1">
      <c r="C688" s="102" t="s">
        <v>3201</v>
      </c>
      <c r="D688" s="103"/>
      <c r="E688" s="106" t="str">
        <f>エンティティ一覧!$O$2</f>
        <v>milscm_2023_009</v>
      </c>
      <c r="G688" s="41"/>
    </row>
    <row r="689" spans="2:23" ht="18.75" customHeight="1">
      <c r="C689" s="104"/>
      <c r="D689" s="105"/>
      <c r="E689" s="107"/>
      <c r="F689" s="37"/>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3633</v>
      </c>
      <c r="D693" s="90"/>
      <c r="W693" s="35" t="str">
        <f>"-- "&amp;B693&amp;" : "&amp;C693</f>
        <v>-- SQL_ID : 01_A6-26</v>
      </c>
    </row>
    <row r="694" spans="2:23" ht="18.75" customHeight="1">
      <c r="B694" s="43" t="s">
        <v>158</v>
      </c>
      <c r="C694" s="108" t="str">
        <f>R697&amp;"登録"</f>
        <v>バックアップ_MML_処方箋モジュール_薬剤登録</v>
      </c>
      <c r="D694" s="109"/>
      <c r="E694" s="109"/>
      <c r="F694" s="109"/>
      <c r="G694" s="109"/>
      <c r="H694" s="109"/>
      <c r="I694" s="109"/>
      <c r="J694" s="109"/>
      <c r="K694" s="109"/>
      <c r="L694" s="109"/>
      <c r="M694" s="109"/>
      <c r="N694" s="109"/>
      <c r="O694" s="109"/>
      <c r="P694" s="109"/>
      <c r="Q694" s="109"/>
      <c r="R694" s="109"/>
      <c r="S694" s="109"/>
      <c r="T694" s="109"/>
      <c r="U694" s="110"/>
      <c r="W694" s="35" t="str">
        <f>"-- "&amp;C694</f>
        <v>-- バックアップ_MML_処方箋モジュール_薬剤登録</v>
      </c>
    </row>
    <row r="695" spans="2:23" ht="18.75" customHeight="1">
      <c r="B695" s="43" t="s">
        <v>159</v>
      </c>
      <c r="C695" s="111" t="str">
        <f>C697&amp;"テーブルから組入れ条件の第一条件で絞り込んだ結果を"&amp;R697&amp;"テーブルに格納する。"</f>
        <v>MML_処方箋モジュール_薬剤テーブルから組入れ条件の第一条件で絞り込んだ結果をバックアップ_MML_処方箋モジュール_薬剤テーブルに格納する。</v>
      </c>
      <c r="D695" s="112"/>
      <c r="E695" s="112"/>
      <c r="F695" s="112"/>
      <c r="G695" s="112"/>
      <c r="H695" s="112"/>
      <c r="I695" s="112"/>
      <c r="J695" s="112"/>
      <c r="K695" s="112"/>
      <c r="L695" s="112"/>
      <c r="M695" s="112"/>
      <c r="N695" s="112"/>
      <c r="O695" s="112"/>
      <c r="P695" s="112"/>
      <c r="Q695" s="112"/>
      <c r="R695" s="112"/>
      <c r="S695" s="112"/>
      <c r="T695" s="112"/>
      <c r="U695" s="113"/>
      <c r="W695" s="35" t="str">
        <f>"-- "&amp;C695</f>
        <v>-- MML_処方箋モジュール_薬剤テーブルから組入れ条件の第一条件で絞り込んだ結果をバックアップ_MML_処方箋モジュール_薬剤テーブルに格納する。</v>
      </c>
    </row>
    <row r="697" spans="2:23" ht="18.75" customHeight="1">
      <c r="C697" s="102" t="s">
        <v>3634</v>
      </c>
      <c r="D697" s="103"/>
      <c r="E697" s="114" t="s">
        <v>162</v>
      </c>
      <c r="H697" s="36"/>
      <c r="I697" s="36"/>
      <c r="J697" s="36"/>
      <c r="K697" s="36"/>
      <c r="L697" s="36"/>
      <c r="M697" s="36"/>
      <c r="N697" s="36"/>
      <c r="O697" s="36"/>
      <c r="P697" s="36"/>
      <c r="Q697" s="36"/>
      <c r="R697" s="102" t="str">
        <f>"バックアップ_"&amp;SUBSTITUTE(C697,"_結合","")</f>
        <v>バックアップ_MML_処方箋モジュール_薬剤</v>
      </c>
      <c r="S697" s="103"/>
      <c r="T697" s="106" t="str">
        <f>エンティティ一覧!$O$2</f>
        <v>milscm_2023_009</v>
      </c>
    </row>
    <row r="698" spans="2:23" ht="18.75" customHeight="1">
      <c r="C698" s="104"/>
      <c r="D698" s="105"/>
      <c r="E698" s="115"/>
      <c r="F698" s="37"/>
      <c r="G698" s="38"/>
      <c r="H698" s="37"/>
      <c r="I698" s="37"/>
      <c r="J698" s="37"/>
      <c r="K698" s="37"/>
      <c r="L698" s="37"/>
      <c r="M698" s="37"/>
      <c r="N698" s="37"/>
      <c r="O698" s="37"/>
      <c r="P698" s="37"/>
      <c r="Q698" s="37"/>
      <c r="R698" s="104"/>
      <c r="S698" s="105"/>
      <c r="T698" s="107"/>
    </row>
    <row r="699" spans="2:23" ht="18.75" customHeight="1">
      <c r="F699" s="39"/>
      <c r="G699" s="40"/>
    </row>
    <row r="700" spans="2:23" ht="18.75" customHeight="1">
      <c r="C700" s="102" t="s">
        <v>3201</v>
      </c>
      <c r="D700" s="103"/>
      <c r="E700" s="106" t="str">
        <f>エンティティ一覧!$O$2</f>
        <v>milscm_2023_009</v>
      </c>
      <c r="G700" s="41"/>
    </row>
    <row r="701" spans="2:23" ht="18.75" customHeight="1">
      <c r="C701" s="104"/>
      <c r="D701" s="105"/>
      <c r="E701" s="107"/>
      <c r="F701" s="37"/>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3635</v>
      </c>
      <c r="D705" s="90"/>
      <c r="W705" s="35" t="str">
        <f>"-- "&amp;B705&amp;" : "&amp;C705</f>
        <v>-- SQL_ID : 01_A6-27</v>
      </c>
    </row>
    <row r="706" spans="2:23" ht="18.75" customHeight="1">
      <c r="B706" s="43" t="s">
        <v>158</v>
      </c>
      <c r="C706" s="108" t="str">
        <f>R709&amp;"登録"</f>
        <v>バックアップ_MML_注射記録モジュール_本文登録</v>
      </c>
      <c r="D706" s="109"/>
      <c r="E706" s="109"/>
      <c r="F706" s="109"/>
      <c r="G706" s="109"/>
      <c r="H706" s="109"/>
      <c r="I706" s="109"/>
      <c r="J706" s="109"/>
      <c r="K706" s="109"/>
      <c r="L706" s="109"/>
      <c r="M706" s="109"/>
      <c r="N706" s="109"/>
      <c r="O706" s="109"/>
      <c r="P706" s="109"/>
      <c r="Q706" s="109"/>
      <c r="R706" s="109"/>
      <c r="S706" s="109"/>
      <c r="T706" s="109"/>
      <c r="U706" s="110"/>
      <c r="W706" s="35" t="str">
        <f>"-- "&amp;C706</f>
        <v>-- バックアップ_MML_注射記録モジュール_本文登録</v>
      </c>
    </row>
    <row r="707" spans="2:23" ht="18.75" customHeight="1">
      <c r="B707" s="43" t="s">
        <v>159</v>
      </c>
      <c r="C707" s="111" t="str">
        <f>C709&amp;"テーブルから組入れ条件の第一条件で絞り込んだ結果を"&amp;R709&amp;"テーブルに格納する。"</f>
        <v>MML_注射記録モジュール_本文テーブルから組入れ条件の第一条件で絞り込んだ結果をバックアップ_MML_注射記録モジュール_本文テーブルに格納する。</v>
      </c>
      <c r="D707" s="112"/>
      <c r="E707" s="112"/>
      <c r="F707" s="112"/>
      <c r="G707" s="112"/>
      <c r="H707" s="112"/>
      <c r="I707" s="112"/>
      <c r="J707" s="112"/>
      <c r="K707" s="112"/>
      <c r="L707" s="112"/>
      <c r="M707" s="112"/>
      <c r="N707" s="112"/>
      <c r="O707" s="112"/>
      <c r="P707" s="112"/>
      <c r="Q707" s="112"/>
      <c r="R707" s="112"/>
      <c r="S707" s="112"/>
      <c r="T707" s="112"/>
      <c r="U707" s="113"/>
      <c r="W707" s="35" t="str">
        <f>"-- "&amp;C707</f>
        <v>-- MML_注射記録モジュール_本文テーブルから組入れ条件の第一条件で絞り込んだ結果をバックアップ_MML_注射記録モジュール_本文テーブルに格納する。</v>
      </c>
    </row>
    <row r="709" spans="2:23" ht="18.75" customHeight="1">
      <c r="C709" s="102" t="s">
        <v>3636</v>
      </c>
      <c r="D709" s="103"/>
      <c r="E709" s="114" t="s">
        <v>162</v>
      </c>
      <c r="H709" s="36"/>
      <c r="I709" s="36"/>
      <c r="J709" s="36"/>
      <c r="K709" s="36"/>
      <c r="L709" s="36"/>
      <c r="M709" s="36"/>
      <c r="N709" s="36"/>
      <c r="O709" s="36"/>
      <c r="P709" s="36"/>
      <c r="Q709" s="36"/>
      <c r="R709" s="102" t="str">
        <f>"バックアップ_"&amp;SUBSTITUTE(C709,"_結合","")</f>
        <v>バックアップ_MML_注射記録モジュール_本文</v>
      </c>
      <c r="S709" s="103"/>
      <c r="T709" s="106" t="str">
        <f>エンティティ一覧!$O$2</f>
        <v>milscm_2023_009</v>
      </c>
    </row>
    <row r="710" spans="2:23" ht="18.75" customHeight="1">
      <c r="C710" s="104"/>
      <c r="D710" s="105"/>
      <c r="E710" s="115"/>
      <c r="F710" s="37"/>
      <c r="G710" s="38"/>
      <c r="H710" s="37"/>
      <c r="I710" s="37"/>
      <c r="J710" s="37"/>
      <c r="K710" s="37"/>
      <c r="L710" s="37"/>
      <c r="M710" s="37"/>
      <c r="N710" s="37"/>
      <c r="O710" s="37"/>
      <c r="P710" s="37"/>
      <c r="Q710" s="37"/>
      <c r="R710" s="104"/>
      <c r="S710" s="105"/>
      <c r="T710" s="107"/>
    </row>
    <row r="711" spans="2:23" ht="18.75" customHeight="1">
      <c r="F711" s="39"/>
      <c r="G711" s="40"/>
    </row>
    <row r="712" spans="2:23" ht="18.75" customHeight="1">
      <c r="C712" s="102" t="s">
        <v>3201</v>
      </c>
      <c r="D712" s="103"/>
      <c r="E712" s="106" t="str">
        <f>エンティティ一覧!$O$2</f>
        <v>milscm_2023_009</v>
      </c>
      <c r="G712" s="41"/>
    </row>
    <row r="713" spans="2:23" ht="18.75" customHeight="1">
      <c r="C713" s="104"/>
      <c r="D713" s="105"/>
      <c r="E713" s="107"/>
      <c r="F713" s="37"/>
    </row>
    <row r="715" spans="2:23" ht="18.75" customHeight="1" thickBot="1">
      <c r="B715" s="42"/>
      <c r="C715" s="42"/>
      <c r="D715" s="42"/>
      <c r="E715" s="42"/>
      <c r="F715" s="42"/>
      <c r="G715" s="42"/>
      <c r="H715" s="42"/>
      <c r="I715" s="42"/>
      <c r="J715" s="42"/>
      <c r="K715" s="42"/>
      <c r="L715" s="42"/>
      <c r="M715" s="42"/>
      <c r="N715" s="42"/>
      <c r="O715" s="42"/>
      <c r="P715" s="42"/>
      <c r="Q715" s="42"/>
      <c r="R715" s="42"/>
      <c r="S715" s="42"/>
      <c r="T715" s="42"/>
      <c r="U715" s="42"/>
    </row>
    <row r="717" spans="2:23" ht="18.75" customHeight="1">
      <c r="B717" s="43" t="s">
        <v>163</v>
      </c>
      <c r="C717" s="51" t="s">
        <v>3637</v>
      </c>
      <c r="D717" s="90"/>
      <c r="W717" s="35" t="str">
        <f>"-- "&amp;B717&amp;" : "&amp;C717</f>
        <v>-- SQL_ID : 01_A6-28</v>
      </c>
    </row>
    <row r="718" spans="2:23" ht="18.75" customHeight="1">
      <c r="B718" s="43" t="s">
        <v>158</v>
      </c>
      <c r="C718" s="108" t="str">
        <f>R721&amp;"登録"</f>
        <v>バックアップ_MML_注射記録モジュール_投薬登録</v>
      </c>
      <c r="D718" s="109"/>
      <c r="E718" s="109"/>
      <c r="F718" s="109"/>
      <c r="G718" s="109"/>
      <c r="H718" s="109"/>
      <c r="I718" s="109"/>
      <c r="J718" s="109"/>
      <c r="K718" s="109"/>
      <c r="L718" s="109"/>
      <c r="M718" s="109"/>
      <c r="N718" s="109"/>
      <c r="O718" s="109"/>
      <c r="P718" s="109"/>
      <c r="Q718" s="109"/>
      <c r="R718" s="109"/>
      <c r="S718" s="109"/>
      <c r="T718" s="109"/>
      <c r="U718" s="110"/>
      <c r="W718" s="35" t="str">
        <f>"-- "&amp;C718</f>
        <v>-- バックアップ_MML_注射記録モジュール_投薬登録</v>
      </c>
    </row>
    <row r="719" spans="2:23" ht="18.75" customHeight="1">
      <c r="B719" s="43" t="s">
        <v>159</v>
      </c>
      <c r="C719" s="111" t="str">
        <f>C721&amp;"テーブルから組入れ条件の第一条件で絞り込んだ結果を"&amp;R721&amp;"テーブルに格納する。"</f>
        <v>MML_注射記録モジュール_投薬テーブルから組入れ条件の第一条件で絞り込んだ結果をバックアップ_MML_注射記録モジュール_投薬テーブルに格納する。</v>
      </c>
      <c r="D719" s="112"/>
      <c r="E719" s="112"/>
      <c r="F719" s="112"/>
      <c r="G719" s="112"/>
      <c r="H719" s="112"/>
      <c r="I719" s="112"/>
      <c r="J719" s="112"/>
      <c r="K719" s="112"/>
      <c r="L719" s="112"/>
      <c r="M719" s="112"/>
      <c r="N719" s="112"/>
      <c r="O719" s="112"/>
      <c r="P719" s="112"/>
      <c r="Q719" s="112"/>
      <c r="R719" s="112"/>
      <c r="S719" s="112"/>
      <c r="T719" s="112"/>
      <c r="U719" s="113"/>
      <c r="W719" s="35" t="str">
        <f>"-- "&amp;C719</f>
        <v>-- MML_注射記録モジュール_投薬テーブルから組入れ条件の第一条件で絞り込んだ結果をバックアップ_MML_注射記録モジュール_投薬テーブルに格納する。</v>
      </c>
    </row>
    <row r="721" spans="2:23" ht="18.75" customHeight="1">
      <c r="C721" s="102" t="s">
        <v>3638</v>
      </c>
      <c r="D721" s="103"/>
      <c r="E721" s="114" t="s">
        <v>162</v>
      </c>
      <c r="H721" s="36"/>
      <c r="I721" s="36"/>
      <c r="J721" s="36"/>
      <c r="K721" s="36"/>
      <c r="L721" s="36"/>
      <c r="M721" s="36"/>
      <c r="N721" s="36"/>
      <c r="O721" s="36"/>
      <c r="P721" s="36"/>
      <c r="Q721" s="36"/>
      <c r="R721" s="102" t="str">
        <f>"バックアップ_"&amp;SUBSTITUTE(C721,"_結合","")</f>
        <v>バックアップ_MML_注射記録モジュール_投薬</v>
      </c>
      <c r="S721" s="103"/>
      <c r="T721" s="106" t="str">
        <f>エンティティ一覧!$O$2</f>
        <v>milscm_2023_009</v>
      </c>
    </row>
    <row r="722" spans="2:23" ht="18.75" customHeight="1">
      <c r="C722" s="104"/>
      <c r="D722" s="105"/>
      <c r="E722" s="115"/>
      <c r="F722" s="37"/>
      <c r="G722" s="38"/>
      <c r="H722" s="37"/>
      <c r="I722" s="37"/>
      <c r="J722" s="37"/>
      <c r="K722" s="37"/>
      <c r="L722" s="37"/>
      <c r="M722" s="37"/>
      <c r="N722" s="37"/>
      <c r="O722" s="37"/>
      <c r="P722" s="37"/>
      <c r="Q722" s="37"/>
      <c r="R722" s="104"/>
      <c r="S722" s="105"/>
      <c r="T722" s="107"/>
    </row>
    <row r="723" spans="2:23" ht="18.75" customHeight="1">
      <c r="F723" s="39"/>
      <c r="G723" s="40"/>
    </row>
    <row r="724" spans="2:23" ht="18.75" customHeight="1">
      <c r="C724" s="102" t="s">
        <v>3201</v>
      </c>
      <c r="D724" s="103"/>
      <c r="E724" s="106" t="str">
        <f>エンティティ一覧!$O$2</f>
        <v>milscm_2023_009</v>
      </c>
      <c r="G724" s="41"/>
    </row>
    <row r="725" spans="2:23" ht="18.75" customHeight="1">
      <c r="C725" s="104"/>
      <c r="D725" s="105"/>
      <c r="E725" s="107"/>
      <c r="F725" s="37"/>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3639</v>
      </c>
      <c r="D729" s="90"/>
      <c r="W729" s="35" t="str">
        <f>"-- "&amp;B729&amp;" : "&amp;C729</f>
        <v>-- SQL_ID : 01_A6-29</v>
      </c>
    </row>
    <row r="730" spans="2:23" ht="18.75" customHeight="1">
      <c r="B730" s="43" t="s">
        <v>158</v>
      </c>
      <c r="C730" s="108" t="str">
        <f>R733&amp;"登録"</f>
        <v>バックアップ_MML_注射記録モジュール_薬剤登録</v>
      </c>
      <c r="D730" s="109"/>
      <c r="E730" s="109"/>
      <c r="F730" s="109"/>
      <c r="G730" s="109"/>
      <c r="H730" s="109"/>
      <c r="I730" s="109"/>
      <c r="J730" s="109"/>
      <c r="K730" s="109"/>
      <c r="L730" s="109"/>
      <c r="M730" s="109"/>
      <c r="N730" s="109"/>
      <c r="O730" s="109"/>
      <c r="P730" s="109"/>
      <c r="Q730" s="109"/>
      <c r="R730" s="109"/>
      <c r="S730" s="109"/>
      <c r="T730" s="109"/>
      <c r="U730" s="110"/>
      <c r="W730" s="35" t="str">
        <f>"-- "&amp;C730</f>
        <v>-- バックアップ_MML_注射記録モジュール_薬剤登録</v>
      </c>
    </row>
    <row r="731" spans="2:23" ht="18.75" customHeight="1">
      <c r="B731" s="43" t="s">
        <v>159</v>
      </c>
      <c r="C731" s="111" t="str">
        <f>C733&amp;"テーブルから組入れ条件の第一条件で絞り込んだ結果を"&amp;R733&amp;"テーブルに格納する。"</f>
        <v>MML_注射記録モジュール_薬剤テーブルから組入れ条件の第一条件で絞り込んだ結果をバックアップ_MML_注射記録モジュール_薬剤テーブルに格納する。</v>
      </c>
      <c r="D731" s="112"/>
      <c r="E731" s="112"/>
      <c r="F731" s="112"/>
      <c r="G731" s="112"/>
      <c r="H731" s="112"/>
      <c r="I731" s="112"/>
      <c r="J731" s="112"/>
      <c r="K731" s="112"/>
      <c r="L731" s="112"/>
      <c r="M731" s="112"/>
      <c r="N731" s="112"/>
      <c r="O731" s="112"/>
      <c r="P731" s="112"/>
      <c r="Q731" s="112"/>
      <c r="R731" s="112"/>
      <c r="S731" s="112"/>
      <c r="T731" s="112"/>
      <c r="U731" s="113"/>
      <c r="W731" s="35" t="str">
        <f>"-- "&amp;C731</f>
        <v>-- MML_注射記録モジュール_薬剤テーブルから組入れ条件の第一条件で絞り込んだ結果をバックアップ_MML_注射記録モジュール_薬剤テーブルに格納する。</v>
      </c>
    </row>
    <row r="733" spans="2:23" ht="18.75" customHeight="1">
      <c r="C733" s="102" t="s">
        <v>3640</v>
      </c>
      <c r="D733" s="103"/>
      <c r="E733" s="114" t="s">
        <v>162</v>
      </c>
      <c r="H733" s="36"/>
      <c r="I733" s="36"/>
      <c r="J733" s="36"/>
      <c r="K733" s="36"/>
      <c r="L733" s="36"/>
      <c r="M733" s="36"/>
      <c r="N733" s="36"/>
      <c r="O733" s="36"/>
      <c r="P733" s="36"/>
      <c r="Q733" s="36"/>
      <c r="R733" s="102" t="str">
        <f>"バックアップ_"&amp;SUBSTITUTE(C733,"_結合","")</f>
        <v>バックアップ_MML_注射記録モジュール_薬剤</v>
      </c>
      <c r="S733" s="103"/>
      <c r="T733" s="106" t="str">
        <f>エンティティ一覧!$O$2</f>
        <v>milscm_2023_009</v>
      </c>
    </row>
    <row r="734" spans="2:23" ht="18.75" customHeight="1">
      <c r="C734" s="104"/>
      <c r="D734" s="105"/>
      <c r="E734" s="115"/>
      <c r="F734" s="37"/>
      <c r="G734" s="38"/>
      <c r="H734" s="37"/>
      <c r="I734" s="37"/>
      <c r="J734" s="37"/>
      <c r="K734" s="37"/>
      <c r="L734" s="37"/>
      <c r="M734" s="37"/>
      <c r="N734" s="37"/>
      <c r="O734" s="37"/>
      <c r="P734" s="37"/>
      <c r="Q734" s="37"/>
      <c r="R734" s="104"/>
      <c r="S734" s="105"/>
      <c r="T734" s="107"/>
    </row>
    <row r="735" spans="2:23" ht="18.75" customHeight="1">
      <c r="F735" s="39"/>
      <c r="G735" s="40"/>
    </row>
    <row r="736" spans="2:23" ht="18.75" customHeight="1">
      <c r="C736" s="102" t="s">
        <v>3201</v>
      </c>
      <c r="D736" s="103"/>
      <c r="E736" s="106" t="str">
        <f>エンティティ一覧!$O$2</f>
        <v>milscm_2023_009</v>
      </c>
      <c r="G736" s="41"/>
    </row>
    <row r="737" spans="2:23" ht="18.75" customHeight="1">
      <c r="C737" s="104"/>
      <c r="D737" s="105"/>
      <c r="E737" s="107"/>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3641</v>
      </c>
      <c r="D741" s="90"/>
      <c r="W741" s="35" t="str">
        <f>"-- "&amp;B741&amp;" : "&amp;C741</f>
        <v>-- SQL_ID : 01_A6-42</v>
      </c>
    </row>
    <row r="742" spans="2:23" ht="18.75" customHeight="1">
      <c r="B742" s="43" t="s">
        <v>158</v>
      </c>
      <c r="C742" s="108" t="str">
        <f>R745&amp;"登録"</f>
        <v>バックアップ_MML_手術モジュール_手術項目登録</v>
      </c>
      <c r="D742" s="109"/>
      <c r="E742" s="109"/>
      <c r="F742" s="109"/>
      <c r="G742" s="109"/>
      <c r="H742" s="109"/>
      <c r="I742" s="109"/>
      <c r="J742" s="109"/>
      <c r="K742" s="109"/>
      <c r="L742" s="109"/>
      <c r="M742" s="109"/>
      <c r="N742" s="109"/>
      <c r="O742" s="109"/>
      <c r="P742" s="109"/>
      <c r="Q742" s="109"/>
      <c r="R742" s="109"/>
      <c r="S742" s="109"/>
      <c r="T742" s="109"/>
      <c r="U742" s="110"/>
      <c r="W742" s="35" t="str">
        <f>"-- "&amp;C742</f>
        <v>-- バックアップ_MML_手術モジュール_手術項目登録</v>
      </c>
    </row>
    <row r="743" spans="2:23" ht="18.75" customHeight="1">
      <c r="B743" s="43" t="s">
        <v>159</v>
      </c>
      <c r="C743" s="111" t="str">
        <f>C745&amp;"テーブルから組入れ条件の第一条件で絞り込んだ結果を"&amp;R745&amp;"テーブルに格納する。"</f>
        <v>MML_手術モジュール_手術項目テーブルから組入れ条件の第一条件で絞り込んだ結果をバックアップ_MML_手術モジュール_手術項目テーブルに格納する。</v>
      </c>
      <c r="D743" s="112"/>
      <c r="E743" s="112"/>
      <c r="F743" s="112"/>
      <c r="G743" s="112"/>
      <c r="H743" s="112"/>
      <c r="I743" s="112"/>
      <c r="J743" s="112"/>
      <c r="K743" s="112"/>
      <c r="L743" s="112"/>
      <c r="M743" s="112"/>
      <c r="N743" s="112"/>
      <c r="O743" s="112"/>
      <c r="P743" s="112"/>
      <c r="Q743" s="112"/>
      <c r="R743" s="112"/>
      <c r="S743" s="112"/>
      <c r="T743" s="112"/>
      <c r="U743" s="113"/>
      <c r="W743" s="35" t="str">
        <f>"-- "&amp;C743</f>
        <v>-- MML_手術モジュール_手術項目テーブルから組入れ条件の第一条件で絞り込んだ結果をバックアップ_MML_手術モジュール_手術項目テーブルに格納する。</v>
      </c>
    </row>
    <row r="745" spans="2:23" ht="18.75" customHeight="1">
      <c r="C745" s="102" t="s">
        <v>3642</v>
      </c>
      <c r="D745" s="103"/>
      <c r="E745" s="114" t="s">
        <v>162</v>
      </c>
      <c r="H745" s="36"/>
      <c r="I745" s="36"/>
      <c r="J745" s="36"/>
      <c r="K745" s="36"/>
      <c r="L745" s="36"/>
      <c r="M745" s="36"/>
      <c r="N745" s="36"/>
      <c r="O745" s="36"/>
      <c r="P745" s="36"/>
      <c r="Q745" s="36"/>
      <c r="R745" s="102" t="str">
        <f>"バックアップ_"&amp;SUBSTITUTE(C745,"_結合","")</f>
        <v>バックアップ_MML_手術モジュール_手術項目</v>
      </c>
      <c r="S745" s="103"/>
      <c r="T745" s="106" t="str">
        <f>エンティティ一覧!$O$2</f>
        <v>milscm_2023_009</v>
      </c>
    </row>
    <row r="746" spans="2:23" ht="18.75" customHeight="1">
      <c r="C746" s="104"/>
      <c r="D746" s="105"/>
      <c r="E746" s="115"/>
      <c r="F746" s="37"/>
      <c r="G746" s="38"/>
      <c r="H746" s="37"/>
      <c r="I746" s="37"/>
      <c r="J746" s="37"/>
      <c r="K746" s="37"/>
      <c r="L746" s="37"/>
      <c r="M746" s="37"/>
      <c r="N746" s="37"/>
      <c r="O746" s="37"/>
      <c r="P746" s="37"/>
      <c r="Q746" s="37"/>
      <c r="R746" s="104"/>
      <c r="S746" s="105"/>
      <c r="T746" s="107"/>
    </row>
    <row r="747" spans="2:23" ht="18.75" customHeight="1">
      <c r="F747" s="39"/>
      <c r="G747" s="40"/>
    </row>
    <row r="748" spans="2:23" ht="18.75" customHeight="1">
      <c r="C748" s="102" t="s">
        <v>3201</v>
      </c>
      <c r="D748" s="103"/>
      <c r="E748" s="106" t="str">
        <f>エンティティ一覧!$O$2</f>
        <v>milscm_2023_009</v>
      </c>
      <c r="G748" s="41"/>
    </row>
    <row r="749" spans="2:23" ht="18.75" customHeight="1">
      <c r="C749" s="104"/>
      <c r="D749" s="105"/>
      <c r="E749" s="107"/>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3643</v>
      </c>
      <c r="D753" s="90"/>
      <c r="W753" s="35" t="str">
        <f>"-- "&amp;B753&amp;" : "&amp;C753</f>
        <v>-- SQL_ID : 01_A6-43</v>
      </c>
    </row>
    <row r="754" spans="2:23" ht="18.75" customHeight="1">
      <c r="B754" s="43" t="s">
        <v>158</v>
      </c>
      <c r="C754" s="108" t="str">
        <f>R757&amp;"登録"</f>
        <v>バックアップ_MML_手術モジュール_診療科情報登録</v>
      </c>
      <c r="D754" s="109"/>
      <c r="E754" s="109"/>
      <c r="F754" s="109"/>
      <c r="G754" s="109"/>
      <c r="H754" s="109"/>
      <c r="I754" s="109"/>
      <c r="J754" s="109"/>
      <c r="K754" s="109"/>
      <c r="L754" s="109"/>
      <c r="M754" s="109"/>
      <c r="N754" s="109"/>
      <c r="O754" s="109"/>
      <c r="P754" s="109"/>
      <c r="Q754" s="109"/>
      <c r="R754" s="109"/>
      <c r="S754" s="109"/>
      <c r="T754" s="109"/>
      <c r="U754" s="110"/>
      <c r="W754" s="35" t="str">
        <f>"-- "&amp;C754</f>
        <v>-- バックアップ_MML_手術モジュール_診療科情報登録</v>
      </c>
    </row>
    <row r="755" spans="2:23" ht="18.75" customHeight="1">
      <c r="B755" s="43" t="s">
        <v>159</v>
      </c>
      <c r="C755" s="111" t="str">
        <f>C757&amp;"テーブルから組入れ条件の第一条件で絞り込んだ結果を"&amp;R757&amp;"テーブルに格納する。"</f>
        <v>MML_手術モジュール_診療科情報テーブルから組入れ条件の第一条件で絞り込んだ結果をバックアップ_MML_手術モジュール_診療科情報テーブルに格納する。</v>
      </c>
      <c r="D755" s="112"/>
      <c r="E755" s="112"/>
      <c r="F755" s="112"/>
      <c r="G755" s="112"/>
      <c r="H755" s="112"/>
      <c r="I755" s="112"/>
      <c r="J755" s="112"/>
      <c r="K755" s="112"/>
      <c r="L755" s="112"/>
      <c r="M755" s="112"/>
      <c r="N755" s="112"/>
      <c r="O755" s="112"/>
      <c r="P755" s="112"/>
      <c r="Q755" s="112"/>
      <c r="R755" s="112"/>
      <c r="S755" s="112"/>
      <c r="T755" s="112"/>
      <c r="U755" s="113"/>
      <c r="W755" s="35" t="str">
        <f>"-- "&amp;C755</f>
        <v>-- MML_手術モジュール_診療科情報テーブルから組入れ条件の第一条件で絞り込んだ結果をバックアップ_MML_手術モジュール_診療科情報テーブルに格納する。</v>
      </c>
    </row>
    <row r="757" spans="2:23" ht="18.75" customHeight="1">
      <c r="C757" s="102" t="s">
        <v>3644</v>
      </c>
      <c r="D757" s="103"/>
      <c r="E757" s="114" t="s">
        <v>162</v>
      </c>
      <c r="H757" s="36"/>
      <c r="I757" s="36"/>
      <c r="J757" s="36"/>
      <c r="K757" s="36"/>
      <c r="L757" s="36"/>
      <c r="M757" s="36"/>
      <c r="N757" s="36"/>
      <c r="O757" s="36"/>
      <c r="P757" s="36"/>
      <c r="Q757" s="36"/>
      <c r="R757" s="102" t="str">
        <f>"バックアップ_"&amp;SUBSTITUTE(C757,"_結合","")</f>
        <v>バックアップ_MML_手術モジュール_診療科情報</v>
      </c>
      <c r="S757" s="103"/>
      <c r="T757" s="106" t="str">
        <f>エンティティ一覧!$O$2</f>
        <v>milscm_2023_009</v>
      </c>
    </row>
    <row r="758" spans="2:23" ht="18.75" customHeight="1">
      <c r="C758" s="104"/>
      <c r="D758" s="105"/>
      <c r="E758" s="115"/>
      <c r="F758" s="37"/>
      <c r="G758" s="38"/>
      <c r="H758" s="37"/>
      <c r="I758" s="37"/>
      <c r="J758" s="37"/>
      <c r="K758" s="37"/>
      <c r="L758" s="37"/>
      <c r="M758" s="37"/>
      <c r="N758" s="37"/>
      <c r="O758" s="37"/>
      <c r="P758" s="37"/>
      <c r="Q758" s="37"/>
      <c r="R758" s="104"/>
      <c r="S758" s="105"/>
      <c r="T758" s="107"/>
    </row>
    <row r="759" spans="2:23" ht="18.75" customHeight="1">
      <c r="F759" s="39"/>
      <c r="G759" s="40"/>
    </row>
    <row r="760" spans="2:23" ht="18.75" customHeight="1">
      <c r="C760" s="102" t="s">
        <v>3201</v>
      </c>
      <c r="D760" s="103"/>
      <c r="E760" s="106" t="str">
        <f>エンティティ一覧!$O$2</f>
        <v>milscm_2023_009</v>
      </c>
      <c r="G760" s="41"/>
    </row>
    <row r="761" spans="2:23" ht="18.75" customHeight="1">
      <c r="C761" s="104"/>
      <c r="D761" s="105"/>
      <c r="E761" s="107"/>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3645</v>
      </c>
      <c r="D765" s="90"/>
      <c r="W765" s="35" t="str">
        <f>"-- "&amp;B765&amp;" : "&amp;C765</f>
        <v>-- SQL_ID : 01_A6-44</v>
      </c>
    </row>
    <row r="766" spans="2:23" ht="18.75" customHeight="1">
      <c r="B766" s="43" t="s">
        <v>158</v>
      </c>
      <c r="C766" s="108" t="str">
        <f>R769&amp;"登録"</f>
        <v>バックアップ_MML_手術モジュール_診断履歴情報登録</v>
      </c>
      <c r="D766" s="109"/>
      <c r="E766" s="109"/>
      <c r="F766" s="109"/>
      <c r="G766" s="109"/>
      <c r="H766" s="109"/>
      <c r="I766" s="109"/>
      <c r="J766" s="109"/>
      <c r="K766" s="109"/>
      <c r="L766" s="109"/>
      <c r="M766" s="109"/>
      <c r="N766" s="109"/>
      <c r="O766" s="109"/>
      <c r="P766" s="109"/>
      <c r="Q766" s="109"/>
      <c r="R766" s="109"/>
      <c r="S766" s="109"/>
      <c r="T766" s="109"/>
      <c r="U766" s="110"/>
      <c r="W766" s="35" t="str">
        <f>"-- "&amp;C766</f>
        <v>-- バックアップ_MML_手術モジュール_診断履歴情報登録</v>
      </c>
    </row>
    <row r="767" spans="2:23" ht="18.75" customHeight="1">
      <c r="B767" s="43" t="s">
        <v>159</v>
      </c>
      <c r="C767" s="111" t="str">
        <f>C769&amp;"テーブルから組入れ条件の第一条件で絞り込んだ結果を"&amp;R769&amp;"テーブルに格納する。"</f>
        <v>MML_手術モジュール_診断履歴情報テーブルから組入れ条件の第一条件で絞り込んだ結果をバックアップ_MML_手術モジュール_診断履歴情報テーブルに格納する。</v>
      </c>
      <c r="D767" s="112"/>
      <c r="E767" s="112"/>
      <c r="F767" s="112"/>
      <c r="G767" s="112"/>
      <c r="H767" s="112"/>
      <c r="I767" s="112"/>
      <c r="J767" s="112"/>
      <c r="K767" s="112"/>
      <c r="L767" s="112"/>
      <c r="M767" s="112"/>
      <c r="N767" s="112"/>
      <c r="O767" s="112"/>
      <c r="P767" s="112"/>
      <c r="Q767" s="112"/>
      <c r="R767" s="112"/>
      <c r="S767" s="112"/>
      <c r="T767" s="112"/>
      <c r="U767" s="113"/>
      <c r="W767" s="35" t="str">
        <f>"-- "&amp;C767</f>
        <v>-- MML_手術モジュール_診断履歴情報テーブルから組入れ条件の第一条件で絞り込んだ結果をバックアップ_MML_手術モジュール_診断履歴情報テーブルに格納する。</v>
      </c>
    </row>
    <row r="769" spans="2:23" ht="18.75" customHeight="1">
      <c r="C769" s="102" t="s">
        <v>3646</v>
      </c>
      <c r="D769" s="103"/>
      <c r="E769" s="114" t="s">
        <v>162</v>
      </c>
      <c r="H769" s="36"/>
      <c r="I769" s="36"/>
      <c r="J769" s="36"/>
      <c r="K769" s="36"/>
      <c r="L769" s="36"/>
      <c r="M769" s="36"/>
      <c r="N769" s="36"/>
      <c r="O769" s="36"/>
      <c r="P769" s="36"/>
      <c r="Q769" s="36"/>
      <c r="R769" s="102" t="str">
        <f>"バックアップ_"&amp;SUBSTITUTE(C769,"_結合","")</f>
        <v>バックアップ_MML_手術モジュール_診断履歴情報</v>
      </c>
      <c r="S769" s="103"/>
      <c r="T769" s="106" t="str">
        <f>エンティティ一覧!$O$2</f>
        <v>milscm_2023_009</v>
      </c>
    </row>
    <row r="770" spans="2:23" ht="18.75" customHeight="1">
      <c r="C770" s="104"/>
      <c r="D770" s="105"/>
      <c r="E770" s="115"/>
      <c r="F770" s="37"/>
      <c r="G770" s="38"/>
      <c r="H770" s="37"/>
      <c r="I770" s="37"/>
      <c r="J770" s="37"/>
      <c r="K770" s="37"/>
      <c r="L770" s="37"/>
      <c r="M770" s="37"/>
      <c r="N770" s="37"/>
      <c r="O770" s="37"/>
      <c r="P770" s="37"/>
      <c r="Q770" s="37"/>
      <c r="R770" s="104"/>
      <c r="S770" s="105"/>
      <c r="T770" s="107"/>
    </row>
    <row r="771" spans="2:23" ht="18.75" customHeight="1">
      <c r="F771" s="39"/>
      <c r="G771" s="40"/>
    </row>
    <row r="772" spans="2:23" ht="18.75" customHeight="1">
      <c r="C772" s="102" t="s">
        <v>3201</v>
      </c>
      <c r="D772" s="103"/>
      <c r="E772" s="106" t="str">
        <f>エンティティ一覧!$O$2</f>
        <v>milscm_2023_009</v>
      </c>
      <c r="G772" s="41"/>
    </row>
    <row r="773" spans="2:23" ht="18.75" customHeight="1">
      <c r="C773" s="104"/>
      <c r="D773" s="105"/>
      <c r="E773" s="107"/>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3647</v>
      </c>
      <c r="D777" s="90"/>
      <c r="W777" s="35" t="str">
        <f>"-- "&amp;B777&amp;" : "&amp;C777</f>
        <v>-- SQL_ID : 01_A6-45</v>
      </c>
    </row>
    <row r="778" spans="2:23" ht="18.75" customHeight="1">
      <c r="B778" s="43" t="s">
        <v>158</v>
      </c>
      <c r="C778" s="108" t="str">
        <f>R781&amp;"登録"</f>
        <v>バックアップ_MML_手術モジュール_病名登録</v>
      </c>
      <c r="D778" s="109"/>
      <c r="E778" s="109"/>
      <c r="F778" s="109"/>
      <c r="G778" s="109"/>
      <c r="H778" s="109"/>
      <c r="I778" s="109"/>
      <c r="J778" s="109"/>
      <c r="K778" s="109"/>
      <c r="L778" s="109"/>
      <c r="M778" s="109"/>
      <c r="N778" s="109"/>
      <c r="O778" s="109"/>
      <c r="P778" s="109"/>
      <c r="Q778" s="109"/>
      <c r="R778" s="109"/>
      <c r="S778" s="109"/>
      <c r="T778" s="109"/>
      <c r="U778" s="110"/>
      <c r="W778" s="35" t="str">
        <f>"-- "&amp;C778</f>
        <v>-- バックアップ_MML_手術モジュール_病名登録</v>
      </c>
    </row>
    <row r="779" spans="2:23" ht="18.75" customHeight="1">
      <c r="B779" s="43" t="s">
        <v>159</v>
      </c>
      <c r="C779" s="111" t="str">
        <f>C781&amp;"テーブルから組入れ条件の第一条件で絞り込んだ結果を"&amp;R781&amp;"テーブルに格納する。"</f>
        <v>MML_手術モジュール_病名テーブルから組入れ条件の第一条件で絞り込んだ結果をバックアップ_MML_手術モジュール_病名テーブルに格納する。</v>
      </c>
      <c r="D779" s="112"/>
      <c r="E779" s="112"/>
      <c r="F779" s="112"/>
      <c r="G779" s="112"/>
      <c r="H779" s="112"/>
      <c r="I779" s="112"/>
      <c r="J779" s="112"/>
      <c r="K779" s="112"/>
      <c r="L779" s="112"/>
      <c r="M779" s="112"/>
      <c r="N779" s="112"/>
      <c r="O779" s="112"/>
      <c r="P779" s="112"/>
      <c r="Q779" s="112"/>
      <c r="R779" s="112"/>
      <c r="S779" s="112"/>
      <c r="T779" s="112"/>
      <c r="U779" s="113"/>
      <c r="W779" s="35" t="str">
        <f>"-- "&amp;C779</f>
        <v>-- MML_手術モジュール_病名テーブルから組入れ条件の第一条件で絞り込んだ結果をバックアップ_MML_手術モジュール_病名テーブルに格納する。</v>
      </c>
    </row>
    <row r="781" spans="2:23" ht="18.75" customHeight="1">
      <c r="C781" s="102" t="s">
        <v>3648</v>
      </c>
      <c r="D781" s="103"/>
      <c r="E781" s="114" t="s">
        <v>162</v>
      </c>
      <c r="H781" s="36"/>
      <c r="I781" s="36"/>
      <c r="J781" s="36"/>
      <c r="K781" s="36"/>
      <c r="L781" s="36"/>
      <c r="M781" s="36"/>
      <c r="N781" s="36"/>
      <c r="O781" s="36"/>
      <c r="P781" s="36"/>
      <c r="Q781" s="36"/>
      <c r="R781" s="102" t="str">
        <f>"バックアップ_"&amp;SUBSTITUTE(C781,"_結合","")</f>
        <v>バックアップ_MML_手術モジュール_病名</v>
      </c>
      <c r="S781" s="103"/>
      <c r="T781" s="106" t="str">
        <f>エンティティ一覧!$O$2</f>
        <v>milscm_2023_009</v>
      </c>
    </row>
    <row r="782" spans="2:23" ht="18.75" customHeight="1">
      <c r="C782" s="104"/>
      <c r="D782" s="105"/>
      <c r="E782" s="115"/>
      <c r="F782" s="37"/>
      <c r="G782" s="38"/>
      <c r="H782" s="37"/>
      <c r="I782" s="37"/>
      <c r="J782" s="37"/>
      <c r="K782" s="37"/>
      <c r="L782" s="37"/>
      <c r="M782" s="37"/>
      <c r="N782" s="37"/>
      <c r="O782" s="37"/>
      <c r="P782" s="37"/>
      <c r="Q782" s="37"/>
      <c r="R782" s="104"/>
      <c r="S782" s="105"/>
      <c r="T782" s="107"/>
    </row>
    <row r="783" spans="2:23" ht="18.75" customHeight="1">
      <c r="F783" s="39"/>
      <c r="G783" s="40"/>
    </row>
    <row r="784" spans="2:23" ht="18.75" customHeight="1">
      <c r="C784" s="102" t="s">
        <v>3201</v>
      </c>
      <c r="D784" s="103"/>
      <c r="E784" s="106" t="str">
        <f>エンティティ一覧!$O$2</f>
        <v>milscm_2023_009</v>
      </c>
      <c r="G784" s="41"/>
    </row>
    <row r="785" spans="2:23" ht="18.75" customHeight="1">
      <c r="C785" s="104"/>
      <c r="D785" s="105"/>
      <c r="E785" s="107"/>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3649</v>
      </c>
      <c r="D789" s="90"/>
      <c r="W789" s="35" t="str">
        <f>"-- "&amp;B789&amp;" : "&amp;C789</f>
        <v>-- SQL_ID : 01_A6-46</v>
      </c>
    </row>
    <row r="790" spans="2:23" ht="18.75" customHeight="1">
      <c r="B790" s="43" t="s">
        <v>158</v>
      </c>
      <c r="C790" s="108" t="str">
        <f>R793&amp;"登録"</f>
        <v>バックアップ_MML_手術モジュール_カテゴリ名登録</v>
      </c>
      <c r="D790" s="109"/>
      <c r="E790" s="109"/>
      <c r="F790" s="109"/>
      <c r="G790" s="109"/>
      <c r="H790" s="109"/>
      <c r="I790" s="109"/>
      <c r="J790" s="109"/>
      <c r="K790" s="109"/>
      <c r="L790" s="109"/>
      <c r="M790" s="109"/>
      <c r="N790" s="109"/>
      <c r="O790" s="109"/>
      <c r="P790" s="109"/>
      <c r="Q790" s="109"/>
      <c r="R790" s="109"/>
      <c r="S790" s="109"/>
      <c r="T790" s="109"/>
      <c r="U790" s="110"/>
      <c r="W790" s="35" t="str">
        <f>"-- "&amp;C790</f>
        <v>-- バックアップ_MML_手術モジュール_カテゴリ名登録</v>
      </c>
    </row>
    <row r="791" spans="2:23" ht="18.75" customHeight="1">
      <c r="B791" s="43" t="s">
        <v>159</v>
      </c>
      <c r="C791" s="111" t="str">
        <f>C793&amp;"テーブルから組入れ条件の第一条件で絞り込んだ結果を"&amp;R793&amp;"テーブルに格納する。"</f>
        <v>MML_手術モジュール_カテゴリ名テーブルから組入れ条件の第一条件で絞り込んだ結果をバックアップ_MML_手術モジュール_カテゴリ名テーブルに格納する。</v>
      </c>
      <c r="D791" s="112"/>
      <c r="E791" s="112"/>
      <c r="F791" s="112"/>
      <c r="G791" s="112"/>
      <c r="H791" s="112"/>
      <c r="I791" s="112"/>
      <c r="J791" s="112"/>
      <c r="K791" s="112"/>
      <c r="L791" s="112"/>
      <c r="M791" s="112"/>
      <c r="N791" s="112"/>
      <c r="O791" s="112"/>
      <c r="P791" s="112"/>
      <c r="Q791" s="112"/>
      <c r="R791" s="112"/>
      <c r="S791" s="112"/>
      <c r="T791" s="112"/>
      <c r="U791" s="113"/>
      <c r="W791" s="35" t="str">
        <f>"-- "&amp;C791</f>
        <v>-- MML_手術モジュール_カテゴリ名テーブルから組入れ条件の第一条件で絞り込んだ結果をバックアップ_MML_手術モジュール_カテゴリ名テーブルに格納する。</v>
      </c>
    </row>
    <row r="793" spans="2:23" ht="18.75" customHeight="1">
      <c r="C793" s="102" t="s">
        <v>3650</v>
      </c>
      <c r="D793" s="103"/>
      <c r="E793" s="114" t="s">
        <v>162</v>
      </c>
      <c r="H793" s="36"/>
      <c r="I793" s="36"/>
      <c r="J793" s="36"/>
      <c r="K793" s="36"/>
      <c r="L793" s="36"/>
      <c r="M793" s="36"/>
      <c r="N793" s="36"/>
      <c r="O793" s="36"/>
      <c r="P793" s="36"/>
      <c r="Q793" s="36"/>
      <c r="R793" s="102" t="str">
        <f>"バックアップ_"&amp;SUBSTITUTE(C793,"_結合","")</f>
        <v>バックアップ_MML_手術モジュール_カテゴリ名</v>
      </c>
      <c r="S793" s="103"/>
      <c r="T793" s="106" t="str">
        <f>エンティティ一覧!$O$2</f>
        <v>milscm_2023_009</v>
      </c>
    </row>
    <row r="794" spans="2:23" ht="18.75" customHeight="1">
      <c r="C794" s="104"/>
      <c r="D794" s="105"/>
      <c r="E794" s="115"/>
      <c r="F794" s="37"/>
      <c r="G794" s="38"/>
      <c r="H794" s="37"/>
      <c r="I794" s="37"/>
      <c r="J794" s="37"/>
      <c r="K794" s="37"/>
      <c r="L794" s="37"/>
      <c r="M794" s="37"/>
      <c r="N794" s="37"/>
      <c r="O794" s="37"/>
      <c r="P794" s="37"/>
      <c r="Q794" s="37"/>
      <c r="R794" s="104"/>
      <c r="S794" s="105"/>
      <c r="T794" s="107"/>
    </row>
    <row r="795" spans="2:23" ht="18.75" customHeight="1">
      <c r="F795" s="39"/>
      <c r="G795" s="40"/>
    </row>
    <row r="796" spans="2:23" ht="18.75" customHeight="1">
      <c r="C796" s="102" t="s">
        <v>3201</v>
      </c>
      <c r="D796" s="103"/>
      <c r="E796" s="106" t="str">
        <f>エンティティ一覧!$O$2</f>
        <v>milscm_2023_009</v>
      </c>
      <c r="G796" s="41"/>
    </row>
    <row r="797" spans="2:23" ht="18.75" customHeight="1">
      <c r="C797" s="104"/>
      <c r="D797" s="105"/>
      <c r="E797" s="107"/>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3651</v>
      </c>
      <c r="D801" s="90"/>
      <c r="W801" s="35" t="str">
        <f>"-- "&amp;B801&amp;" : "&amp;C801</f>
        <v>-- SQL_ID : 01_A6-47</v>
      </c>
    </row>
    <row r="802" spans="2:23" ht="18.75" customHeight="1">
      <c r="B802" s="43" t="s">
        <v>158</v>
      </c>
      <c r="C802" s="108" t="str">
        <f>R805&amp;"登録"</f>
        <v>バックアップ_MML_手術モジュール_手術法登録</v>
      </c>
      <c r="D802" s="109"/>
      <c r="E802" s="109"/>
      <c r="F802" s="109"/>
      <c r="G802" s="109"/>
      <c r="H802" s="109"/>
      <c r="I802" s="109"/>
      <c r="J802" s="109"/>
      <c r="K802" s="109"/>
      <c r="L802" s="109"/>
      <c r="M802" s="109"/>
      <c r="N802" s="109"/>
      <c r="O802" s="109"/>
      <c r="P802" s="109"/>
      <c r="Q802" s="109"/>
      <c r="R802" s="109"/>
      <c r="S802" s="109"/>
      <c r="T802" s="109"/>
      <c r="U802" s="110"/>
      <c r="W802" s="35" t="str">
        <f>"-- "&amp;C802</f>
        <v>-- バックアップ_MML_手術モジュール_手術法登録</v>
      </c>
    </row>
    <row r="803" spans="2:23" ht="18.75" customHeight="1">
      <c r="B803" s="43" t="s">
        <v>159</v>
      </c>
      <c r="C803" s="111" t="str">
        <f>C805&amp;"テーブルから組入れ条件の第一条件で絞り込んだ結果を"&amp;R805&amp;"テーブルに格納する。"</f>
        <v>MML_手術モジュール_手術法テーブルから組入れ条件の第一条件で絞り込んだ結果をバックアップ_MML_手術モジュール_手術法テーブルに格納する。</v>
      </c>
      <c r="D803" s="112"/>
      <c r="E803" s="112"/>
      <c r="F803" s="112"/>
      <c r="G803" s="112"/>
      <c r="H803" s="112"/>
      <c r="I803" s="112"/>
      <c r="J803" s="112"/>
      <c r="K803" s="112"/>
      <c r="L803" s="112"/>
      <c r="M803" s="112"/>
      <c r="N803" s="112"/>
      <c r="O803" s="112"/>
      <c r="P803" s="112"/>
      <c r="Q803" s="112"/>
      <c r="R803" s="112"/>
      <c r="S803" s="112"/>
      <c r="T803" s="112"/>
      <c r="U803" s="113"/>
      <c r="W803" s="35" t="str">
        <f>"-- "&amp;C803</f>
        <v>-- MML_手術モジュール_手術法テーブルから組入れ条件の第一条件で絞り込んだ結果をバックアップ_MML_手術モジュール_手術法テーブルに格納する。</v>
      </c>
    </row>
    <row r="805" spans="2:23" ht="18.75" customHeight="1">
      <c r="C805" s="102" t="s">
        <v>3652</v>
      </c>
      <c r="D805" s="103"/>
      <c r="E805" s="114" t="s">
        <v>162</v>
      </c>
      <c r="H805" s="36"/>
      <c r="I805" s="36"/>
      <c r="J805" s="36"/>
      <c r="K805" s="36"/>
      <c r="L805" s="36"/>
      <c r="M805" s="36"/>
      <c r="N805" s="36"/>
      <c r="O805" s="36"/>
      <c r="P805" s="36"/>
      <c r="Q805" s="36"/>
      <c r="R805" s="102" t="str">
        <f>"バックアップ_"&amp;SUBSTITUTE(C805,"_結合","")</f>
        <v>バックアップ_MML_手術モジュール_手術法</v>
      </c>
      <c r="S805" s="103"/>
      <c r="T805" s="106" t="str">
        <f>エンティティ一覧!$O$2</f>
        <v>milscm_2023_009</v>
      </c>
    </row>
    <row r="806" spans="2:23" ht="18.75" customHeight="1">
      <c r="C806" s="104"/>
      <c r="D806" s="105"/>
      <c r="E806" s="115"/>
      <c r="F806" s="37"/>
      <c r="G806" s="38"/>
      <c r="H806" s="37"/>
      <c r="I806" s="37"/>
      <c r="J806" s="37"/>
      <c r="K806" s="37"/>
      <c r="L806" s="37"/>
      <c r="M806" s="37"/>
      <c r="N806" s="37"/>
      <c r="O806" s="37"/>
      <c r="P806" s="37"/>
      <c r="Q806" s="37"/>
      <c r="R806" s="104"/>
      <c r="S806" s="105"/>
      <c r="T806" s="107"/>
    </row>
    <row r="807" spans="2:23" ht="18.75" customHeight="1">
      <c r="F807" s="39"/>
      <c r="G807" s="40"/>
    </row>
    <row r="808" spans="2:23" ht="18.75" customHeight="1">
      <c r="C808" s="102" t="s">
        <v>3201</v>
      </c>
      <c r="D808" s="103"/>
      <c r="E808" s="106" t="str">
        <f>エンティティ一覧!$O$2</f>
        <v>milscm_2023_009</v>
      </c>
      <c r="G808" s="41"/>
    </row>
    <row r="809" spans="2:23" ht="18.75" customHeight="1">
      <c r="C809" s="104"/>
      <c r="D809" s="105"/>
      <c r="E809" s="107"/>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3653</v>
      </c>
      <c r="D813" s="90"/>
      <c r="W813" s="35" t="str">
        <f>"-- "&amp;B813&amp;" : "&amp;C813</f>
        <v>-- SQL_ID : 01_A6-48</v>
      </c>
    </row>
    <row r="814" spans="2:23" ht="18.75" customHeight="1">
      <c r="B814" s="43" t="s">
        <v>158</v>
      </c>
      <c r="C814" s="108" t="str">
        <f>R817&amp;"登録"</f>
        <v>バックアップ_MML_手術モジュール_手術要素登録</v>
      </c>
      <c r="D814" s="109"/>
      <c r="E814" s="109"/>
      <c r="F814" s="109"/>
      <c r="G814" s="109"/>
      <c r="H814" s="109"/>
      <c r="I814" s="109"/>
      <c r="J814" s="109"/>
      <c r="K814" s="109"/>
      <c r="L814" s="109"/>
      <c r="M814" s="109"/>
      <c r="N814" s="109"/>
      <c r="O814" s="109"/>
      <c r="P814" s="109"/>
      <c r="Q814" s="109"/>
      <c r="R814" s="109"/>
      <c r="S814" s="109"/>
      <c r="T814" s="109"/>
      <c r="U814" s="110"/>
      <c r="W814" s="35" t="str">
        <f>"-- "&amp;C814</f>
        <v>-- バックアップ_MML_手術モジュール_手術要素登録</v>
      </c>
    </row>
    <row r="815" spans="2:23" ht="18.75" customHeight="1">
      <c r="B815" s="43" t="s">
        <v>159</v>
      </c>
      <c r="C815" s="111" t="str">
        <f>C817&amp;"テーブルから組入れ条件の第一条件で絞り込んだ結果を"&amp;R817&amp;"テーブルに格納する。"</f>
        <v>MML_手術モジュール_手術要素テーブルから組入れ条件の第一条件で絞り込んだ結果をバックアップ_MML_手術モジュール_手術要素テーブルに格納する。</v>
      </c>
      <c r="D815" s="112"/>
      <c r="E815" s="112"/>
      <c r="F815" s="112"/>
      <c r="G815" s="112"/>
      <c r="H815" s="112"/>
      <c r="I815" s="112"/>
      <c r="J815" s="112"/>
      <c r="K815" s="112"/>
      <c r="L815" s="112"/>
      <c r="M815" s="112"/>
      <c r="N815" s="112"/>
      <c r="O815" s="112"/>
      <c r="P815" s="112"/>
      <c r="Q815" s="112"/>
      <c r="R815" s="112"/>
      <c r="S815" s="112"/>
      <c r="T815" s="112"/>
      <c r="U815" s="113"/>
      <c r="W815" s="35" t="str">
        <f>"-- "&amp;C815</f>
        <v>-- MML_手術モジュール_手術要素テーブルから組入れ条件の第一条件で絞り込んだ結果をバックアップ_MML_手術モジュール_手術要素テーブルに格納する。</v>
      </c>
    </row>
    <row r="817" spans="2:23" ht="18.75" customHeight="1">
      <c r="C817" s="102" t="s">
        <v>3654</v>
      </c>
      <c r="D817" s="103"/>
      <c r="E817" s="114" t="s">
        <v>162</v>
      </c>
      <c r="H817" s="36"/>
      <c r="I817" s="36"/>
      <c r="J817" s="36"/>
      <c r="K817" s="36"/>
      <c r="L817" s="36"/>
      <c r="M817" s="36"/>
      <c r="N817" s="36"/>
      <c r="O817" s="36"/>
      <c r="P817" s="36"/>
      <c r="Q817" s="36"/>
      <c r="R817" s="102" t="str">
        <f>"バックアップ_"&amp;SUBSTITUTE(C817,"_結合","")</f>
        <v>バックアップ_MML_手術モジュール_手術要素</v>
      </c>
      <c r="S817" s="103"/>
      <c r="T817" s="106" t="str">
        <f>エンティティ一覧!$O$2</f>
        <v>milscm_2023_009</v>
      </c>
    </row>
    <row r="818" spans="2:23" ht="18.75" customHeight="1">
      <c r="C818" s="104"/>
      <c r="D818" s="105"/>
      <c r="E818" s="115"/>
      <c r="F818" s="37"/>
      <c r="G818" s="38"/>
      <c r="H818" s="37"/>
      <c r="I818" s="37"/>
      <c r="J818" s="37"/>
      <c r="K818" s="37"/>
      <c r="L818" s="37"/>
      <c r="M818" s="37"/>
      <c r="N818" s="37"/>
      <c r="O818" s="37"/>
      <c r="P818" s="37"/>
      <c r="Q818" s="37"/>
      <c r="R818" s="104"/>
      <c r="S818" s="105"/>
      <c r="T818" s="107"/>
    </row>
    <row r="819" spans="2:23" ht="18.75" customHeight="1">
      <c r="F819" s="39"/>
      <c r="G819" s="40"/>
    </row>
    <row r="820" spans="2:23" ht="18.75" customHeight="1">
      <c r="C820" s="102" t="s">
        <v>3201</v>
      </c>
      <c r="D820" s="103"/>
      <c r="E820" s="106" t="str">
        <f>エンティティ一覧!$O$2</f>
        <v>milscm_2023_009</v>
      </c>
      <c r="G820" s="41"/>
    </row>
    <row r="821" spans="2:23" ht="18.75" customHeight="1">
      <c r="C821" s="104"/>
      <c r="D821" s="105"/>
      <c r="E821" s="107"/>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3655</v>
      </c>
      <c r="D825" s="90"/>
      <c r="W825" s="35" t="str">
        <f>"-- "&amp;B825&amp;" : "&amp;C825</f>
        <v>-- SQL_ID : 01_A6-49</v>
      </c>
    </row>
    <row r="826" spans="2:23" ht="18.75" customHeight="1">
      <c r="B826" s="43" t="s">
        <v>158</v>
      </c>
      <c r="C826" s="108" t="str">
        <f>R829&amp;"登録"</f>
        <v>バックアップ_MML_手術モジュール_麻酔法登録</v>
      </c>
      <c r="D826" s="109"/>
      <c r="E826" s="109"/>
      <c r="F826" s="109"/>
      <c r="G826" s="109"/>
      <c r="H826" s="109"/>
      <c r="I826" s="109"/>
      <c r="J826" s="109"/>
      <c r="K826" s="109"/>
      <c r="L826" s="109"/>
      <c r="M826" s="109"/>
      <c r="N826" s="109"/>
      <c r="O826" s="109"/>
      <c r="P826" s="109"/>
      <c r="Q826" s="109"/>
      <c r="R826" s="109"/>
      <c r="S826" s="109"/>
      <c r="T826" s="109"/>
      <c r="U826" s="110"/>
      <c r="W826" s="35" t="str">
        <f>"-- "&amp;C826</f>
        <v>-- バックアップ_MML_手術モジュール_麻酔法登録</v>
      </c>
    </row>
    <row r="827" spans="2:23" ht="18.75" customHeight="1">
      <c r="B827" s="43" t="s">
        <v>159</v>
      </c>
      <c r="C827" s="111" t="str">
        <f>C829&amp;"テーブルから組入れ条件の第一条件で絞り込んだ結果を"&amp;R829&amp;"テーブルに格納する。"</f>
        <v>MML_手術モジュール_麻酔法テーブルから組入れ条件の第一条件で絞り込んだ結果をバックアップ_MML_手術モジュール_麻酔法テーブルに格納する。</v>
      </c>
      <c r="D827" s="112"/>
      <c r="E827" s="112"/>
      <c r="F827" s="112"/>
      <c r="G827" s="112"/>
      <c r="H827" s="112"/>
      <c r="I827" s="112"/>
      <c r="J827" s="112"/>
      <c r="K827" s="112"/>
      <c r="L827" s="112"/>
      <c r="M827" s="112"/>
      <c r="N827" s="112"/>
      <c r="O827" s="112"/>
      <c r="P827" s="112"/>
      <c r="Q827" s="112"/>
      <c r="R827" s="112"/>
      <c r="S827" s="112"/>
      <c r="T827" s="112"/>
      <c r="U827" s="113"/>
      <c r="W827" s="35" t="str">
        <f>"-- "&amp;C827</f>
        <v>-- MML_手術モジュール_麻酔法テーブルから組入れ条件の第一条件で絞り込んだ結果をバックアップ_MML_手術モジュール_麻酔法テーブルに格納する。</v>
      </c>
    </row>
    <row r="829" spans="2:23" ht="18.75" customHeight="1">
      <c r="C829" s="102" t="s">
        <v>3656</v>
      </c>
      <c r="D829" s="103"/>
      <c r="E829" s="114" t="s">
        <v>162</v>
      </c>
      <c r="H829" s="36"/>
      <c r="I829" s="36"/>
      <c r="J829" s="36"/>
      <c r="K829" s="36"/>
      <c r="L829" s="36"/>
      <c r="M829" s="36"/>
      <c r="N829" s="36"/>
      <c r="O829" s="36"/>
      <c r="P829" s="36"/>
      <c r="Q829" s="36"/>
      <c r="R829" s="102" t="str">
        <f>"バックアップ_"&amp;SUBSTITUTE(C829,"_結合","")</f>
        <v>バックアップ_MML_手術モジュール_麻酔法</v>
      </c>
      <c r="S829" s="103"/>
      <c r="T829" s="106" t="str">
        <f>エンティティ一覧!$O$2</f>
        <v>milscm_2023_009</v>
      </c>
    </row>
    <row r="830" spans="2:23" ht="18.75" customHeight="1">
      <c r="C830" s="104"/>
      <c r="D830" s="105"/>
      <c r="E830" s="115"/>
      <c r="F830" s="37"/>
      <c r="G830" s="38"/>
      <c r="H830" s="37"/>
      <c r="I830" s="37"/>
      <c r="J830" s="37"/>
      <c r="K830" s="37"/>
      <c r="L830" s="37"/>
      <c r="M830" s="37"/>
      <c r="N830" s="37"/>
      <c r="O830" s="37"/>
      <c r="P830" s="37"/>
      <c r="Q830" s="37"/>
      <c r="R830" s="104"/>
      <c r="S830" s="105"/>
      <c r="T830" s="107"/>
    </row>
    <row r="831" spans="2:23" ht="18.75" customHeight="1">
      <c r="F831" s="39"/>
      <c r="G831" s="40"/>
    </row>
    <row r="832" spans="2:23" ht="18.75" customHeight="1">
      <c r="C832" s="102" t="s">
        <v>3201</v>
      </c>
      <c r="D832" s="103"/>
      <c r="E832" s="106" t="str">
        <f>エンティティ一覧!$O$2</f>
        <v>milscm_2023_009</v>
      </c>
      <c r="G832" s="41"/>
    </row>
    <row r="833" spans="2:23" ht="18.75" customHeight="1">
      <c r="C833" s="104"/>
      <c r="D833" s="105"/>
      <c r="E833" s="107"/>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3657</v>
      </c>
      <c r="D837" s="90"/>
      <c r="W837" s="35" t="str">
        <f>"-- "&amp;B837&amp;" : "&amp;C837</f>
        <v>-- SQL_ID : 01_A6-50</v>
      </c>
    </row>
    <row r="838" spans="2:23" ht="18.75" customHeight="1">
      <c r="B838" s="43" t="s">
        <v>158</v>
      </c>
      <c r="C838" s="108" t="str">
        <f>R841&amp;"登録"</f>
        <v>バックアップ_MML_報告書情報モジュール_本文登録</v>
      </c>
      <c r="D838" s="109"/>
      <c r="E838" s="109"/>
      <c r="F838" s="109"/>
      <c r="G838" s="109"/>
      <c r="H838" s="109"/>
      <c r="I838" s="109"/>
      <c r="J838" s="109"/>
      <c r="K838" s="109"/>
      <c r="L838" s="109"/>
      <c r="M838" s="109"/>
      <c r="N838" s="109"/>
      <c r="O838" s="109"/>
      <c r="P838" s="109"/>
      <c r="Q838" s="109"/>
      <c r="R838" s="109"/>
      <c r="S838" s="109"/>
      <c r="T838" s="109"/>
      <c r="U838" s="110"/>
      <c r="W838" s="35" t="str">
        <f>"-- "&amp;C838</f>
        <v>-- バックアップ_MML_報告書情報モジュール_本文登録</v>
      </c>
    </row>
    <row r="839" spans="2:23" ht="18.75" customHeight="1">
      <c r="B839" s="43" t="s">
        <v>159</v>
      </c>
      <c r="C839" s="111" t="str">
        <f>C841&amp;"テーブルから組入れ条件の第一条件で絞り込んだ結果を"&amp;R841&amp;"テーブルに格納する。"</f>
        <v>MML_報告書情報モジュール_本文テーブルから組入れ条件の第一条件で絞り込んだ結果をバックアップ_MML_報告書情報モジュール_本文テーブルに格納する。</v>
      </c>
      <c r="D839" s="112"/>
      <c r="E839" s="112"/>
      <c r="F839" s="112"/>
      <c r="G839" s="112"/>
      <c r="H839" s="112"/>
      <c r="I839" s="112"/>
      <c r="J839" s="112"/>
      <c r="K839" s="112"/>
      <c r="L839" s="112"/>
      <c r="M839" s="112"/>
      <c r="N839" s="112"/>
      <c r="O839" s="112"/>
      <c r="P839" s="112"/>
      <c r="Q839" s="112"/>
      <c r="R839" s="112"/>
      <c r="S839" s="112"/>
      <c r="T839" s="112"/>
      <c r="U839" s="113"/>
      <c r="W839" s="35" t="str">
        <f>"-- "&amp;C839</f>
        <v>-- MML_報告書情報モジュール_本文テーブルから組入れ条件の第一条件で絞り込んだ結果をバックアップ_MML_報告書情報モジュール_本文テーブルに格納する。</v>
      </c>
    </row>
    <row r="841" spans="2:23" ht="18.75" customHeight="1">
      <c r="C841" s="102" t="s">
        <v>3658</v>
      </c>
      <c r="D841" s="103"/>
      <c r="E841" s="114" t="s">
        <v>162</v>
      </c>
      <c r="H841" s="36"/>
      <c r="I841" s="36"/>
      <c r="J841" s="36"/>
      <c r="K841" s="36"/>
      <c r="L841" s="36"/>
      <c r="M841" s="36"/>
      <c r="N841" s="36"/>
      <c r="O841" s="36"/>
      <c r="P841" s="36"/>
      <c r="Q841" s="36"/>
      <c r="R841" s="102" t="str">
        <f>"バックアップ_"&amp;SUBSTITUTE(C841,"_結合","")</f>
        <v>バックアップ_MML_報告書情報モジュール_本文</v>
      </c>
      <c r="S841" s="103"/>
      <c r="T841" s="106" t="str">
        <f>エンティティ一覧!$O$2</f>
        <v>milscm_2023_009</v>
      </c>
    </row>
    <row r="842" spans="2:23" ht="18.75" customHeight="1">
      <c r="C842" s="104"/>
      <c r="D842" s="105"/>
      <c r="E842" s="115"/>
      <c r="F842" s="37"/>
      <c r="G842" s="38"/>
      <c r="H842" s="37"/>
      <c r="I842" s="37"/>
      <c r="J842" s="37"/>
      <c r="K842" s="37"/>
      <c r="L842" s="37"/>
      <c r="M842" s="37"/>
      <c r="N842" s="37"/>
      <c r="O842" s="37"/>
      <c r="P842" s="37"/>
      <c r="Q842" s="37"/>
      <c r="R842" s="104"/>
      <c r="S842" s="105"/>
      <c r="T842" s="107"/>
    </row>
    <row r="843" spans="2:23" ht="18.75" customHeight="1">
      <c r="F843" s="39"/>
      <c r="G843" s="40"/>
    </row>
    <row r="844" spans="2:23" ht="18.75" customHeight="1">
      <c r="C844" s="102" t="s">
        <v>3201</v>
      </c>
      <c r="D844" s="103"/>
      <c r="E844" s="106" t="str">
        <f>エンティティ一覧!$O$2</f>
        <v>milscm_2023_009</v>
      </c>
      <c r="G844" s="41"/>
    </row>
    <row r="845" spans="2:23" ht="18.75" customHeight="1">
      <c r="C845" s="104"/>
      <c r="D845" s="105"/>
      <c r="E845" s="107"/>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3659</v>
      </c>
      <c r="D849" s="90"/>
      <c r="W849" s="35" t="str">
        <f>"-- "&amp;B849&amp;" : "&amp;C849</f>
        <v>-- SQL_ID : 01_A6-51</v>
      </c>
    </row>
    <row r="850" spans="2:23" ht="18.75" customHeight="1">
      <c r="B850" s="43" t="s">
        <v>158</v>
      </c>
      <c r="C850" s="108" t="str">
        <f>R853&amp;"登録"</f>
        <v>バックアップ_MML_報告書情報モジュール_検査コメント登録</v>
      </c>
      <c r="D850" s="109"/>
      <c r="E850" s="109"/>
      <c r="F850" s="109"/>
      <c r="G850" s="109"/>
      <c r="H850" s="109"/>
      <c r="I850" s="109"/>
      <c r="J850" s="109"/>
      <c r="K850" s="109"/>
      <c r="L850" s="109"/>
      <c r="M850" s="109"/>
      <c r="N850" s="109"/>
      <c r="O850" s="109"/>
      <c r="P850" s="109"/>
      <c r="Q850" s="109"/>
      <c r="R850" s="109"/>
      <c r="S850" s="109"/>
      <c r="T850" s="109"/>
      <c r="U850" s="110"/>
      <c r="W850" s="35" t="str">
        <f>"-- "&amp;C850</f>
        <v>-- バックアップ_MML_報告書情報モジュール_検査コメント登録</v>
      </c>
    </row>
    <row r="851" spans="2:23" ht="18.75" customHeight="1">
      <c r="B851" s="43" t="s">
        <v>159</v>
      </c>
      <c r="C851" s="111" t="str">
        <f>C853&amp;"テーブルから組入れ条件の第一条件で絞り込んだ結果を"&amp;R853&amp;"テーブルに格納する。"</f>
        <v>MML_報告書情報モジュール_検査コメントテーブルから組入れ条件の第一条件で絞り込んだ結果をバックアップ_MML_報告書情報モジュール_検査コメントテーブルに格納する。</v>
      </c>
      <c r="D851" s="112"/>
      <c r="E851" s="112"/>
      <c r="F851" s="112"/>
      <c r="G851" s="112"/>
      <c r="H851" s="112"/>
      <c r="I851" s="112"/>
      <c r="J851" s="112"/>
      <c r="K851" s="112"/>
      <c r="L851" s="112"/>
      <c r="M851" s="112"/>
      <c r="N851" s="112"/>
      <c r="O851" s="112"/>
      <c r="P851" s="112"/>
      <c r="Q851" s="112"/>
      <c r="R851" s="112"/>
      <c r="S851" s="112"/>
      <c r="T851" s="112"/>
      <c r="U851" s="113"/>
      <c r="W851" s="35" t="str">
        <f>"-- "&amp;C851</f>
        <v>-- MML_報告書情報モジュール_検査コメントテーブルから組入れ条件の第一条件で絞り込んだ結果をバックアップ_MML_報告書情報モジュール_検査コメントテーブルに格納する。</v>
      </c>
    </row>
    <row r="853" spans="2:23" ht="18.75" customHeight="1">
      <c r="C853" s="102" t="s">
        <v>3660</v>
      </c>
      <c r="D853" s="103"/>
      <c r="E853" s="114" t="s">
        <v>162</v>
      </c>
      <c r="H853" s="36"/>
      <c r="I853" s="36"/>
      <c r="J853" s="36"/>
      <c r="K853" s="36"/>
      <c r="L853" s="36"/>
      <c r="M853" s="36"/>
      <c r="N853" s="36"/>
      <c r="O853" s="36"/>
      <c r="P853" s="36"/>
      <c r="Q853" s="36"/>
      <c r="R853" s="120" t="str">
        <f>"バックアップ_"&amp;SUBSTITUTE(C853,"_結合","")</f>
        <v>バックアップ_MML_報告書情報モジュール_検査コメント</v>
      </c>
      <c r="S853" s="121"/>
      <c r="T853" s="106" t="str">
        <f>エンティティ一覧!$O$2</f>
        <v>milscm_2023_009</v>
      </c>
    </row>
    <row r="854" spans="2:23" ht="18.75" customHeight="1">
      <c r="C854" s="104"/>
      <c r="D854" s="105"/>
      <c r="E854" s="115"/>
      <c r="F854" s="37"/>
      <c r="G854" s="38"/>
      <c r="H854" s="37"/>
      <c r="I854" s="37"/>
      <c r="J854" s="37"/>
      <c r="K854" s="37"/>
      <c r="L854" s="37"/>
      <c r="M854" s="37"/>
      <c r="N854" s="37"/>
      <c r="O854" s="37"/>
      <c r="P854" s="37"/>
      <c r="Q854" s="37"/>
      <c r="R854" s="122"/>
      <c r="S854" s="123"/>
      <c r="T854" s="107"/>
    </row>
    <row r="855" spans="2:23" ht="18.75" customHeight="1">
      <c r="F855" s="39"/>
      <c r="G855" s="40"/>
    </row>
    <row r="856" spans="2:23" ht="18.75" customHeight="1">
      <c r="C856" s="102" t="s">
        <v>3201</v>
      </c>
      <c r="D856" s="103"/>
      <c r="E856" s="106" t="str">
        <f>エンティティ一覧!$O$2</f>
        <v>milscm_2023_009</v>
      </c>
      <c r="G856" s="41"/>
    </row>
    <row r="857" spans="2:23" ht="18.75" customHeight="1">
      <c r="C857" s="104"/>
      <c r="D857" s="105"/>
      <c r="E857" s="107"/>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3661</v>
      </c>
      <c r="D861" s="90"/>
      <c r="W861" s="35" t="str">
        <f>"-- "&amp;B861&amp;" : "&amp;C861</f>
        <v>-- SQL_ID : 01_A6-52</v>
      </c>
    </row>
    <row r="862" spans="2:23" ht="18.75" customHeight="1">
      <c r="B862" s="43" t="s">
        <v>158</v>
      </c>
      <c r="C862" s="108" t="str">
        <f>R865&amp;"登録"</f>
        <v>バックアップ_MML_生活習慣情報モジュール_本文登録</v>
      </c>
      <c r="D862" s="109"/>
      <c r="E862" s="109"/>
      <c r="F862" s="109"/>
      <c r="G862" s="109"/>
      <c r="H862" s="109"/>
      <c r="I862" s="109"/>
      <c r="J862" s="109"/>
      <c r="K862" s="109"/>
      <c r="L862" s="109"/>
      <c r="M862" s="109"/>
      <c r="N862" s="109"/>
      <c r="O862" s="109"/>
      <c r="P862" s="109"/>
      <c r="Q862" s="109"/>
      <c r="R862" s="109"/>
      <c r="S862" s="109"/>
      <c r="T862" s="109"/>
      <c r="U862" s="110"/>
      <c r="W862" s="35" t="str">
        <f>"-- "&amp;C862</f>
        <v>-- バックアップ_MML_生活習慣情報モジュール_本文登録</v>
      </c>
    </row>
    <row r="863" spans="2:23" ht="18.75" customHeight="1">
      <c r="B863" s="43" t="s">
        <v>159</v>
      </c>
      <c r="C863" s="111" t="str">
        <f>C865&amp;"テーブルから組入れ条件の第一条件で絞り込んだ結果を"&amp;R865&amp;"テーブルに格納する。"</f>
        <v>MML_生活習慣情報モジュール_本文テーブルから組入れ条件の第一条件で絞り込んだ結果をバックアップ_MML_生活習慣情報モジュール_本文テーブルに格納する。</v>
      </c>
      <c r="D863" s="112"/>
      <c r="E863" s="112"/>
      <c r="F863" s="112"/>
      <c r="G863" s="112"/>
      <c r="H863" s="112"/>
      <c r="I863" s="112"/>
      <c r="J863" s="112"/>
      <c r="K863" s="112"/>
      <c r="L863" s="112"/>
      <c r="M863" s="112"/>
      <c r="N863" s="112"/>
      <c r="O863" s="112"/>
      <c r="P863" s="112"/>
      <c r="Q863" s="112"/>
      <c r="R863" s="112"/>
      <c r="S863" s="112"/>
      <c r="T863" s="112"/>
      <c r="U863" s="113"/>
      <c r="W863" s="35" t="str">
        <f>"-- "&amp;C863</f>
        <v>-- MML_生活習慣情報モジュール_本文テーブルから組入れ条件の第一条件で絞り込んだ結果をバックアップ_MML_生活習慣情報モジュール_本文テーブルに格納する。</v>
      </c>
    </row>
    <row r="865" spans="2:23" ht="18.75" customHeight="1">
      <c r="C865" s="102" t="s">
        <v>3662</v>
      </c>
      <c r="D865" s="103"/>
      <c r="E865" s="114" t="s">
        <v>162</v>
      </c>
      <c r="H865" s="36"/>
      <c r="I865" s="36"/>
      <c r="J865" s="36"/>
      <c r="K865" s="36"/>
      <c r="L865" s="36"/>
      <c r="M865" s="36"/>
      <c r="N865" s="36"/>
      <c r="O865" s="36"/>
      <c r="P865" s="36"/>
      <c r="Q865" s="36"/>
      <c r="R865" s="102" t="str">
        <f>"バックアップ_"&amp;SUBSTITUTE(C865,"_結合","")</f>
        <v>バックアップ_MML_生活習慣情報モジュール_本文</v>
      </c>
      <c r="S865" s="103"/>
      <c r="T865" s="106" t="str">
        <f>エンティティ一覧!$O$2</f>
        <v>milscm_2023_009</v>
      </c>
    </row>
    <row r="866" spans="2:23" ht="18.75" customHeight="1">
      <c r="C866" s="104"/>
      <c r="D866" s="105"/>
      <c r="E866" s="115"/>
      <c r="F866" s="37"/>
      <c r="G866" s="38"/>
      <c r="H866" s="37"/>
      <c r="I866" s="37"/>
      <c r="J866" s="37"/>
      <c r="K866" s="37"/>
      <c r="L866" s="37"/>
      <c r="M866" s="37"/>
      <c r="N866" s="37"/>
      <c r="O866" s="37"/>
      <c r="P866" s="37"/>
      <c r="Q866" s="37"/>
      <c r="R866" s="104"/>
      <c r="S866" s="105"/>
      <c r="T866" s="107"/>
    </row>
    <row r="867" spans="2:23" ht="18.75" customHeight="1">
      <c r="F867" s="39"/>
      <c r="G867" s="40"/>
    </row>
    <row r="868" spans="2:23" ht="18.75" customHeight="1">
      <c r="C868" s="102" t="s">
        <v>3201</v>
      </c>
      <c r="D868" s="103"/>
      <c r="E868" s="106" t="str">
        <f>エンティティ一覧!$O$2</f>
        <v>milscm_2023_009</v>
      </c>
      <c r="G868" s="41"/>
    </row>
    <row r="869" spans="2:23" ht="18.75" customHeight="1">
      <c r="C869" s="104"/>
      <c r="D869" s="105"/>
      <c r="E869" s="107"/>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3663</v>
      </c>
      <c r="D873" s="90"/>
      <c r="W873" s="35" t="str">
        <f>"-- "&amp;B873&amp;" : "&amp;C873</f>
        <v>-- SQL_ID : 01_A6-53</v>
      </c>
    </row>
    <row r="874" spans="2:23" ht="18.75" customHeight="1">
      <c r="B874" s="43" t="s">
        <v>158</v>
      </c>
      <c r="C874" s="108" t="str">
        <f>R877&amp;"登録"</f>
        <v>バックアップ_MML_紹介状モジュール_本文登録</v>
      </c>
      <c r="D874" s="109"/>
      <c r="E874" s="109"/>
      <c r="F874" s="109"/>
      <c r="G874" s="109"/>
      <c r="H874" s="109"/>
      <c r="I874" s="109"/>
      <c r="J874" s="109"/>
      <c r="K874" s="109"/>
      <c r="L874" s="109"/>
      <c r="M874" s="109"/>
      <c r="N874" s="109"/>
      <c r="O874" s="109"/>
      <c r="P874" s="109"/>
      <c r="Q874" s="109"/>
      <c r="R874" s="109"/>
      <c r="S874" s="109"/>
      <c r="T874" s="109"/>
      <c r="U874" s="110"/>
      <c r="W874" s="35" t="str">
        <f>"-- "&amp;C874</f>
        <v>-- バックアップ_MML_紹介状モジュール_本文登録</v>
      </c>
    </row>
    <row r="875" spans="2:23" ht="18.75" customHeight="1">
      <c r="B875" s="43" t="s">
        <v>159</v>
      </c>
      <c r="C875" s="111" t="str">
        <f>C877&amp;"テーブルから組入れ条件の第一条件で絞り込んだ結果を"&amp;R877&amp;"テーブルに格納する。"</f>
        <v>MML_紹介状モジュール_本文テーブルから組入れ条件の第一条件で絞り込んだ結果をバックアップ_MML_紹介状モジュール_本文テーブルに格納する。</v>
      </c>
      <c r="D875" s="112"/>
      <c r="E875" s="112"/>
      <c r="F875" s="112"/>
      <c r="G875" s="112"/>
      <c r="H875" s="112"/>
      <c r="I875" s="112"/>
      <c r="J875" s="112"/>
      <c r="K875" s="112"/>
      <c r="L875" s="112"/>
      <c r="M875" s="112"/>
      <c r="N875" s="112"/>
      <c r="O875" s="112"/>
      <c r="P875" s="112"/>
      <c r="Q875" s="112"/>
      <c r="R875" s="112"/>
      <c r="S875" s="112"/>
      <c r="T875" s="112"/>
      <c r="U875" s="113"/>
      <c r="W875" s="35" t="str">
        <f>"-- "&amp;C875</f>
        <v>-- MML_紹介状モジュール_本文テーブルから組入れ条件の第一条件で絞り込んだ結果をバックアップ_MML_紹介状モジュール_本文テーブルに格納する。</v>
      </c>
    </row>
    <row r="877" spans="2:23" ht="18.75" customHeight="1">
      <c r="C877" s="102" t="s">
        <v>3664</v>
      </c>
      <c r="D877" s="103"/>
      <c r="E877" s="114" t="s">
        <v>162</v>
      </c>
      <c r="H877" s="36"/>
      <c r="I877" s="36"/>
      <c r="J877" s="36"/>
      <c r="K877" s="36"/>
      <c r="L877" s="36"/>
      <c r="M877" s="36"/>
      <c r="N877" s="36"/>
      <c r="O877" s="36"/>
      <c r="P877" s="36"/>
      <c r="Q877" s="36"/>
      <c r="R877" s="102" t="str">
        <f>"バックアップ_"&amp;SUBSTITUTE(C877,"_結合","")</f>
        <v>バックアップ_MML_紹介状モジュール_本文</v>
      </c>
      <c r="S877" s="103"/>
      <c r="T877" s="106" t="str">
        <f>エンティティ一覧!$O$2</f>
        <v>milscm_2023_009</v>
      </c>
    </row>
    <row r="878" spans="2:23" ht="18.75" customHeight="1">
      <c r="C878" s="104"/>
      <c r="D878" s="105"/>
      <c r="E878" s="115"/>
      <c r="F878" s="37"/>
      <c r="G878" s="38"/>
      <c r="H878" s="37"/>
      <c r="I878" s="37"/>
      <c r="J878" s="37"/>
      <c r="K878" s="37"/>
      <c r="L878" s="37"/>
      <c r="M878" s="37"/>
      <c r="N878" s="37"/>
      <c r="O878" s="37"/>
      <c r="P878" s="37"/>
      <c r="Q878" s="37"/>
      <c r="R878" s="104"/>
      <c r="S878" s="105"/>
      <c r="T878" s="107"/>
    </row>
    <row r="879" spans="2:23" ht="18.75" customHeight="1">
      <c r="F879" s="39"/>
      <c r="G879" s="40"/>
    </row>
    <row r="880" spans="2:23" ht="18.75" customHeight="1">
      <c r="C880" s="102" t="s">
        <v>3201</v>
      </c>
      <c r="D880" s="103"/>
      <c r="E880" s="106" t="str">
        <f>エンティティ一覧!$O$2</f>
        <v>milscm_2023_009</v>
      </c>
      <c r="G880" s="41"/>
    </row>
    <row r="881" spans="2:23" ht="18.75" customHeight="1">
      <c r="C881" s="104"/>
      <c r="D881" s="105"/>
      <c r="E881" s="107"/>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3665</v>
      </c>
      <c r="D885" s="90"/>
      <c r="W885" s="35" t="str">
        <f>"-- "&amp;B885&amp;" : "&amp;C885</f>
        <v>-- SQL_ID : 01_A6-54</v>
      </c>
    </row>
    <row r="886" spans="2:23" ht="18.75" customHeight="1">
      <c r="B886" s="43" t="s">
        <v>158</v>
      </c>
      <c r="C886" s="108" t="str">
        <f>R889&amp;"登録"</f>
        <v>バックアップ_MML_紹介状モジュール_注射記録登録</v>
      </c>
      <c r="D886" s="109"/>
      <c r="E886" s="109"/>
      <c r="F886" s="109"/>
      <c r="G886" s="109"/>
      <c r="H886" s="109"/>
      <c r="I886" s="109"/>
      <c r="J886" s="109"/>
      <c r="K886" s="109"/>
      <c r="L886" s="109"/>
      <c r="M886" s="109"/>
      <c r="N886" s="109"/>
      <c r="O886" s="109"/>
      <c r="P886" s="109"/>
      <c r="Q886" s="109"/>
      <c r="R886" s="109"/>
      <c r="S886" s="109"/>
      <c r="T886" s="109"/>
      <c r="U886" s="110"/>
      <c r="W886" s="35" t="str">
        <f>"-- "&amp;C886</f>
        <v>-- バックアップ_MML_紹介状モジュール_注射記録登録</v>
      </c>
    </row>
    <row r="887" spans="2:23" ht="18.75" customHeight="1">
      <c r="B887" s="43" t="s">
        <v>159</v>
      </c>
      <c r="C887" s="111" t="str">
        <f>C889&amp;"テーブルから組入れ条件の第一条件で絞り込んだ結果を"&amp;R889&amp;"テーブルに格納する。"</f>
        <v>MML_紹介状モジュール_注射記録テーブルから組入れ条件の第一条件で絞り込んだ結果をバックアップ_MML_紹介状モジュール_注射記録テーブルに格納する。</v>
      </c>
      <c r="D887" s="112"/>
      <c r="E887" s="112"/>
      <c r="F887" s="112"/>
      <c r="G887" s="112"/>
      <c r="H887" s="112"/>
      <c r="I887" s="112"/>
      <c r="J887" s="112"/>
      <c r="K887" s="112"/>
      <c r="L887" s="112"/>
      <c r="M887" s="112"/>
      <c r="N887" s="112"/>
      <c r="O887" s="112"/>
      <c r="P887" s="112"/>
      <c r="Q887" s="112"/>
      <c r="R887" s="112"/>
      <c r="S887" s="112"/>
      <c r="T887" s="112"/>
      <c r="U887" s="113"/>
      <c r="W887" s="35" t="str">
        <f>"-- "&amp;C887</f>
        <v>-- MML_紹介状モジュール_注射記録テーブルから組入れ条件の第一条件で絞り込んだ結果をバックアップ_MML_紹介状モジュール_注射記録テーブルに格納する。</v>
      </c>
    </row>
    <row r="889" spans="2:23" ht="18.75" customHeight="1">
      <c r="C889" s="102" t="s">
        <v>3666</v>
      </c>
      <c r="D889" s="103"/>
      <c r="E889" s="114" t="s">
        <v>162</v>
      </c>
      <c r="H889" s="36"/>
      <c r="I889" s="36"/>
      <c r="J889" s="36"/>
      <c r="K889" s="36"/>
      <c r="L889" s="36"/>
      <c r="M889" s="36"/>
      <c r="N889" s="36"/>
      <c r="O889" s="36"/>
      <c r="P889" s="36"/>
      <c r="Q889" s="36"/>
      <c r="R889" s="102" t="str">
        <f>"バックアップ_"&amp;SUBSTITUTE(C889,"_結合","")</f>
        <v>バックアップ_MML_紹介状モジュール_注射記録</v>
      </c>
      <c r="S889" s="103"/>
      <c r="T889" s="106" t="str">
        <f>エンティティ一覧!$O$2</f>
        <v>milscm_2023_009</v>
      </c>
    </row>
    <row r="890" spans="2:23" ht="18.75" customHeight="1">
      <c r="C890" s="104"/>
      <c r="D890" s="105"/>
      <c r="E890" s="115"/>
      <c r="F890" s="37"/>
      <c r="G890" s="38"/>
      <c r="H890" s="37"/>
      <c r="I890" s="37"/>
      <c r="J890" s="37"/>
      <c r="K890" s="37"/>
      <c r="L890" s="37"/>
      <c r="M890" s="37"/>
      <c r="N890" s="37"/>
      <c r="O890" s="37"/>
      <c r="P890" s="37"/>
      <c r="Q890" s="37"/>
      <c r="R890" s="104"/>
      <c r="S890" s="105"/>
      <c r="T890" s="107"/>
    </row>
    <row r="891" spans="2:23" ht="18.75" customHeight="1">
      <c r="F891" s="39"/>
      <c r="G891" s="40"/>
    </row>
    <row r="892" spans="2:23" ht="18.75" customHeight="1">
      <c r="C892" s="102" t="s">
        <v>3201</v>
      </c>
      <c r="D892" s="103"/>
      <c r="E892" s="106" t="str">
        <f>エンティティ一覧!$O$2</f>
        <v>milscm_2023_009</v>
      </c>
      <c r="G892" s="41"/>
    </row>
    <row r="893" spans="2:23" ht="18.75" customHeight="1">
      <c r="C893" s="104"/>
      <c r="D893" s="105"/>
      <c r="E893" s="107"/>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3667</v>
      </c>
      <c r="D897" s="90"/>
      <c r="W897" s="35" t="str">
        <f>"-- "&amp;B897&amp;" : "&amp;C897</f>
        <v>-- SQL_ID : 01_A6-55</v>
      </c>
    </row>
    <row r="898" spans="2:23" ht="18.75" customHeight="1">
      <c r="B898" s="43" t="s">
        <v>158</v>
      </c>
      <c r="C898" s="108" t="str">
        <f>R901&amp;"登録"</f>
        <v>バックアップ_MML_紹介状モジュール_注射記録投薬登録</v>
      </c>
      <c r="D898" s="109"/>
      <c r="E898" s="109"/>
      <c r="F898" s="109"/>
      <c r="G898" s="109"/>
      <c r="H898" s="109"/>
      <c r="I898" s="109"/>
      <c r="J898" s="109"/>
      <c r="K898" s="109"/>
      <c r="L898" s="109"/>
      <c r="M898" s="109"/>
      <c r="N898" s="109"/>
      <c r="O898" s="109"/>
      <c r="P898" s="109"/>
      <c r="Q898" s="109"/>
      <c r="R898" s="109"/>
      <c r="S898" s="109"/>
      <c r="T898" s="109"/>
      <c r="U898" s="110"/>
      <c r="W898" s="35" t="str">
        <f>"-- "&amp;C898</f>
        <v>-- バックアップ_MML_紹介状モジュール_注射記録投薬登録</v>
      </c>
    </row>
    <row r="899" spans="2:23" ht="18.75" customHeight="1">
      <c r="B899" s="43" t="s">
        <v>159</v>
      </c>
      <c r="C899" s="111" t="str">
        <f>C901&amp;"テーブルから組入れ条件の第一条件で絞り込んだ結果を"&amp;R901&amp;"テーブルに格納する。"</f>
        <v>MML_紹介状モジュール_注射記録投薬テーブルから組入れ条件の第一条件で絞り込んだ結果をバックアップ_MML_紹介状モジュール_注射記録投薬テーブルに格納する。</v>
      </c>
      <c r="D899" s="112"/>
      <c r="E899" s="112"/>
      <c r="F899" s="112"/>
      <c r="G899" s="112"/>
      <c r="H899" s="112"/>
      <c r="I899" s="112"/>
      <c r="J899" s="112"/>
      <c r="K899" s="112"/>
      <c r="L899" s="112"/>
      <c r="M899" s="112"/>
      <c r="N899" s="112"/>
      <c r="O899" s="112"/>
      <c r="P899" s="112"/>
      <c r="Q899" s="112"/>
      <c r="R899" s="112"/>
      <c r="S899" s="112"/>
      <c r="T899" s="112"/>
      <c r="U899" s="113"/>
      <c r="W899" s="35" t="str">
        <f>"-- "&amp;C899</f>
        <v>-- MML_紹介状モジュール_注射記録投薬テーブルから組入れ条件の第一条件で絞り込んだ結果をバックアップ_MML_紹介状モジュール_注射記録投薬テーブルに格納する。</v>
      </c>
    </row>
    <row r="901" spans="2:23" ht="18.75" customHeight="1">
      <c r="C901" s="102" t="s">
        <v>3668</v>
      </c>
      <c r="D901" s="103"/>
      <c r="E901" s="114" t="s">
        <v>162</v>
      </c>
      <c r="H901" s="36"/>
      <c r="I901" s="36"/>
      <c r="J901" s="36"/>
      <c r="K901" s="36"/>
      <c r="L901" s="36"/>
      <c r="M901" s="36"/>
      <c r="N901" s="36"/>
      <c r="O901" s="36"/>
      <c r="P901" s="36"/>
      <c r="Q901" s="36"/>
      <c r="R901" s="102" t="str">
        <f>"バックアップ_"&amp;SUBSTITUTE(C901,"_結合","")</f>
        <v>バックアップ_MML_紹介状モジュール_注射記録投薬</v>
      </c>
      <c r="S901" s="103"/>
      <c r="T901" s="106" t="str">
        <f>エンティティ一覧!$O$2</f>
        <v>milscm_2023_009</v>
      </c>
    </row>
    <row r="902" spans="2:23" ht="18.75" customHeight="1">
      <c r="C902" s="104"/>
      <c r="D902" s="105"/>
      <c r="E902" s="115"/>
      <c r="F902" s="37"/>
      <c r="G902" s="38"/>
      <c r="H902" s="37"/>
      <c r="I902" s="37"/>
      <c r="J902" s="37"/>
      <c r="K902" s="37"/>
      <c r="L902" s="37"/>
      <c r="M902" s="37"/>
      <c r="N902" s="37"/>
      <c r="O902" s="37"/>
      <c r="P902" s="37"/>
      <c r="Q902" s="37"/>
      <c r="R902" s="104"/>
      <c r="S902" s="105"/>
      <c r="T902" s="107"/>
    </row>
    <row r="903" spans="2:23" ht="18.75" customHeight="1">
      <c r="F903" s="39"/>
      <c r="G903" s="40"/>
    </row>
    <row r="904" spans="2:23" ht="18.75" customHeight="1">
      <c r="C904" s="102" t="s">
        <v>3201</v>
      </c>
      <c r="D904" s="103"/>
      <c r="E904" s="106" t="str">
        <f>エンティティ一覧!$O$2</f>
        <v>milscm_2023_009</v>
      </c>
      <c r="G904" s="41"/>
    </row>
    <row r="905" spans="2:23" ht="18.75" customHeight="1">
      <c r="C905" s="104"/>
      <c r="D905" s="105"/>
      <c r="E905" s="107"/>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3669</v>
      </c>
      <c r="D909" s="90"/>
      <c r="W909" s="35" t="str">
        <f>"-- "&amp;B909&amp;" : "&amp;C909</f>
        <v>-- SQL_ID : 01_A6-56</v>
      </c>
    </row>
    <row r="910" spans="2:23" ht="18.75" customHeight="1">
      <c r="B910" s="43" t="s">
        <v>158</v>
      </c>
      <c r="C910" s="108" t="str">
        <f>R913&amp;"登録"</f>
        <v>バックアップ_MML_紹介状モジュール_注射記録薬剤登録</v>
      </c>
      <c r="D910" s="109"/>
      <c r="E910" s="109"/>
      <c r="F910" s="109"/>
      <c r="G910" s="109"/>
      <c r="H910" s="109"/>
      <c r="I910" s="109"/>
      <c r="J910" s="109"/>
      <c r="K910" s="109"/>
      <c r="L910" s="109"/>
      <c r="M910" s="109"/>
      <c r="N910" s="109"/>
      <c r="O910" s="109"/>
      <c r="P910" s="109"/>
      <c r="Q910" s="109"/>
      <c r="R910" s="109"/>
      <c r="S910" s="109"/>
      <c r="T910" s="109"/>
      <c r="U910" s="110"/>
      <c r="W910" s="35" t="str">
        <f>"-- "&amp;C910</f>
        <v>-- バックアップ_MML_紹介状モジュール_注射記録薬剤登録</v>
      </c>
    </row>
    <row r="911" spans="2:23" ht="18.75" customHeight="1">
      <c r="B911" s="43" t="s">
        <v>159</v>
      </c>
      <c r="C911" s="111" t="str">
        <f>C913&amp;"テーブルから組入れ条件の第一条件で絞り込んだ結果を"&amp;R913&amp;"テーブルに格納する。"</f>
        <v>MML_紹介状モジュール_注射記録薬剤テーブルから組入れ条件の第一条件で絞り込んだ結果をバックアップ_MML_紹介状モジュール_注射記録薬剤テーブルに格納する。</v>
      </c>
      <c r="D911" s="112"/>
      <c r="E911" s="112"/>
      <c r="F911" s="112"/>
      <c r="G911" s="112"/>
      <c r="H911" s="112"/>
      <c r="I911" s="112"/>
      <c r="J911" s="112"/>
      <c r="K911" s="112"/>
      <c r="L911" s="112"/>
      <c r="M911" s="112"/>
      <c r="N911" s="112"/>
      <c r="O911" s="112"/>
      <c r="P911" s="112"/>
      <c r="Q911" s="112"/>
      <c r="R911" s="112"/>
      <c r="S911" s="112"/>
      <c r="T911" s="112"/>
      <c r="U911" s="113"/>
      <c r="W911" s="35" t="str">
        <f>"-- "&amp;C911</f>
        <v>-- MML_紹介状モジュール_注射記録薬剤テーブルから組入れ条件の第一条件で絞り込んだ結果をバックアップ_MML_紹介状モジュール_注射記録薬剤テーブルに格納する。</v>
      </c>
    </row>
    <row r="913" spans="2:23" ht="18.75" customHeight="1">
      <c r="C913" s="102" t="s">
        <v>3670</v>
      </c>
      <c r="D913" s="103"/>
      <c r="E913" s="114" t="s">
        <v>162</v>
      </c>
      <c r="H913" s="36"/>
      <c r="I913" s="36"/>
      <c r="J913" s="36"/>
      <c r="K913" s="36"/>
      <c r="L913" s="36"/>
      <c r="M913" s="36"/>
      <c r="N913" s="36"/>
      <c r="O913" s="36"/>
      <c r="P913" s="36"/>
      <c r="Q913" s="36"/>
      <c r="R913" s="102" t="str">
        <f>"バックアップ_"&amp;SUBSTITUTE(C913,"_結合","")</f>
        <v>バックアップ_MML_紹介状モジュール_注射記録薬剤</v>
      </c>
      <c r="S913" s="103"/>
      <c r="T913" s="106" t="str">
        <f>エンティティ一覧!$O$2</f>
        <v>milscm_2023_009</v>
      </c>
    </row>
    <row r="914" spans="2:23" ht="18.75" customHeight="1">
      <c r="C914" s="104"/>
      <c r="D914" s="105"/>
      <c r="E914" s="115"/>
      <c r="F914" s="37"/>
      <c r="G914" s="38"/>
      <c r="H914" s="37"/>
      <c r="I914" s="37"/>
      <c r="J914" s="37"/>
      <c r="K914" s="37"/>
      <c r="L914" s="37"/>
      <c r="M914" s="37"/>
      <c r="N914" s="37"/>
      <c r="O914" s="37"/>
      <c r="P914" s="37"/>
      <c r="Q914" s="37"/>
      <c r="R914" s="104"/>
      <c r="S914" s="105"/>
      <c r="T914" s="107"/>
    </row>
    <row r="915" spans="2:23" ht="18.75" customHeight="1">
      <c r="F915" s="39"/>
      <c r="G915" s="40"/>
    </row>
    <row r="916" spans="2:23" ht="18.75" customHeight="1">
      <c r="C916" s="102" t="s">
        <v>3201</v>
      </c>
      <c r="D916" s="103"/>
      <c r="E916" s="106" t="str">
        <f>エンティティ一覧!$O$2</f>
        <v>milscm_2023_009</v>
      </c>
      <c r="G916" s="41"/>
    </row>
    <row r="917" spans="2:23" ht="18.75" customHeight="1">
      <c r="C917" s="104"/>
      <c r="D917" s="105"/>
      <c r="E917" s="107"/>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3671</v>
      </c>
      <c r="D921" s="90"/>
      <c r="W921" s="35" t="str">
        <f>"-- "&amp;B921&amp;" : "&amp;C921</f>
        <v>-- SQL_ID : 01_A6-57</v>
      </c>
    </row>
    <row r="922" spans="2:23" ht="18.75" customHeight="1">
      <c r="B922" s="43" t="s">
        <v>158</v>
      </c>
      <c r="C922" s="108" t="str">
        <f>R925&amp;"登録"</f>
        <v>バックアップ_MML_紹介状モジュール_患者情報登録</v>
      </c>
      <c r="D922" s="109"/>
      <c r="E922" s="109"/>
      <c r="F922" s="109"/>
      <c r="G922" s="109"/>
      <c r="H922" s="109"/>
      <c r="I922" s="109"/>
      <c r="J922" s="109"/>
      <c r="K922" s="109"/>
      <c r="L922" s="109"/>
      <c r="M922" s="109"/>
      <c r="N922" s="109"/>
      <c r="O922" s="109"/>
      <c r="P922" s="109"/>
      <c r="Q922" s="109"/>
      <c r="R922" s="109"/>
      <c r="S922" s="109"/>
      <c r="T922" s="109"/>
      <c r="U922" s="110"/>
      <c r="W922" s="35" t="str">
        <f>"-- "&amp;C922</f>
        <v>-- バックアップ_MML_紹介状モジュール_患者情報登録</v>
      </c>
    </row>
    <row r="923" spans="2:23" ht="18.75" customHeight="1">
      <c r="B923" s="43" t="s">
        <v>159</v>
      </c>
      <c r="C923" s="111" t="str">
        <f>C925&amp;"テーブルから組入れ条件の第一条件で絞り込んだ結果を"&amp;R925&amp;"テーブルに格納する。"</f>
        <v>MML_紹介状モジュール_患者情報テーブルから組入れ条件の第一条件で絞り込んだ結果をバックアップ_MML_紹介状モジュール_患者情報テーブルに格納する。</v>
      </c>
      <c r="D923" s="112"/>
      <c r="E923" s="112"/>
      <c r="F923" s="112"/>
      <c r="G923" s="112"/>
      <c r="H923" s="112"/>
      <c r="I923" s="112"/>
      <c r="J923" s="112"/>
      <c r="K923" s="112"/>
      <c r="L923" s="112"/>
      <c r="M923" s="112"/>
      <c r="N923" s="112"/>
      <c r="O923" s="112"/>
      <c r="P923" s="112"/>
      <c r="Q923" s="112"/>
      <c r="R923" s="112"/>
      <c r="S923" s="112"/>
      <c r="T923" s="112"/>
      <c r="U923" s="113"/>
      <c r="W923" s="35" t="str">
        <f>"-- "&amp;C923</f>
        <v>-- MML_紹介状モジュール_患者情報テーブルから組入れ条件の第一条件で絞り込んだ結果をバックアップ_MML_紹介状モジュール_患者情報テーブルに格納する。</v>
      </c>
    </row>
    <row r="925" spans="2:23" ht="18.75" customHeight="1">
      <c r="C925" s="102" t="s">
        <v>3672</v>
      </c>
      <c r="D925" s="103"/>
      <c r="E925" s="114" t="s">
        <v>162</v>
      </c>
      <c r="H925" s="36"/>
      <c r="I925" s="36"/>
      <c r="J925" s="36"/>
      <c r="K925" s="36"/>
      <c r="L925" s="36"/>
      <c r="M925" s="36"/>
      <c r="N925" s="36"/>
      <c r="O925" s="36"/>
      <c r="P925" s="36"/>
      <c r="Q925" s="36"/>
      <c r="R925" s="102" t="str">
        <f>"バックアップ_"&amp;SUBSTITUTE(C925,"_結合","")</f>
        <v>バックアップ_MML_紹介状モジュール_患者情報</v>
      </c>
      <c r="S925" s="103"/>
      <c r="T925" s="106" t="str">
        <f>エンティティ一覧!$O$2</f>
        <v>milscm_2023_009</v>
      </c>
    </row>
    <row r="926" spans="2:23" ht="18.75" customHeight="1">
      <c r="C926" s="104"/>
      <c r="D926" s="105"/>
      <c r="E926" s="115"/>
      <c r="F926" s="37"/>
      <c r="G926" s="38"/>
      <c r="H926" s="37"/>
      <c r="I926" s="37"/>
      <c r="J926" s="37"/>
      <c r="K926" s="37"/>
      <c r="L926" s="37"/>
      <c r="M926" s="37"/>
      <c r="N926" s="37"/>
      <c r="O926" s="37"/>
      <c r="P926" s="37"/>
      <c r="Q926" s="37"/>
      <c r="R926" s="104"/>
      <c r="S926" s="105"/>
      <c r="T926" s="107"/>
    </row>
    <row r="927" spans="2:23" ht="18.75" customHeight="1">
      <c r="F927" s="39"/>
      <c r="G927" s="40"/>
    </row>
    <row r="928" spans="2:23" ht="18.75" customHeight="1">
      <c r="C928" s="102" t="s">
        <v>3201</v>
      </c>
      <c r="D928" s="103"/>
      <c r="E928" s="106" t="str">
        <f>エンティティ一覧!$O$2</f>
        <v>milscm_2023_009</v>
      </c>
      <c r="G928" s="41"/>
    </row>
    <row r="929" spans="2:23" ht="18.75" customHeight="1">
      <c r="C929" s="104"/>
      <c r="D929" s="105"/>
      <c r="E929" s="107"/>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3673</v>
      </c>
      <c r="D933" s="90"/>
      <c r="W933" s="35" t="str">
        <f>"-- "&amp;B933&amp;" : "&amp;C933</f>
        <v>-- SQL_ID : 01_A6-58</v>
      </c>
    </row>
    <row r="934" spans="2:23" ht="18.75" customHeight="1">
      <c r="B934" s="43" t="s">
        <v>158</v>
      </c>
      <c r="C934" s="108" t="str">
        <f>R937&amp;"登録"</f>
        <v>バックアップ_MML_紹介状モジュール_患者情報住所登録</v>
      </c>
      <c r="D934" s="109"/>
      <c r="E934" s="109"/>
      <c r="F934" s="109"/>
      <c r="G934" s="109"/>
      <c r="H934" s="109"/>
      <c r="I934" s="109"/>
      <c r="J934" s="109"/>
      <c r="K934" s="109"/>
      <c r="L934" s="109"/>
      <c r="M934" s="109"/>
      <c r="N934" s="109"/>
      <c r="O934" s="109"/>
      <c r="P934" s="109"/>
      <c r="Q934" s="109"/>
      <c r="R934" s="109"/>
      <c r="S934" s="109"/>
      <c r="T934" s="109"/>
      <c r="U934" s="110"/>
      <c r="W934" s="35" t="str">
        <f>"-- "&amp;C934</f>
        <v>-- バックアップ_MML_紹介状モジュール_患者情報住所登録</v>
      </c>
    </row>
    <row r="935" spans="2:23" ht="18.75" customHeight="1">
      <c r="B935" s="43" t="s">
        <v>159</v>
      </c>
      <c r="C935" s="111" t="str">
        <f>C937&amp;"テーブルから組入れ条件の第一条件で絞り込んだ結果を"&amp;R937&amp;"テーブルに格納する。"</f>
        <v>MML_紹介状モジュール_患者情報住所テーブルから組入れ条件の第一条件で絞り込んだ結果をバックアップ_MML_紹介状モジュール_患者情報住所テーブルに格納する。</v>
      </c>
      <c r="D935" s="112"/>
      <c r="E935" s="112"/>
      <c r="F935" s="112"/>
      <c r="G935" s="112"/>
      <c r="H935" s="112"/>
      <c r="I935" s="112"/>
      <c r="J935" s="112"/>
      <c r="K935" s="112"/>
      <c r="L935" s="112"/>
      <c r="M935" s="112"/>
      <c r="N935" s="112"/>
      <c r="O935" s="112"/>
      <c r="P935" s="112"/>
      <c r="Q935" s="112"/>
      <c r="R935" s="112"/>
      <c r="S935" s="112"/>
      <c r="T935" s="112"/>
      <c r="U935" s="113"/>
      <c r="W935" s="35" t="str">
        <f>"-- "&amp;C935</f>
        <v>-- MML_紹介状モジュール_患者情報住所テーブルから組入れ条件の第一条件で絞り込んだ結果をバックアップ_MML_紹介状モジュール_患者情報住所テーブルに格納する。</v>
      </c>
    </row>
    <row r="937" spans="2:23" ht="18.75" customHeight="1">
      <c r="C937" s="102" t="s">
        <v>3674</v>
      </c>
      <c r="D937" s="103"/>
      <c r="E937" s="114" t="s">
        <v>162</v>
      </c>
      <c r="H937" s="36"/>
      <c r="I937" s="36"/>
      <c r="J937" s="36"/>
      <c r="K937" s="36"/>
      <c r="L937" s="36"/>
      <c r="M937" s="36"/>
      <c r="N937" s="36"/>
      <c r="O937" s="36"/>
      <c r="P937" s="36"/>
      <c r="Q937" s="36"/>
      <c r="R937" s="102" t="str">
        <f>"バックアップ_"&amp;SUBSTITUTE(C937,"_結合","")</f>
        <v>バックアップ_MML_紹介状モジュール_患者情報住所</v>
      </c>
      <c r="S937" s="103"/>
      <c r="T937" s="106" t="str">
        <f>エンティティ一覧!$O$2</f>
        <v>milscm_2023_009</v>
      </c>
    </row>
    <row r="938" spans="2:23" ht="18.75" customHeight="1">
      <c r="C938" s="104"/>
      <c r="D938" s="105"/>
      <c r="E938" s="115"/>
      <c r="F938" s="37"/>
      <c r="G938" s="38"/>
      <c r="H938" s="37"/>
      <c r="I938" s="37"/>
      <c r="J938" s="37"/>
      <c r="K938" s="37"/>
      <c r="L938" s="37"/>
      <c r="M938" s="37"/>
      <c r="N938" s="37"/>
      <c r="O938" s="37"/>
      <c r="P938" s="37"/>
      <c r="Q938" s="37"/>
      <c r="R938" s="104"/>
      <c r="S938" s="105"/>
      <c r="T938" s="107"/>
    </row>
    <row r="939" spans="2:23" ht="18.75" customHeight="1">
      <c r="F939" s="39"/>
      <c r="G939" s="40"/>
    </row>
    <row r="940" spans="2:23" ht="18.75" customHeight="1">
      <c r="C940" s="102" t="s">
        <v>3201</v>
      </c>
      <c r="D940" s="103"/>
      <c r="E940" s="106" t="str">
        <f>エンティティ一覧!$O$2</f>
        <v>milscm_2023_009</v>
      </c>
      <c r="G940" s="41"/>
    </row>
    <row r="941" spans="2:23" ht="18.75" customHeight="1">
      <c r="C941" s="104"/>
      <c r="D941" s="105"/>
      <c r="E941" s="107"/>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3675</v>
      </c>
      <c r="D945" s="90"/>
      <c r="W945" s="35" t="str">
        <f>"-- "&amp;B945&amp;" : "&amp;C945</f>
        <v>-- SQL_ID : 01_A6-59</v>
      </c>
    </row>
    <row r="946" spans="2:23" ht="18.75" customHeight="1">
      <c r="B946" s="43" t="s">
        <v>158</v>
      </c>
      <c r="C946" s="108" t="str">
        <f>R949&amp;"登録"</f>
        <v>バックアップ_MML_紹介状モジュール_処方箋登録</v>
      </c>
      <c r="D946" s="109"/>
      <c r="E946" s="109"/>
      <c r="F946" s="109"/>
      <c r="G946" s="109"/>
      <c r="H946" s="109"/>
      <c r="I946" s="109"/>
      <c r="J946" s="109"/>
      <c r="K946" s="109"/>
      <c r="L946" s="109"/>
      <c r="M946" s="109"/>
      <c r="N946" s="109"/>
      <c r="O946" s="109"/>
      <c r="P946" s="109"/>
      <c r="Q946" s="109"/>
      <c r="R946" s="109"/>
      <c r="S946" s="109"/>
      <c r="T946" s="109"/>
      <c r="U946" s="110"/>
      <c r="W946" s="35" t="str">
        <f>"-- "&amp;C946</f>
        <v>-- バックアップ_MML_紹介状モジュール_処方箋登録</v>
      </c>
    </row>
    <row r="947" spans="2:23" ht="18.75" customHeight="1">
      <c r="B947" s="43" t="s">
        <v>159</v>
      </c>
      <c r="C947" s="111" t="str">
        <f>C949&amp;"テーブルから組入れ条件の第一条件で絞り込んだ結果を"&amp;R949&amp;"テーブルに格納する。"</f>
        <v>MML_紹介状モジュール_処方箋テーブルから組入れ条件の第一条件で絞り込んだ結果をバックアップ_MML_紹介状モジュール_処方箋テーブルに格納する。</v>
      </c>
      <c r="D947" s="112"/>
      <c r="E947" s="112"/>
      <c r="F947" s="112"/>
      <c r="G947" s="112"/>
      <c r="H947" s="112"/>
      <c r="I947" s="112"/>
      <c r="J947" s="112"/>
      <c r="K947" s="112"/>
      <c r="L947" s="112"/>
      <c r="M947" s="112"/>
      <c r="N947" s="112"/>
      <c r="O947" s="112"/>
      <c r="P947" s="112"/>
      <c r="Q947" s="112"/>
      <c r="R947" s="112"/>
      <c r="S947" s="112"/>
      <c r="T947" s="112"/>
      <c r="U947" s="113"/>
      <c r="W947" s="35" t="str">
        <f>"-- "&amp;C947</f>
        <v>-- MML_紹介状モジュール_処方箋テーブルから組入れ条件の第一条件で絞り込んだ結果をバックアップ_MML_紹介状モジュール_処方箋テーブルに格納する。</v>
      </c>
    </row>
    <row r="949" spans="2:23" ht="18.75" customHeight="1">
      <c r="C949" s="102" t="s">
        <v>3676</v>
      </c>
      <c r="D949" s="103"/>
      <c r="E949" s="114" t="s">
        <v>162</v>
      </c>
      <c r="H949" s="36"/>
      <c r="I949" s="36"/>
      <c r="J949" s="36"/>
      <c r="K949" s="36"/>
      <c r="L949" s="36"/>
      <c r="M949" s="36"/>
      <c r="N949" s="36"/>
      <c r="O949" s="36"/>
      <c r="P949" s="36"/>
      <c r="Q949" s="36"/>
      <c r="R949" s="102" t="str">
        <f>"バックアップ_"&amp;SUBSTITUTE(C949,"_結合","")</f>
        <v>バックアップ_MML_紹介状モジュール_処方箋</v>
      </c>
      <c r="S949" s="103"/>
      <c r="T949" s="106" t="str">
        <f>エンティティ一覧!$O$2</f>
        <v>milscm_2023_009</v>
      </c>
    </row>
    <row r="950" spans="2:23" ht="18.75" customHeight="1">
      <c r="C950" s="104"/>
      <c r="D950" s="105"/>
      <c r="E950" s="115"/>
      <c r="F950" s="37"/>
      <c r="G950" s="38"/>
      <c r="H950" s="37"/>
      <c r="I950" s="37"/>
      <c r="J950" s="37"/>
      <c r="K950" s="37"/>
      <c r="L950" s="37"/>
      <c r="M950" s="37"/>
      <c r="N950" s="37"/>
      <c r="O950" s="37"/>
      <c r="P950" s="37"/>
      <c r="Q950" s="37"/>
      <c r="R950" s="104"/>
      <c r="S950" s="105"/>
      <c r="T950" s="107"/>
    </row>
    <row r="951" spans="2:23" ht="18.75" customHeight="1">
      <c r="F951" s="39"/>
      <c r="G951" s="40"/>
    </row>
    <row r="952" spans="2:23" ht="18.75" customHeight="1">
      <c r="C952" s="102" t="s">
        <v>3201</v>
      </c>
      <c r="D952" s="103"/>
      <c r="E952" s="106" t="str">
        <f>エンティティ一覧!$O$2</f>
        <v>milscm_2023_009</v>
      </c>
      <c r="G952" s="41"/>
    </row>
    <row r="953" spans="2:23" ht="18.75" customHeight="1">
      <c r="C953" s="104"/>
      <c r="D953" s="105"/>
      <c r="E953" s="107"/>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3677</v>
      </c>
      <c r="D957" s="90"/>
      <c r="W957" s="35" t="str">
        <f>"-- "&amp;B957&amp;" : "&amp;C957</f>
        <v>-- SQL_ID : 01_A6-60</v>
      </c>
    </row>
    <row r="958" spans="2:23" ht="18.75" customHeight="1">
      <c r="B958" s="43" t="s">
        <v>158</v>
      </c>
      <c r="C958" s="108" t="str">
        <f>R961&amp;"登録"</f>
        <v>バックアップ_MML_紹介状モジュール_処方箋投薬登録</v>
      </c>
      <c r="D958" s="109"/>
      <c r="E958" s="109"/>
      <c r="F958" s="109"/>
      <c r="G958" s="109"/>
      <c r="H958" s="109"/>
      <c r="I958" s="109"/>
      <c r="J958" s="109"/>
      <c r="K958" s="109"/>
      <c r="L958" s="109"/>
      <c r="M958" s="109"/>
      <c r="N958" s="109"/>
      <c r="O958" s="109"/>
      <c r="P958" s="109"/>
      <c r="Q958" s="109"/>
      <c r="R958" s="109"/>
      <c r="S958" s="109"/>
      <c r="T958" s="109"/>
      <c r="U958" s="110"/>
      <c r="W958" s="35" t="str">
        <f>"-- "&amp;C958</f>
        <v>-- バックアップ_MML_紹介状モジュール_処方箋投薬登録</v>
      </c>
    </row>
    <row r="959" spans="2:23" ht="18.75" customHeight="1">
      <c r="B959" s="43" t="s">
        <v>159</v>
      </c>
      <c r="C959" s="111" t="str">
        <f>C961&amp;"テーブルから組入れ条件の第一条件で絞り込んだ結果を"&amp;R961&amp;"テーブルに格納する。"</f>
        <v>MML_紹介状モジュール_処方箋投薬テーブルから組入れ条件の第一条件で絞り込んだ結果をバックアップ_MML_紹介状モジュール_処方箋投薬テーブルに格納する。</v>
      </c>
      <c r="D959" s="112"/>
      <c r="E959" s="112"/>
      <c r="F959" s="112"/>
      <c r="G959" s="112"/>
      <c r="H959" s="112"/>
      <c r="I959" s="112"/>
      <c r="J959" s="112"/>
      <c r="K959" s="112"/>
      <c r="L959" s="112"/>
      <c r="M959" s="112"/>
      <c r="N959" s="112"/>
      <c r="O959" s="112"/>
      <c r="P959" s="112"/>
      <c r="Q959" s="112"/>
      <c r="R959" s="112"/>
      <c r="S959" s="112"/>
      <c r="T959" s="112"/>
      <c r="U959" s="113"/>
      <c r="W959" s="35" t="str">
        <f>"-- "&amp;C959</f>
        <v>-- MML_紹介状モジュール_処方箋投薬テーブルから組入れ条件の第一条件で絞り込んだ結果をバックアップ_MML_紹介状モジュール_処方箋投薬テーブルに格納する。</v>
      </c>
    </row>
    <row r="961" spans="2:23" ht="18.75" customHeight="1">
      <c r="C961" s="102" t="s">
        <v>3678</v>
      </c>
      <c r="D961" s="103"/>
      <c r="E961" s="114" t="s">
        <v>162</v>
      </c>
      <c r="H961" s="36"/>
      <c r="I961" s="36"/>
      <c r="J961" s="36"/>
      <c r="K961" s="36"/>
      <c r="L961" s="36"/>
      <c r="M961" s="36"/>
      <c r="N961" s="36"/>
      <c r="O961" s="36"/>
      <c r="P961" s="36"/>
      <c r="Q961" s="36"/>
      <c r="R961" s="102" t="str">
        <f>"バックアップ_"&amp;SUBSTITUTE(C961,"_結合","")</f>
        <v>バックアップ_MML_紹介状モジュール_処方箋投薬</v>
      </c>
      <c r="S961" s="103"/>
      <c r="T961" s="106" t="str">
        <f>エンティティ一覧!$O$2</f>
        <v>milscm_2023_009</v>
      </c>
    </row>
    <row r="962" spans="2:23" ht="18.75" customHeight="1">
      <c r="C962" s="104"/>
      <c r="D962" s="105"/>
      <c r="E962" s="115"/>
      <c r="F962" s="37"/>
      <c r="G962" s="38"/>
      <c r="H962" s="37"/>
      <c r="I962" s="37"/>
      <c r="J962" s="37"/>
      <c r="K962" s="37"/>
      <c r="L962" s="37"/>
      <c r="M962" s="37"/>
      <c r="N962" s="37"/>
      <c r="O962" s="37"/>
      <c r="P962" s="37"/>
      <c r="Q962" s="37"/>
      <c r="R962" s="104"/>
      <c r="S962" s="105"/>
      <c r="T962" s="107"/>
    </row>
    <row r="963" spans="2:23" ht="18.75" customHeight="1">
      <c r="F963" s="39"/>
      <c r="G963" s="40"/>
    </row>
    <row r="964" spans="2:23" ht="18.75" customHeight="1">
      <c r="C964" s="102" t="s">
        <v>3201</v>
      </c>
      <c r="D964" s="103"/>
      <c r="E964" s="106" t="str">
        <f>エンティティ一覧!$O$2</f>
        <v>milscm_2023_009</v>
      </c>
      <c r="G964" s="41"/>
    </row>
    <row r="965" spans="2:23" ht="18.75" customHeight="1">
      <c r="C965" s="104"/>
      <c r="D965" s="105"/>
      <c r="E965" s="107"/>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3679</v>
      </c>
      <c r="D969" s="90"/>
      <c r="W969" s="35" t="str">
        <f>"-- "&amp;B969&amp;" : "&amp;C969</f>
        <v>-- SQL_ID : 01_A6-61</v>
      </c>
    </row>
    <row r="970" spans="2:23" ht="18.75" customHeight="1">
      <c r="B970" s="43" t="s">
        <v>158</v>
      </c>
      <c r="C970" s="108" t="str">
        <f>R973&amp;"登録"</f>
        <v>バックアップ_MML_紹介状モジュール_処方箋薬剤登録</v>
      </c>
      <c r="D970" s="109"/>
      <c r="E970" s="109"/>
      <c r="F970" s="109"/>
      <c r="G970" s="109"/>
      <c r="H970" s="109"/>
      <c r="I970" s="109"/>
      <c r="J970" s="109"/>
      <c r="K970" s="109"/>
      <c r="L970" s="109"/>
      <c r="M970" s="109"/>
      <c r="N970" s="109"/>
      <c r="O970" s="109"/>
      <c r="P970" s="109"/>
      <c r="Q970" s="109"/>
      <c r="R970" s="109"/>
      <c r="S970" s="109"/>
      <c r="T970" s="109"/>
      <c r="U970" s="110"/>
      <c r="W970" s="35" t="str">
        <f>"-- "&amp;C970</f>
        <v>-- バックアップ_MML_紹介状モジュール_処方箋薬剤登録</v>
      </c>
    </row>
    <row r="971" spans="2:23" ht="18.75" customHeight="1">
      <c r="B971" s="43" t="s">
        <v>159</v>
      </c>
      <c r="C971" s="111" t="str">
        <f>C973&amp;"テーブルから組入れ条件の第一条件で絞り込んだ結果を"&amp;R973&amp;"テーブルに格納する。"</f>
        <v>MML_紹介状モジュール_処方箋薬剤テーブルから組入れ条件の第一条件で絞り込んだ結果をバックアップ_MML_紹介状モジュール_処方箋薬剤テーブルに格納する。</v>
      </c>
      <c r="D971" s="112"/>
      <c r="E971" s="112"/>
      <c r="F971" s="112"/>
      <c r="G971" s="112"/>
      <c r="H971" s="112"/>
      <c r="I971" s="112"/>
      <c r="J971" s="112"/>
      <c r="K971" s="112"/>
      <c r="L971" s="112"/>
      <c r="M971" s="112"/>
      <c r="N971" s="112"/>
      <c r="O971" s="112"/>
      <c r="P971" s="112"/>
      <c r="Q971" s="112"/>
      <c r="R971" s="112"/>
      <c r="S971" s="112"/>
      <c r="T971" s="112"/>
      <c r="U971" s="113"/>
      <c r="W971" s="35" t="str">
        <f>"-- "&amp;C971</f>
        <v>-- MML_紹介状モジュール_処方箋薬剤テーブルから組入れ条件の第一条件で絞り込んだ結果をバックアップ_MML_紹介状モジュール_処方箋薬剤テーブルに格納する。</v>
      </c>
    </row>
    <row r="973" spans="2:23" ht="18.75" customHeight="1">
      <c r="C973" s="102" t="s">
        <v>3680</v>
      </c>
      <c r="D973" s="103"/>
      <c r="E973" s="114" t="s">
        <v>162</v>
      </c>
      <c r="H973" s="36"/>
      <c r="I973" s="36"/>
      <c r="J973" s="36"/>
      <c r="K973" s="36"/>
      <c r="L973" s="36"/>
      <c r="M973" s="36"/>
      <c r="N973" s="36"/>
      <c r="O973" s="36"/>
      <c r="P973" s="36"/>
      <c r="Q973" s="36"/>
      <c r="R973" s="102" t="str">
        <f>"バックアップ_"&amp;SUBSTITUTE(C973,"_結合","")</f>
        <v>バックアップ_MML_紹介状モジュール_処方箋薬剤</v>
      </c>
      <c r="S973" s="103"/>
      <c r="T973" s="106" t="str">
        <f>エンティティ一覧!$O$2</f>
        <v>milscm_2023_009</v>
      </c>
    </row>
    <row r="974" spans="2:23" ht="18.75" customHeight="1">
      <c r="C974" s="104"/>
      <c r="D974" s="105"/>
      <c r="E974" s="115"/>
      <c r="F974" s="37"/>
      <c r="G974" s="38"/>
      <c r="H974" s="37"/>
      <c r="I974" s="37"/>
      <c r="J974" s="37"/>
      <c r="K974" s="37"/>
      <c r="L974" s="37"/>
      <c r="M974" s="37"/>
      <c r="N974" s="37"/>
      <c r="O974" s="37"/>
      <c r="P974" s="37"/>
      <c r="Q974" s="37"/>
      <c r="R974" s="104"/>
      <c r="S974" s="105"/>
      <c r="T974" s="107"/>
    </row>
    <row r="975" spans="2:23" ht="18.75" customHeight="1">
      <c r="F975" s="39"/>
      <c r="G975" s="40"/>
    </row>
    <row r="976" spans="2:23" ht="18.75" customHeight="1">
      <c r="C976" s="102" t="s">
        <v>3201</v>
      </c>
      <c r="D976" s="103"/>
      <c r="E976" s="106" t="str">
        <f>エンティティ一覧!$O$2</f>
        <v>milscm_2023_009</v>
      </c>
      <c r="G976" s="41"/>
    </row>
    <row r="977" spans="2:23" ht="18.75" customHeight="1">
      <c r="C977" s="104"/>
      <c r="D977" s="105"/>
      <c r="E977" s="107"/>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3681</v>
      </c>
      <c r="D981" s="90"/>
      <c r="W981" s="35" t="str">
        <f>"-- "&amp;B981&amp;" : "&amp;C981</f>
        <v>-- SQL_ID : 01_A6-62</v>
      </c>
    </row>
    <row r="982" spans="2:23" ht="18.75" customHeight="1">
      <c r="B982" s="43" t="s">
        <v>158</v>
      </c>
      <c r="C982" s="108" t="str">
        <f>R985&amp;"登録"</f>
        <v>バックアップ_MML_紹介状モジュール_臨床サマリー情報経過記録登録</v>
      </c>
      <c r="D982" s="109"/>
      <c r="E982" s="109"/>
      <c r="F982" s="109"/>
      <c r="G982" s="109"/>
      <c r="H982" s="109"/>
      <c r="I982" s="109"/>
      <c r="J982" s="109"/>
      <c r="K982" s="109"/>
      <c r="L982" s="109"/>
      <c r="M982" s="109"/>
      <c r="N982" s="109"/>
      <c r="O982" s="109"/>
      <c r="P982" s="109"/>
      <c r="Q982" s="109"/>
      <c r="R982" s="109"/>
      <c r="S982" s="109"/>
      <c r="T982" s="109"/>
      <c r="U982" s="110"/>
      <c r="W982" s="35" t="str">
        <f>"-- "&amp;C982</f>
        <v>-- バックアップ_MML_紹介状モジュール_臨床サマリー情報経過記録登録</v>
      </c>
    </row>
    <row r="983" spans="2:23" ht="18.75" customHeight="1">
      <c r="B983" s="43" t="s">
        <v>159</v>
      </c>
      <c r="C983" s="111" t="str">
        <f>C985&amp;"テーブルから組入れ条件の第一条件で絞り込んだ結果を"&amp;R985&amp;"テーブルに格納する。"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983" s="112"/>
      <c r="E983" s="112"/>
      <c r="F983" s="112"/>
      <c r="G983" s="112"/>
      <c r="H983" s="112"/>
      <c r="I983" s="112"/>
      <c r="J983" s="112"/>
      <c r="K983" s="112"/>
      <c r="L983" s="112"/>
      <c r="M983" s="112"/>
      <c r="N983" s="112"/>
      <c r="O983" s="112"/>
      <c r="P983" s="112"/>
      <c r="Q983" s="112"/>
      <c r="R983" s="112"/>
      <c r="S983" s="112"/>
      <c r="T983" s="112"/>
      <c r="U983" s="113"/>
      <c r="W983" s="35" t="str">
        <f>"-- "&amp;C983</f>
        <v>-- MML_紹介状モジュール_臨床サマリー情報経過記録テーブルから組入れ条件の第一条件で絞り込んだ結果をバックアップ_MML_紹介状モジュール_臨床サマリー情報経過記録テーブルに格納する。</v>
      </c>
    </row>
    <row r="985" spans="2:23" ht="18.75" customHeight="1">
      <c r="C985" s="102" t="s">
        <v>3682</v>
      </c>
      <c r="D985" s="103"/>
      <c r="E985" s="114" t="s">
        <v>162</v>
      </c>
      <c r="H985" s="36"/>
      <c r="I985" s="36"/>
      <c r="J985" s="36"/>
      <c r="K985" s="36"/>
      <c r="L985" s="36"/>
      <c r="M985" s="36"/>
      <c r="N985" s="36"/>
      <c r="O985" s="36"/>
      <c r="P985" s="36"/>
      <c r="Q985" s="36"/>
      <c r="R985" s="116" t="str">
        <f>"バックアップ_"&amp;SUBSTITUTE(C985,"_結合","")</f>
        <v>バックアップ_MML_紹介状モジュール_臨床サマリー情報経過記録</v>
      </c>
      <c r="S985" s="117"/>
      <c r="T985" s="106" t="str">
        <f>エンティティ一覧!$O$2</f>
        <v>milscm_2023_009</v>
      </c>
    </row>
    <row r="986" spans="2:23" ht="18.75" customHeight="1">
      <c r="C986" s="104"/>
      <c r="D986" s="105"/>
      <c r="E986" s="115"/>
      <c r="F986" s="37"/>
      <c r="G986" s="38"/>
      <c r="H986" s="37"/>
      <c r="I986" s="37"/>
      <c r="J986" s="37"/>
      <c r="K986" s="37"/>
      <c r="L986" s="37"/>
      <c r="M986" s="37"/>
      <c r="N986" s="37"/>
      <c r="O986" s="37"/>
      <c r="P986" s="37"/>
      <c r="Q986" s="37"/>
      <c r="R986" s="118"/>
      <c r="S986" s="119"/>
      <c r="T986" s="107"/>
    </row>
    <row r="987" spans="2:23" ht="18.75" customHeight="1">
      <c r="F987" s="39"/>
      <c r="G987" s="40"/>
    </row>
    <row r="988" spans="2:23" ht="18.75" customHeight="1">
      <c r="C988" s="102" t="s">
        <v>3201</v>
      </c>
      <c r="D988" s="103"/>
      <c r="E988" s="106" t="str">
        <f>エンティティ一覧!$O$2</f>
        <v>milscm_2023_009</v>
      </c>
      <c r="G988" s="41"/>
    </row>
    <row r="989" spans="2:23" ht="18.75" customHeight="1">
      <c r="C989" s="104"/>
      <c r="D989" s="105"/>
      <c r="E989" s="107"/>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3683</v>
      </c>
      <c r="D993" s="90"/>
      <c r="W993" s="35" t="str">
        <f>"-- "&amp;B993&amp;" : "&amp;C993</f>
        <v>-- SQL_ID : 01_A6-63</v>
      </c>
    </row>
    <row r="994" spans="2:23" ht="18.75" customHeight="1">
      <c r="B994" s="43" t="s">
        <v>158</v>
      </c>
      <c r="C994" s="108" t="str">
        <f>R997&amp;"登録"</f>
        <v>バックアップ_MML_紹介状モジュール_診療科情報登録</v>
      </c>
      <c r="D994" s="109"/>
      <c r="E994" s="109"/>
      <c r="F994" s="109"/>
      <c r="G994" s="109"/>
      <c r="H994" s="109"/>
      <c r="I994" s="109"/>
      <c r="J994" s="109"/>
      <c r="K994" s="109"/>
      <c r="L994" s="109"/>
      <c r="M994" s="109"/>
      <c r="N994" s="109"/>
      <c r="O994" s="109"/>
      <c r="P994" s="109"/>
      <c r="Q994" s="109"/>
      <c r="R994" s="109"/>
      <c r="S994" s="109"/>
      <c r="T994" s="109"/>
      <c r="U994" s="110"/>
      <c r="W994" s="35" t="str">
        <f>"-- "&amp;C994</f>
        <v>-- バックアップ_MML_紹介状モジュール_診療科情報登録</v>
      </c>
    </row>
    <row r="995" spans="2:23" ht="18.75" customHeight="1">
      <c r="B995" s="43" t="s">
        <v>159</v>
      </c>
      <c r="C995" s="111" t="str">
        <f>C997&amp;"テーブルから組入れ条件の第一条件で絞り込んだ結果を"&amp;R997&amp;"テーブルに格納する。"</f>
        <v>MML_紹介状モジュール_診療科情報テーブルから組入れ条件の第一条件で絞り込んだ結果をバックアップ_MML_紹介状モジュール_診療科情報テーブルに格納する。</v>
      </c>
      <c r="D995" s="112"/>
      <c r="E995" s="112"/>
      <c r="F995" s="112"/>
      <c r="G995" s="112"/>
      <c r="H995" s="112"/>
      <c r="I995" s="112"/>
      <c r="J995" s="112"/>
      <c r="K995" s="112"/>
      <c r="L995" s="112"/>
      <c r="M995" s="112"/>
      <c r="N995" s="112"/>
      <c r="O995" s="112"/>
      <c r="P995" s="112"/>
      <c r="Q995" s="112"/>
      <c r="R995" s="112"/>
      <c r="S995" s="112"/>
      <c r="T995" s="112"/>
      <c r="U995" s="113"/>
      <c r="W995" s="35" t="str">
        <f>"-- "&amp;C995</f>
        <v>-- MML_紹介状モジュール_診療科情報テーブルから組入れ条件の第一条件で絞り込んだ結果をバックアップ_MML_紹介状モジュール_診療科情報テーブルに格納する。</v>
      </c>
    </row>
    <row r="997" spans="2:23" ht="18.75" customHeight="1">
      <c r="C997" s="102" t="s">
        <v>3684</v>
      </c>
      <c r="D997" s="103"/>
      <c r="E997" s="114" t="s">
        <v>162</v>
      </c>
      <c r="H997" s="36"/>
      <c r="I997" s="36"/>
      <c r="J997" s="36"/>
      <c r="K997" s="36"/>
      <c r="L997" s="36"/>
      <c r="M997" s="36"/>
      <c r="N997" s="36"/>
      <c r="O997" s="36"/>
      <c r="P997" s="36"/>
      <c r="Q997" s="36"/>
      <c r="R997" s="102" t="str">
        <f>"バックアップ_"&amp;SUBSTITUTE(C997,"_結合","")</f>
        <v>バックアップ_MML_紹介状モジュール_診療科情報</v>
      </c>
      <c r="S997" s="103"/>
      <c r="T997" s="106" t="str">
        <f>エンティティ一覧!$O$2</f>
        <v>milscm_2023_009</v>
      </c>
    </row>
    <row r="998" spans="2:23" ht="18.75" customHeight="1">
      <c r="C998" s="104"/>
      <c r="D998" s="105"/>
      <c r="E998" s="115"/>
      <c r="F998" s="37"/>
      <c r="G998" s="38"/>
      <c r="H998" s="37"/>
      <c r="I998" s="37"/>
      <c r="J998" s="37"/>
      <c r="K998" s="37"/>
      <c r="L998" s="37"/>
      <c r="M998" s="37"/>
      <c r="N998" s="37"/>
      <c r="O998" s="37"/>
      <c r="P998" s="37"/>
      <c r="Q998" s="37"/>
      <c r="R998" s="104"/>
      <c r="S998" s="105"/>
      <c r="T998" s="107"/>
    </row>
    <row r="999" spans="2:23" ht="18.75" customHeight="1">
      <c r="F999" s="39"/>
      <c r="G999" s="40"/>
    </row>
    <row r="1000" spans="2:23" ht="18.75" customHeight="1">
      <c r="C1000" s="102" t="s">
        <v>3201</v>
      </c>
      <c r="D1000" s="103"/>
      <c r="E1000" s="106" t="str">
        <f>エンティティ一覧!$O$2</f>
        <v>milscm_2023_009</v>
      </c>
      <c r="G1000" s="41"/>
    </row>
    <row r="1001" spans="2:23" ht="18.75" customHeight="1">
      <c r="C1001" s="104"/>
      <c r="D1001" s="105"/>
      <c r="E1001" s="107"/>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3192</v>
      </c>
      <c r="D1005" s="50"/>
      <c r="W1005" s="35" t="str">
        <f>"-- "&amp;B1005&amp;" : "&amp;C1005</f>
        <v>-- SQL_ID : 01_C1-01</v>
      </c>
    </row>
    <row r="1006" spans="2:23" ht="18.75" customHeight="1">
      <c r="B1006" s="43" t="s">
        <v>158</v>
      </c>
      <c r="C1006" s="108" t="str">
        <f>R1009&amp;"登録"</f>
        <v>バックアップ_DPC調査データ_Dファイル登録</v>
      </c>
      <c r="D1006" s="109"/>
      <c r="E1006" s="109"/>
      <c r="F1006" s="109"/>
      <c r="G1006" s="109"/>
      <c r="H1006" s="109"/>
      <c r="I1006" s="109"/>
      <c r="J1006" s="109"/>
      <c r="K1006" s="109"/>
      <c r="L1006" s="109"/>
      <c r="M1006" s="109"/>
      <c r="N1006" s="109"/>
      <c r="O1006" s="109"/>
      <c r="P1006" s="109"/>
      <c r="Q1006" s="109"/>
      <c r="R1006" s="109"/>
      <c r="S1006" s="109"/>
      <c r="T1006" s="109"/>
      <c r="U1006" s="110"/>
      <c r="W1006" s="35" t="str">
        <f>"-- "&amp;C1006</f>
        <v>-- バックアップ_DPC調査データ_Dファイル登録</v>
      </c>
    </row>
    <row r="1007" spans="2:23" ht="18.75" customHeight="1">
      <c r="B1007" s="43" t="s">
        <v>159</v>
      </c>
      <c r="C1007" s="111" t="str">
        <f>C1009&amp;"テーブルから組入れ条件の第一条件で絞り込んだ結果を"&amp;R1009&amp;"テーブルに格納する。"</f>
        <v>DPC調査データ_Dファイル_結合テーブルから組入れ条件の第一条件で絞り込んだ結果をバックアップ_DPC調査データ_Dファイルテーブルに格納する。</v>
      </c>
      <c r="D1007" s="112"/>
      <c r="E1007" s="112"/>
      <c r="F1007" s="112"/>
      <c r="G1007" s="112"/>
      <c r="H1007" s="112"/>
      <c r="I1007" s="112"/>
      <c r="J1007" s="112"/>
      <c r="K1007" s="112"/>
      <c r="L1007" s="112"/>
      <c r="M1007" s="112"/>
      <c r="N1007" s="112"/>
      <c r="O1007" s="112"/>
      <c r="P1007" s="112"/>
      <c r="Q1007" s="112"/>
      <c r="R1007" s="112"/>
      <c r="S1007" s="112"/>
      <c r="T1007" s="112"/>
      <c r="U1007" s="113"/>
      <c r="W1007" s="35" t="str">
        <f>"-- "&amp;C1007</f>
        <v>-- DPC調査データ_Dファイル_結合テーブルから組入れ条件の第一条件で絞り込んだ結果をバックアップ_DPC調査データ_Dファイルテーブルに格納する。</v>
      </c>
    </row>
    <row r="1009" spans="2:23" ht="18.75" customHeight="1">
      <c r="C1009" s="102" t="s">
        <v>166</v>
      </c>
      <c r="D1009" s="103"/>
      <c r="E1009" s="114" t="s">
        <v>162</v>
      </c>
      <c r="H1009" s="36"/>
      <c r="I1009" s="36"/>
      <c r="J1009" s="36"/>
      <c r="K1009" s="36"/>
      <c r="L1009" s="36"/>
      <c r="M1009" s="36"/>
      <c r="N1009" s="36"/>
      <c r="O1009" s="36"/>
      <c r="P1009" s="36"/>
      <c r="Q1009" s="36"/>
      <c r="R1009" s="102" t="str">
        <f>"バックアップ_"&amp;SUBSTITUTE(C1009,"_結合","")</f>
        <v>バックアップ_DPC調査データ_Dファイル</v>
      </c>
      <c r="S1009" s="103"/>
      <c r="T1009" s="106" t="str">
        <f>エンティティ一覧!$O$2</f>
        <v>milscm_2023_009</v>
      </c>
    </row>
    <row r="1010" spans="2:23" ht="18.75" customHeight="1">
      <c r="C1010" s="104"/>
      <c r="D1010" s="105"/>
      <c r="E1010" s="115"/>
      <c r="F1010" s="37"/>
      <c r="G1010" s="38"/>
      <c r="H1010" s="37"/>
      <c r="I1010" s="37"/>
      <c r="J1010" s="37"/>
      <c r="K1010" s="37"/>
      <c r="L1010" s="37"/>
      <c r="M1010" s="37"/>
      <c r="N1010" s="37"/>
      <c r="O1010" s="37"/>
      <c r="P1010" s="37"/>
      <c r="Q1010" s="37"/>
      <c r="R1010" s="104"/>
      <c r="S1010" s="105"/>
      <c r="T1010" s="107"/>
    </row>
    <row r="1011" spans="2:23" ht="18.75" customHeight="1">
      <c r="F1011" s="39"/>
      <c r="G1011" s="40"/>
    </row>
    <row r="1012" spans="2:23" ht="18.75" customHeight="1">
      <c r="C1012" s="102" t="s">
        <v>3201</v>
      </c>
      <c r="D1012" s="103"/>
      <c r="E1012" s="106" t="str">
        <f>エンティティ一覧!$O$2</f>
        <v>milscm_2023_009</v>
      </c>
      <c r="G1012" s="41"/>
    </row>
    <row r="1013" spans="2:23" ht="18.75" customHeight="1">
      <c r="C1013" s="104"/>
      <c r="D1013" s="105"/>
      <c r="E1013" s="107"/>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3193</v>
      </c>
      <c r="D1017" s="50"/>
      <c r="W1017" s="35" t="str">
        <f>"-- "&amp;B1017&amp;" : "&amp;C1017</f>
        <v>-- SQL_ID : 01_C1-02</v>
      </c>
    </row>
    <row r="1018" spans="2:23" ht="18.75" customHeight="1">
      <c r="B1018" s="43" t="s">
        <v>158</v>
      </c>
      <c r="C1018" s="108" t="str">
        <f>R1021&amp;"登録"</f>
        <v>バックアップ_DPC調査データ_入院EF統合ファイル登録</v>
      </c>
      <c r="D1018" s="109"/>
      <c r="E1018" s="109"/>
      <c r="F1018" s="109"/>
      <c r="G1018" s="109"/>
      <c r="H1018" s="109"/>
      <c r="I1018" s="109"/>
      <c r="J1018" s="109"/>
      <c r="K1018" s="109"/>
      <c r="L1018" s="109"/>
      <c r="M1018" s="109"/>
      <c r="N1018" s="109"/>
      <c r="O1018" s="109"/>
      <c r="P1018" s="109"/>
      <c r="Q1018" s="109"/>
      <c r="R1018" s="109"/>
      <c r="S1018" s="109"/>
      <c r="T1018" s="109"/>
      <c r="U1018" s="110"/>
      <c r="W1018" s="35" t="str">
        <f>"-- "&amp;C1018</f>
        <v>-- バックアップ_DPC調査データ_入院EF統合ファイル登録</v>
      </c>
    </row>
    <row r="1019" spans="2:23" ht="18.75" customHeight="1">
      <c r="B1019" s="43" t="s">
        <v>159</v>
      </c>
      <c r="C1019" s="111" t="str">
        <f>C1021&amp;"テーブルから組入れ条件の第一条件で絞り込んだ結果を"&amp;R1021&amp;"テーブルに格納する。"</f>
        <v>DPC調査データ_入院EF統合ファイル_結合テーブルから組入れ条件の第一条件で絞り込んだ結果をバックアップ_DPC調査データ_入院EF統合ファイルテーブルに格納する。</v>
      </c>
      <c r="D1019" s="112"/>
      <c r="E1019" s="112"/>
      <c r="F1019" s="112"/>
      <c r="G1019" s="112"/>
      <c r="H1019" s="112"/>
      <c r="I1019" s="112"/>
      <c r="J1019" s="112"/>
      <c r="K1019" s="112"/>
      <c r="L1019" s="112"/>
      <c r="M1019" s="112"/>
      <c r="N1019" s="112"/>
      <c r="O1019" s="112"/>
      <c r="P1019" s="112"/>
      <c r="Q1019" s="112"/>
      <c r="R1019" s="112"/>
      <c r="S1019" s="112"/>
      <c r="T1019" s="112"/>
      <c r="U1019" s="113"/>
      <c r="W1019" s="35" t="str">
        <f>"-- "&amp;C1019</f>
        <v>-- DPC調査データ_入院EF統合ファイル_結合テーブルから組入れ条件の第一条件で絞り込んだ結果をバックアップ_DPC調査データ_入院EF統合ファイルテーブルに格納する。</v>
      </c>
    </row>
    <row r="1021" spans="2:23" ht="18.75" customHeight="1">
      <c r="C1021" s="102" t="s">
        <v>168</v>
      </c>
      <c r="D1021" s="103"/>
      <c r="E1021" s="114" t="s">
        <v>162</v>
      </c>
      <c r="H1021" s="36"/>
      <c r="I1021" s="36"/>
      <c r="J1021" s="36"/>
      <c r="K1021" s="36"/>
      <c r="L1021" s="36"/>
      <c r="M1021" s="36"/>
      <c r="N1021" s="36"/>
      <c r="O1021" s="36"/>
      <c r="P1021" s="36"/>
      <c r="Q1021" s="36"/>
      <c r="R1021" s="102" t="str">
        <f>"バックアップ_"&amp;SUBSTITUTE(C1021,"_結合","")</f>
        <v>バックアップ_DPC調査データ_入院EF統合ファイル</v>
      </c>
      <c r="S1021" s="103"/>
      <c r="T1021" s="106" t="str">
        <f>エンティティ一覧!$O$2</f>
        <v>milscm_2023_009</v>
      </c>
    </row>
    <row r="1022" spans="2:23" ht="18.75" customHeight="1">
      <c r="C1022" s="104"/>
      <c r="D1022" s="105"/>
      <c r="E1022" s="115"/>
      <c r="F1022" s="37"/>
      <c r="G1022" s="38"/>
      <c r="H1022" s="37"/>
      <c r="I1022" s="37"/>
      <c r="J1022" s="37"/>
      <c r="K1022" s="37"/>
      <c r="L1022" s="37"/>
      <c r="M1022" s="37"/>
      <c r="N1022" s="37"/>
      <c r="O1022" s="37"/>
      <c r="P1022" s="37"/>
      <c r="Q1022" s="37"/>
      <c r="R1022" s="104"/>
      <c r="S1022" s="105"/>
      <c r="T1022" s="107"/>
    </row>
    <row r="1023" spans="2:23" ht="18.75" customHeight="1">
      <c r="F1023" s="39"/>
      <c r="G1023" s="40"/>
    </row>
    <row r="1024" spans="2:23" ht="18.75" customHeight="1">
      <c r="C1024" s="102" t="s">
        <v>3201</v>
      </c>
      <c r="D1024" s="103"/>
      <c r="E1024" s="106" t="str">
        <f>エンティティ一覧!$O$2</f>
        <v>milscm_2023_009</v>
      </c>
      <c r="G1024" s="41"/>
    </row>
    <row r="1025" spans="2:23" ht="18.75" customHeight="1">
      <c r="C1025" s="104"/>
      <c r="D1025" s="105"/>
      <c r="E1025" s="107"/>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3194</v>
      </c>
      <c r="D1029" s="50"/>
      <c r="W1029" s="35" t="str">
        <f>"-- "&amp;B1029&amp;" : "&amp;C1029</f>
        <v>-- SQL_ID : 01_C1-03</v>
      </c>
    </row>
    <row r="1030" spans="2:23" ht="18.75" customHeight="1">
      <c r="B1030" s="43" t="s">
        <v>158</v>
      </c>
      <c r="C1030" s="108" t="str">
        <f>R1033&amp;"登録"</f>
        <v>バックアップ_DPC調査データ_外来EF統合ファイル登録</v>
      </c>
      <c r="D1030" s="109"/>
      <c r="E1030" s="109"/>
      <c r="F1030" s="109"/>
      <c r="G1030" s="109"/>
      <c r="H1030" s="109"/>
      <c r="I1030" s="109"/>
      <c r="J1030" s="109"/>
      <c r="K1030" s="109"/>
      <c r="L1030" s="109"/>
      <c r="M1030" s="109"/>
      <c r="N1030" s="109"/>
      <c r="O1030" s="109"/>
      <c r="P1030" s="109"/>
      <c r="Q1030" s="109"/>
      <c r="R1030" s="109"/>
      <c r="S1030" s="109"/>
      <c r="T1030" s="109"/>
      <c r="U1030" s="110"/>
      <c r="W1030" s="35" t="str">
        <f>"-- "&amp;C1030</f>
        <v>-- バックアップ_DPC調査データ_外来EF統合ファイル登録</v>
      </c>
    </row>
    <row r="1031" spans="2:23" ht="18.75" customHeight="1">
      <c r="B1031" s="43" t="s">
        <v>159</v>
      </c>
      <c r="C1031" s="111" t="str">
        <f>C1033&amp;"テーブルから組入れ条件の第一条件で絞り込んだ結果を"&amp;R1033&amp;"テーブルに格納する。"</f>
        <v>DPC調査データ_外来EF統合ファイル_結合テーブルから組入れ条件の第一条件で絞り込んだ結果をバックアップ_DPC調査データ_外来EF統合ファイルテーブルに格納する。</v>
      </c>
      <c r="D1031" s="112"/>
      <c r="E1031" s="112"/>
      <c r="F1031" s="112"/>
      <c r="G1031" s="112"/>
      <c r="H1031" s="112"/>
      <c r="I1031" s="112"/>
      <c r="J1031" s="112"/>
      <c r="K1031" s="112"/>
      <c r="L1031" s="112"/>
      <c r="M1031" s="112"/>
      <c r="N1031" s="112"/>
      <c r="O1031" s="112"/>
      <c r="P1031" s="112"/>
      <c r="Q1031" s="112"/>
      <c r="R1031" s="112"/>
      <c r="S1031" s="112"/>
      <c r="T1031" s="112"/>
      <c r="U1031" s="113"/>
      <c r="W1031" s="35" t="str">
        <f>"-- "&amp;C1031</f>
        <v>-- DPC調査データ_外来EF統合ファイル_結合テーブルから組入れ条件の第一条件で絞り込んだ結果をバックアップ_DPC調査データ_外来EF統合ファイルテーブルに格納する。</v>
      </c>
    </row>
    <row r="1033" spans="2:23" ht="18.75" customHeight="1">
      <c r="C1033" s="102" t="s">
        <v>169</v>
      </c>
      <c r="D1033" s="103"/>
      <c r="E1033" s="114" t="s">
        <v>162</v>
      </c>
      <c r="H1033" s="36"/>
      <c r="I1033" s="36"/>
      <c r="J1033" s="36"/>
      <c r="K1033" s="36"/>
      <c r="L1033" s="36"/>
      <c r="M1033" s="36"/>
      <c r="N1033" s="36"/>
      <c r="O1033" s="36"/>
      <c r="P1033" s="36"/>
      <c r="Q1033" s="36"/>
      <c r="R1033" s="102" t="str">
        <f>"バックアップ_"&amp;SUBSTITUTE(C1033,"_結合","")</f>
        <v>バックアップ_DPC調査データ_外来EF統合ファイル</v>
      </c>
      <c r="S1033" s="103"/>
      <c r="T1033" s="106" t="str">
        <f>エンティティ一覧!$O$2</f>
        <v>milscm_2023_009</v>
      </c>
    </row>
    <row r="1034" spans="2:23" ht="18.75" customHeight="1">
      <c r="C1034" s="104"/>
      <c r="D1034" s="105"/>
      <c r="E1034" s="115"/>
      <c r="F1034" s="37"/>
      <c r="G1034" s="38"/>
      <c r="H1034" s="37"/>
      <c r="I1034" s="37"/>
      <c r="J1034" s="37"/>
      <c r="K1034" s="37"/>
      <c r="L1034" s="37"/>
      <c r="M1034" s="37"/>
      <c r="N1034" s="37"/>
      <c r="O1034" s="37"/>
      <c r="P1034" s="37"/>
      <c r="Q1034" s="37"/>
      <c r="R1034" s="104"/>
      <c r="S1034" s="105"/>
      <c r="T1034" s="107"/>
    </row>
    <row r="1035" spans="2:23" ht="18.75" customHeight="1">
      <c r="F1035" s="39"/>
      <c r="G1035" s="40"/>
    </row>
    <row r="1036" spans="2:23" ht="18.75" customHeight="1">
      <c r="C1036" s="102" t="s">
        <v>3201</v>
      </c>
      <c r="D1036" s="103"/>
      <c r="E1036" s="106" t="str">
        <f>エンティティ一覧!$O$2</f>
        <v>milscm_2023_009</v>
      </c>
      <c r="G1036" s="41"/>
    </row>
    <row r="1037" spans="2:23" ht="18.75" customHeight="1">
      <c r="C1037" s="104"/>
      <c r="D1037" s="105"/>
      <c r="E1037" s="107"/>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3195</v>
      </c>
      <c r="D1041" s="50"/>
      <c r="W1041" s="35" t="str">
        <f>"-- "&amp;B1041&amp;" : "&amp;C1041</f>
        <v>-- SQL_ID : 01_C1-04</v>
      </c>
    </row>
    <row r="1042" spans="2:23" ht="18.75" customHeight="1">
      <c r="B1042" s="43" t="s">
        <v>158</v>
      </c>
      <c r="C1042" s="108" t="str">
        <f>R1045&amp;"登録"</f>
        <v>バックアップ_DPC調査データ_Hファイル登録</v>
      </c>
      <c r="D1042" s="109"/>
      <c r="E1042" s="109"/>
      <c r="F1042" s="109"/>
      <c r="G1042" s="109"/>
      <c r="H1042" s="109"/>
      <c r="I1042" s="109"/>
      <c r="J1042" s="109"/>
      <c r="K1042" s="109"/>
      <c r="L1042" s="109"/>
      <c r="M1042" s="109"/>
      <c r="N1042" s="109"/>
      <c r="O1042" s="109"/>
      <c r="P1042" s="109"/>
      <c r="Q1042" s="109"/>
      <c r="R1042" s="109"/>
      <c r="S1042" s="109"/>
      <c r="T1042" s="109"/>
      <c r="U1042" s="110"/>
      <c r="W1042" s="35" t="str">
        <f>"-- "&amp;C1042</f>
        <v>-- バックアップ_DPC調査データ_Hファイル登録</v>
      </c>
    </row>
    <row r="1043" spans="2:23" ht="18.75" customHeight="1">
      <c r="B1043" s="43" t="s">
        <v>159</v>
      </c>
      <c r="C1043" s="111" t="str">
        <f>C1045&amp;"テーブルから組入れ条件の第一条件で絞り込んだ結果を"&amp;R1045&amp;"テーブルに格納する。"</f>
        <v>DPC調査データ_Hファイル_結合テーブルから組入れ条件の第一条件で絞り込んだ結果をバックアップ_DPC調査データ_Hファイルテーブルに格納する。</v>
      </c>
      <c r="D1043" s="112"/>
      <c r="E1043" s="112"/>
      <c r="F1043" s="112"/>
      <c r="G1043" s="112"/>
      <c r="H1043" s="112"/>
      <c r="I1043" s="112"/>
      <c r="J1043" s="112"/>
      <c r="K1043" s="112"/>
      <c r="L1043" s="112"/>
      <c r="M1043" s="112"/>
      <c r="N1043" s="112"/>
      <c r="O1043" s="112"/>
      <c r="P1043" s="112"/>
      <c r="Q1043" s="112"/>
      <c r="R1043" s="112"/>
      <c r="S1043" s="112"/>
      <c r="T1043" s="112"/>
      <c r="U1043" s="113"/>
      <c r="W1043" s="35" t="str">
        <f>"-- "&amp;C1043</f>
        <v>-- DPC調査データ_Hファイル_結合テーブルから組入れ条件の第一条件で絞り込んだ結果をバックアップ_DPC調査データ_Hファイルテーブルに格納する。</v>
      </c>
    </row>
    <row r="1045" spans="2:23" ht="18.75" customHeight="1">
      <c r="C1045" s="102" t="s">
        <v>170</v>
      </c>
      <c r="D1045" s="103"/>
      <c r="E1045" s="114" t="s">
        <v>162</v>
      </c>
      <c r="H1045" s="36"/>
      <c r="I1045" s="36"/>
      <c r="J1045" s="36"/>
      <c r="K1045" s="36"/>
      <c r="L1045" s="36"/>
      <c r="M1045" s="36"/>
      <c r="N1045" s="36"/>
      <c r="O1045" s="36"/>
      <c r="P1045" s="36"/>
      <c r="Q1045" s="36"/>
      <c r="R1045" s="102" t="str">
        <f>"バックアップ_"&amp;SUBSTITUTE(C1045,"_結合","")</f>
        <v>バックアップ_DPC調査データ_Hファイル</v>
      </c>
      <c r="S1045" s="103"/>
      <c r="T1045" s="106" t="str">
        <f>エンティティ一覧!$O$2</f>
        <v>milscm_2023_009</v>
      </c>
    </row>
    <row r="1046" spans="2:23" ht="18.75" customHeight="1">
      <c r="C1046" s="104"/>
      <c r="D1046" s="105"/>
      <c r="E1046" s="115"/>
      <c r="F1046" s="37"/>
      <c r="G1046" s="38"/>
      <c r="H1046" s="37"/>
      <c r="I1046" s="37"/>
      <c r="J1046" s="37"/>
      <c r="K1046" s="37"/>
      <c r="L1046" s="37"/>
      <c r="M1046" s="37"/>
      <c r="N1046" s="37"/>
      <c r="O1046" s="37"/>
      <c r="P1046" s="37"/>
      <c r="Q1046" s="37"/>
      <c r="R1046" s="104"/>
      <c r="S1046" s="105"/>
      <c r="T1046" s="107"/>
    </row>
    <row r="1047" spans="2:23" ht="18.75" customHeight="1">
      <c r="F1047" s="39"/>
      <c r="G1047" s="40"/>
    </row>
    <row r="1048" spans="2:23" ht="18.75" customHeight="1">
      <c r="C1048" s="102" t="s">
        <v>3201</v>
      </c>
      <c r="D1048" s="103"/>
      <c r="E1048" s="106" t="str">
        <f>エンティティ一覧!$O$2</f>
        <v>milscm_2023_009</v>
      </c>
      <c r="G1048" s="41"/>
    </row>
    <row r="1049" spans="2:23" ht="18.75" customHeight="1">
      <c r="C1049" s="104"/>
      <c r="D1049" s="105"/>
      <c r="E1049" s="107"/>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3196</v>
      </c>
      <c r="D1053" s="50"/>
      <c r="W1053" s="35" t="str">
        <f>"-- "&amp;B1053&amp;" : "&amp;C1053</f>
        <v>-- SQL_ID : 01_C1-05</v>
      </c>
    </row>
    <row r="1054" spans="2:23" ht="18.75" customHeight="1">
      <c r="B1054" s="43" t="s">
        <v>158</v>
      </c>
      <c r="C1054" s="108" t="str">
        <f>R1057&amp;"登録"</f>
        <v>バックアップ_DPC調査データ_様式1登録</v>
      </c>
      <c r="D1054" s="109"/>
      <c r="E1054" s="109"/>
      <c r="F1054" s="109"/>
      <c r="G1054" s="109"/>
      <c r="H1054" s="109"/>
      <c r="I1054" s="109"/>
      <c r="J1054" s="109"/>
      <c r="K1054" s="109"/>
      <c r="L1054" s="109"/>
      <c r="M1054" s="109"/>
      <c r="N1054" s="109"/>
      <c r="O1054" s="109"/>
      <c r="P1054" s="109"/>
      <c r="Q1054" s="109"/>
      <c r="R1054" s="109"/>
      <c r="S1054" s="109"/>
      <c r="T1054" s="109"/>
      <c r="U1054" s="110"/>
      <c r="W1054" s="35" t="str">
        <f>"-- "&amp;C1054</f>
        <v>-- バックアップ_DPC調査データ_様式1登録</v>
      </c>
    </row>
    <row r="1055" spans="2:23" ht="18.75" customHeight="1">
      <c r="B1055" s="43" t="s">
        <v>159</v>
      </c>
      <c r="C1055" s="111" t="str">
        <f>C1057&amp;"テーブルから組入れ条件の第一条件で絞り込んだ結果を"&amp;R1057&amp;"テーブルに格納する。"</f>
        <v>DPC調査データ_様式1_結合テーブルから組入れ条件の第一条件で絞り込んだ結果をバックアップ_DPC調査データ_様式1テーブルに格納する。</v>
      </c>
      <c r="D1055" s="112"/>
      <c r="E1055" s="112"/>
      <c r="F1055" s="112"/>
      <c r="G1055" s="112"/>
      <c r="H1055" s="112"/>
      <c r="I1055" s="112"/>
      <c r="J1055" s="112"/>
      <c r="K1055" s="112"/>
      <c r="L1055" s="112"/>
      <c r="M1055" s="112"/>
      <c r="N1055" s="112"/>
      <c r="O1055" s="112"/>
      <c r="P1055" s="112"/>
      <c r="Q1055" s="112"/>
      <c r="R1055" s="112"/>
      <c r="S1055" s="112"/>
      <c r="T1055" s="112"/>
      <c r="U1055" s="113"/>
      <c r="W1055" s="35" t="str">
        <f>"-- "&amp;C1055</f>
        <v>-- DPC調査データ_様式1_結合テーブルから組入れ条件の第一条件で絞り込んだ結果をバックアップ_DPC調査データ_様式1テーブルに格納する。</v>
      </c>
    </row>
    <row r="1057" spans="2:23" ht="18.75" customHeight="1">
      <c r="C1057" s="102" t="s">
        <v>171</v>
      </c>
      <c r="D1057" s="103"/>
      <c r="E1057" s="114" t="s">
        <v>162</v>
      </c>
      <c r="H1057" s="36"/>
      <c r="I1057" s="36"/>
      <c r="J1057" s="36"/>
      <c r="K1057" s="36"/>
      <c r="L1057" s="36"/>
      <c r="M1057" s="36"/>
      <c r="N1057" s="36"/>
      <c r="O1057" s="36"/>
      <c r="P1057" s="36"/>
      <c r="Q1057" s="36"/>
      <c r="R1057" s="102" t="str">
        <f>"バックアップ_"&amp;SUBSTITUTE(C1057,"_結合","")</f>
        <v>バックアップ_DPC調査データ_様式1</v>
      </c>
      <c r="S1057" s="103"/>
      <c r="T1057" s="106" t="str">
        <f>エンティティ一覧!$O$2</f>
        <v>milscm_2023_009</v>
      </c>
    </row>
    <row r="1058" spans="2:23" ht="18.75" customHeight="1">
      <c r="C1058" s="104"/>
      <c r="D1058" s="105"/>
      <c r="E1058" s="115"/>
      <c r="F1058" s="37"/>
      <c r="G1058" s="38"/>
      <c r="H1058" s="37"/>
      <c r="I1058" s="37"/>
      <c r="J1058" s="37"/>
      <c r="K1058" s="37"/>
      <c r="L1058" s="37"/>
      <c r="M1058" s="37"/>
      <c r="N1058" s="37"/>
      <c r="O1058" s="37"/>
      <c r="P1058" s="37"/>
      <c r="Q1058" s="37"/>
      <c r="R1058" s="104"/>
      <c r="S1058" s="105"/>
      <c r="T1058" s="107"/>
    </row>
    <row r="1059" spans="2:23" ht="18.75" customHeight="1">
      <c r="F1059" s="39"/>
      <c r="G1059" s="40"/>
    </row>
    <row r="1060" spans="2:23" ht="18.75" customHeight="1">
      <c r="C1060" s="102" t="s">
        <v>3201</v>
      </c>
      <c r="D1060" s="103"/>
      <c r="E1060" s="106" t="str">
        <f>エンティティ一覧!$O$2</f>
        <v>milscm_2023_009</v>
      </c>
      <c r="G1060" s="41"/>
    </row>
    <row r="1061" spans="2:23" ht="18.75" customHeight="1">
      <c r="C1061" s="104"/>
      <c r="D1061" s="105"/>
      <c r="E1061" s="107"/>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3197</v>
      </c>
      <c r="D1065" s="50"/>
      <c r="W1065" s="35" t="str">
        <f>"-- "&amp;B1065&amp;" : "&amp;C1065</f>
        <v>-- SQL_ID : 01_C1-07</v>
      </c>
    </row>
    <row r="1066" spans="2:23" ht="18.75" customHeight="1">
      <c r="B1066" s="43" t="s">
        <v>158</v>
      </c>
      <c r="C1066" s="108" t="str">
        <f>R1069&amp;"登録"</f>
        <v>バックアップ_DPC調査データ_様式1_診断情報_併存症登録</v>
      </c>
      <c r="D1066" s="109"/>
      <c r="E1066" s="109"/>
      <c r="F1066" s="109"/>
      <c r="G1066" s="109"/>
      <c r="H1066" s="109"/>
      <c r="I1066" s="109"/>
      <c r="J1066" s="109"/>
      <c r="K1066" s="109"/>
      <c r="L1066" s="109"/>
      <c r="M1066" s="109"/>
      <c r="N1066" s="109"/>
      <c r="O1066" s="109"/>
      <c r="P1066" s="109"/>
      <c r="Q1066" s="109"/>
      <c r="R1066" s="109"/>
      <c r="S1066" s="109"/>
      <c r="T1066" s="109"/>
      <c r="U1066" s="110"/>
      <c r="W1066" s="35" t="str">
        <f>"-- "&amp;C1066</f>
        <v>-- バックアップ_DPC調査データ_様式1_診断情報_併存症登録</v>
      </c>
    </row>
    <row r="1067" spans="2:23" ht="18.75" customHeight="1">
      <c r="B1067" s="43" t="s">
        <v>159</v>
      </c>
      <c r="C1067" s="111" t="str">
        <f>C1069&amp;"テーブルから組入れ条件の第一条件で絞り込んだ結果を"&amp;R1069&amp;"テーブルに格納する。"</f>
        <v>DPC調査データ_様式1_診断情報_併存症_結合テーブルから組入れ条件の第一条件で絞り込んだ結果をバックアップ_DPC調査データ_様式1_診断情報_併存症テーブルに格納する。</v>
      </c>
      <c r="D1067" s="112"/>
      <c r="E1067" s="112"/>
      <c r="F1067" s="112"/>
      <c r="G1067" s="112"/>
      <c r="H1067" s="112"/>
      <c r="I1067" s="112"/>
      <c r="J1067" s="112"/>
      <c r="K1067" s="112"/>
      <c r="L1067" s="112"/>
      <c r="M1067" s="112"/>
      <c r="N1067" s="112"/>
      <c r="O1067" s="112"/>
      <c r="P1067" s="112"/>
      <c r="Q1067" s="112"/>
      <c r="R1067" s="112"/>
      <c r="S1067" s="112"/>
      <c r="T1067" s="112"/>
      <c r="U1067" s="113"/>
      <c r="W1067" s="35" t="str">
        <f>"-- "&amp;C1067</f>
        <v>-- DPC調査データ_様式1_診断情報_併存症_結合テーブルから組入れ条件の第一条件で絞り込んだ結果をバックアップ_DPC調査データ_様式1_診断情報_併存症テーブルに格納する。</v>
      </c>
    </row>
    <row r="1069" spans="2:23" ht="18.75" customHeight="1">
      <c r="C1069" s="102" t="s">
        <v>172</v>
      </c>
      <c r="D1069" s="103"/>
      <c r="E1069" s="114" t="s">
        <v>162</v>
      </c>
      <c r="H1069" s="36"/>
      <c r="I1069" s="36"/>
      <c r="J1069" s="36"/>
      <c r="K1069" s="36"/>
      <c r="L1069" s="36"/>
      <c r="M1069" s="36"/>
      <c r="N1069" s="36"/>
      <c r="O1069" s="36"/>
      <c r="P1069" s="36"/>
      <c r="Q1069" s="36"/>
      <c r="R1069" s="102" t="str">
        <f>"バックアップ_"&amp;SUBSTITUTE(C1069,"_結合","")</f>
        <v>バックアップ_DPC調査データ_様式1_診断情報_併存症</v>
      </c>
      <c r="S1069" s="103"/>
      <c r="T1069" s="106" t="str">
        <f>エンティティ一覧!$O$2</f>
        <v>milscm_2023_009</v>
      </c>
    </row>
    <row r="1070" spans="2:23" ht="18.75" customHeight="1">
      <c r="C1070" s="104"/>
      <c r="D1070" s="105"/>
      <c r="E1070" s="115"/>
      <c r="F1070" s="37"/>
      <c r="G1070" s="38"/>
      <c r="H1070" s="37"/>
      <c r="I1070" s="37"/>
      <c r="J1070" s="37"/>
      <c r="K1070" s="37"/>
      <c r="L1070" s="37"/>
      <c r="M1070" s="37"/>
      <c r="N1070" s="37"/>
      <c r="O1070" s="37"/>
      <c r="P1070" s="37"/>
      <c r="Q1070" s="37"/>
      <c r="R1070" s="104"/>
      <c r="S1070" s="105"/>
      <c r="T1070" s="107"/>
    </row>
    <row r="1071" spans="2:23" ht="18.75" customHeight="1">
      <c r="F1071" s="39"/>
      <c r="G1071" s="40"/>
    </row>
    <row r="1072" spans="2:23" ht="18.75" customHeight="1">
      <c r="C1072" s="102" t="s">
        <v>3201</v>
      </c>
      <c r="D1072" s="103"/>
      <c r="E1072" s="106" t="str">
        <f>エンティティ一覧!$O$2</f>
        <v>milscm_2023_009</v>
      </c>
      <c r="G1072" s="41"/>
    </row>
    <row r="1073" spans="2:23" ht="18.75" customHeight="1">
      <c r="C1073" s="104"/>
      <c r="D1073" s="105"/>
      <c r="E1073" s="107"/>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3198</v>
      </c>
      <c r="D1077" s="50"/>
      <c r="W1077" s="35" t="str">
        <f>"-- "&amp;B1077&amp;" : "&amp;C1077</f>
        <v>-- SQL_ID : 01_C1-08</v>
      </c>
    </row>
    <row r="1078" spans="2:23" ht="18.75" customHeight="1">
      <c r="B1078" s="43" t="s">
        <v>158</v>
      </c>
      <c r="C1078" s="108" t="str">
        <f>R1081&amp;"登録"</f>
        <v>バックアップ_DPC調査データ_様式1_診断情報_続発症登録</v>
      </c>
      <c r="D1078" s="109"/>
      <c r="E1078" s="109"/>
      <c r="F1078" s="109"/>
      <c r="G1078" s="109"/>
      <c r="H1078" s="109"/>
      <c r="I1078" s="109"/>
      <c r="J1078" s="109"/>
      <c r="K1078" s="109"/>
      <c r="L1078" s="109"/>
      <c r="M1078" s="109"/>
      <c r="N1078" s="109"/>
      <c r="O1078" s="109"/>
      <c r="P1078" s="109"/>
      <c r="Q1078" s="109"/>
      <c r="R1078" s="109"/>
      <c r="S1078" s="109"/>
      <c r="T1078" s="109"/>
      <c r="U1078" s="110"/>
      <c r="W1078" s="35" t="str">
        <f>"-- "&amp;C1078</f>
        <v>-- バックアップ_DPC調査データ_様式1_診断情報_続発症登録</v>
      </c>
    </row>
    <row r="1079" spans="2:23" ht="18.75" customHeight="1">
      <c r="B1079" s="43" t="s">
        <v>159</v>
      </c>
      <c r="C1079" s="111" t="str">
        <f>C1081&amp;"テーブルから組入れ条件の第一条件で絞り込んだ結果を"&amp;R1081&amp;"テーブルに格納する。"</f>
        <v>DPC調査データ_様式1_診断情報_続発症_結合テーブルから組入れ条件の第一条件で絞り込んだ結果をバックアップ_DPC調査データ_様式1_診断情報_続発症テーブルに格納する。</v>
      </c>
      <c r="D1079" s="112"/>
      <c r="E1079" s="112"/>
      <c r="F1079" s="112"/>
      <c r="G1079" s="112"/>
      <c r="H1079" s="112"/>
      <c r="I1079" s="112"/>
      <c r="J1079" s="112"/>
      <c r="K1079" s="112"/>
      <c r="L1079" s="112"/>
      <c r="M1079" s="112"/>
      <c r="N1079" s="112"/>
      <c r="O1079" s="112"/>
      <c r="P1079" s="112"/>
      <c r="Q1079" s="112"/>
      <c r="R1079" s="112"/>
      <c r="S1079" s="112"/>
      <c r="T1079" s="112"/>
      <c r="U1079" s="113"/>
      <c r="W1079" s="35" t="str">
        <f>"-- "&amp;C1079</f>
        <v>-- DPC調査データ_様式1_診断情報_続発症_結合テーブルから組入れ条件の第一条件で絞り込んだ結果をバックアップ_DPC調査データ_様式1_診断情報_続発症テーブルに格納する。</v>
      </c>
    </row>
    <row r="1081" spans="2:23" ht="18.75" customHeight="1">
      <c r="C1081" s="102" t="s">
        <v>173</v>
      </c>
      <c r="D1081" s="103"/>
      <c r="E1081" s="114" t="s">
        <v>162</v>
      </c>
      <c r="H1081" s="36"/>
      <c r="I1081" s="36"/>
      <c r="J1081" s="36"/>
      <c r="K1081" s="36"/>
      <c r="L1081" s="36"/>
      <c r="M1081" s="36"/>
      <c r="N1081" s="36"/>
      <c r="O1081" s="36"/>
      <c r="P1081" s="36"/>
      <c r="Q1081" s="36"/>
      <c r="R1081" s="102" t="str">
        <f>"バックアップ_"&amp;SUBSTITUTE(C1081,"_結合","")</f>
        <v>バックアップ_DPC調査データ_様式1_診断情報_続発症</v>
      </c>
      <c r="S1081" s="103"/>
      <c r="T1081" s="106" t="str">
        <f>エンティティ一覧!$O$2</f>
        <v>milscm_2023_009</v>
      </c>
    </row>
    <row r="1082" spans="2:23" ht="18.75" customHeight="1">
      <c r="C1082" s="104"/>
      <c r="D1082" s="105"/>
      <c r="E1082" s="115"/>
      <c r="F1082" s="37"/>
      <c r="G1082" s="38"/>
      <c r="H1082" s="37"/>
      <c r="I1082" s="37"/>
      <c r="J1082" s="37"/>
      <c r="K1082" s="37"/>
      <c r="L1082" s="37"/>
      <c r="M1082" s="37"/>
      <c r="N1082" s="37"/>
      <c r="O1082" s="37"/>
      <c r="P1082" s="37"/>
      <c r="Q1082" s="37"/>
      <c r="R1082" s="104"/>
      <c r="S1082" s="105"/>
      <c r="T1082" s="107"/>
    </row>
    <row r="1083" spans="2:23" ht="18.75" customHeight="1">
      <c r="F1083" s="39"/>
      <c r="G1083" s="40"/>
    </row>
    <row r="1084" spans="2:23" ht="18.75" customHeight="1">
      <c r="C1084" s="102" t="s">
        <v>3201</v>
      </c>
      <c r="D1084" s="103"/>
      <c r="E1084" s="106" t="str">
        <f>エンティティ一覧!$O$2</f>
        <v>milscm_2023_009</v>
      </c>
      <c r="G1084" s="41"/>
    </row>
    <row r="1085" spans="2:23" ht="18.75" customHeight="1">
      <c r="C1085" s="104"/>
      <c r="D1085" s="105"/>
      <c r="E1085" s="107"/>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3421</v>
      </c>
      <c r="D1089" s="90"/>
      <c r="W1089" s="35" t="str">
        <f>"-- "&amp;B1089&amp;" : "&amp;C1089</f>
        <v>-- SQL_ID : 01_C2-01</v>
      </c>
    </row>
    <row r="1090" spans="2:23" ht="18.75" customHeight="1">
      <c r="B1090" s="43" t="s">
        <v>158</v>
      </c>
      <c r="C1090" s="108" t="str">
        <f>R1093&amp;"登録"</f>
        <v>バックアップ_医科レセプト_医療機関情報レコード登録</v>
      </c>
      <c r="D1090" s="109"/>
      <c r="E1090" s="109"/>
      <c r="F1090" s="109"/>
      <c r="G1090" s="109"/>
      <c r="H1090" s="109"/>
      <c r="I1090" s="109"/>
      <c r="J1090" s="109"/>
      <c r="K1090" s="109"/>
      <c r="L1090" s="109"/>
      <c r="M1090" s="109"/>
      <c r="N1090" s="109"/>
      <c r="O1090" s="109"/>
      <c r="P1090" s="109"/>
      <c r="Q1090" s="109"/>
      <c r="R1090" s="109"/>
      <c r="S1090" s="109"/>
      <c r="T1090" s="109"/>
      <c r="U1090" s="110"/>
      <c r="W1090" s="35" t="str">
        <f>"-- "&amp;C1090</f>
        <v>-- バックアップ_医科レセプト_医療機関情報レコード登録</v>
      </c>
    </row>
    <row r="1091" spans="2:23" ht="18.75" customHeight="1">
      <c r="B1091" s="43" t="s">
        <v>159</v>
      </c>
      <c r="C1091" s="111" t="str">
        <f>C1093&amp;"テーブルから組入れ条件の第一条件で絞り込んだ結果を"&amp;R1093&amp;"テーブルに格納する。"</f>
        <v>医科レセプト_医療機関情報レコード_結合テーブルから組入れ条件の第一条件で絞り込んだ結果をバックアップ_医科レセプト_医療機関情報レコードテーブルに格納する。</v>
      </c>
      <c r="D1091" s="112"/>
      <c r="E1091" s="112"/>
      <c r="F1091" s="112"/>
      <c r="G1091" s="112"/>
      <c r="H1091" s="112"/>
      <c r="I1091" s="112"/>
      <c r="J1091" s="112"/>
      <c r="K1091" s="112"/>
      <c r="L1091" s="112"/>
      <c r="M1091" s="112"/>
      <c r="N1091" s="112"/>
      <c r="O1091" s="112"/>
      <c r="P1091" s="112"/>
      <c r="Q1091" s="112"/>
      <c r="R1091" s="112"/>
      <c r="S1091" s="112"/>
      <c r="T1091" s="112"/>
      <c r="U1091" s="113"/>
      <c r="W1091" s="35" t="str">
        <f>"-- "&amp;C1091</f>
        <v>-- 医科レセプト_医療機関情報レコード_結合テーブルから組入れ条件の第一条件で絞り込んだ結果をバックアップ_医科レセプト_医療機関情報レコードテーブルに格納する。</v>
      </c>
    </row>
    <row r="1093" spans="2:23" ht="18.75" customHeight="1">
      <c r="C1093" s="102" t="s">
        <v>3422</v>
      </c>
      <c r="D1093" s="103"/>
      <c r="E1093" s="114" t="s">
        <v>162</v>
      </c>
      <c r="H1093" s="36"/>
      <c r="I1093" s="36"/>
      <c r="J1093" s="36"/>
      <c r="K1093" s="36"/>
      <c r="L1093" s="36"/>
      <c r="M1093" s="36"/>
      <c r="N1093" s="36"/>
      <c r="O1093" s="36"/>
      <c r="P1093" s="36"/>
      <c r="Q1093" s="36"/>
      <c r="R1093" s="102" t="str">
        <f>"バックアップ_"&amp;SUBSTITUTE(C1093,"_結合","")</f>
        <v>バックアップ_医科レセプト_医療機関情報レコード</v>
      </c>
      <c r="S1093" s="103"/>
      <c r="T1093" s="106" t="str">
        <f>エンティティ一覧!$O$2</f>
        <v>milscm_2023_009</v>
      </c>
    </row>
    <row r="1094" spans="2:23" ht="18.75" customHeight="1">
      <c r="C1094" s="104"/>
      <c r="D1094" s="105"/>
      <c r="E1094" s="115"/>
      <c r="F1094" s="37"/>
      <c r="G1094" s="38"/>
      <c r="H1094" s="37"/>
      <c r="I1094" s="37"/>
      <c r="J1094" s="37"/>
      <c r="K1094" s="37"/>
      <c r="L1094" s="37"/>
      <c r="M1094" s="37"/>
      <c r="N1094" s="37"/>
      <c r="O1094" s="37"/>
      <c r="P1094" s="37"/>
      <c r="Q1094" s="37"/>
      <c r="R1094" s="104"/>
      <c r="S1094" s="105"/>
      <c r="T1094" s="107"/>
    </row>
    <row r="1095" spans="2:23" ht="18.75" customHeight="1">
      <c r="F1095" s="39"/>
      <c r="G1095" s="40"/>
    </row>
    <row r="1096" spans="2:23" ht="18.75" customHeight="1">
      <c r="C1096" s="102" t="s">
        <v>3201</v>
      </c>
      <c r="D1096" s="103"/>
      <c r="E1096" s="106" t="str">
        <f>エンティティ一覧!$O$2</f>
        <v>milscm_2023_009</v>
      </c>
      <c r="G1096" s="41"/>
    </row>
    <row r="1097" spans="2:23" ht="18.75" customHeight="1">
      <c r="C1097" s="104"/>
      <c r="D1097" s="105"/>
      <c r="E1097" s="107"/>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3423</v>
      </c>
      <c r="D1101" s="90"/>
      <c r="W1101" s="35" t="str">
        <f>"-- "&amp;B1101&amp;" : "&amp;C1101</f>
        <v>-- SQL_ID : 01_C2-02</v>
      </c>
    </row>
    <row r="1102" spans="2:23" ht="18.75" customHeight="1">
      <c r="B1102" s="43" t="s">
        <v>158</v>
      </c>
      <c r="C1102" s="108" t="str">
        <f>R1105&amp;"登録"</f>
        <v>バックアップ_医科レセプト_レセプト共通レコード登録</v>
      </c>
      <c r="D1102" s="109"/>
      <c r="E1102" s="109"/>
      <c r="F1102" s="109"/>
      <c r="G1102" s="109"/>
      <c r="H1102" s="109"/>
      <c r="I1102" s="109"/>
      <c r="J1102" s="109"/>
      <c r="K1102" s="109"/>
      <c r="L1102" s="109"/>
      <c r="M1102" s="109"/>
      <c r="N1102" s="109"/>
      <c r="O1102" s="109"/>
      <c r="P1102" s="109"/>
      <c r="Q1102" s="109"/>
      <c r="R1102" s="109"/>
      <c r="S1102" s="109"/>
      <c r="T1102" s="109"/>
      <c r="U1102" s="110"/>
      <c r="W1102" s="35" t="str">
        <f>"-- "&amp;C1102</f>
        <v>-- バックアップ_医科レセプト_レセプト共通レコード登録</v>
      </c>
    </row>
    <row r="1103" spans="2:23" ht="18.75" customHeight="1">
      <c r="B1103" s="43" t="s">
        <v>159</v>
      </c>
      <c r="C1103" s="111" t="str">
        <f>C1105&amp;"テーブルから組入れ条件の第一条件で絞り込んだ結果を"&amp;R1105&amp;"テーブルに格納する。"</f>
        <v>医科レセプト_レセプト共通レコード_結合テーブルから組入れ条件の第一条件で絞り込んだ結果をバックアップ_医科レセプト_レセプト共通レコードテーブルに格納する。</v>
      </c>
      <c r="D1103" s="112"/>
      <c r="E1103" s="112"/>
      <c r="F1103" s="112"/>
      <c r="G1103" s="112"/>
      <c r="H1103" s="112"/>
      <c r="I1103" s="112"/>
      <c r="J1103" s="112"/>
      <c r="K1103" s="112"/>
      <c r="L1103" s="112"/>
      <c r="M1103" s="112"/>
      <c r="N1103" s="112"/>
      <c r="O1103" s="112"/>
      <c r="P1103" s="112"/>
      <c r="Q1103" s="112"/>
      <c r="R1103" s="112"/>
      <c r="S1103" s="112"/>
      <c r="T1103" s="112"/>
      <c r="U1103" s="113"/>
      <c r="W1103" s="35" t="str">
        <f>"-- "&amp;C1103</f>
        <v>-- 医科レセプト_レセプト共通レコード_結合テーブルから組入れ条件の第一条件で絞り込んだ結果をバックアップ_医科レセプト_レセプト共通レコードテーブルに格納する。</v>
      </c>
    </row>
    <row r="1105" spans="2:23" ht="18.75" customHeight="1">
      <c r="C1105" s="102" t="s">
        <v>3424</v>
      </c>
      <c r="D1105" s="103"/>
      <c r="E1105" s="114" t="s">
        <v>162</v>
      </c>
      <c r="H1105" s="36"/>
      <c r="I1105" s="36"/>
      <c r="J1105" s="36"/>
      <c r="K1105" s="36"/>
      <c r="L1105" s="36"/>
      <c r="M1105" s="36"/>
      <c r="N1105" s="36"/>
      <c r="O1105" s="36"/>
      <c r="P1105" s="36"/>
      <c r="Q1105" s="36"/>
      <c r="R1105" s="102" t="str">
        <f>"バックアップ_"&amp;SUBSTITUTE(C1105,"_結合","")</f>
        <v>バックアップ_医科レセプト_レセプト共通レコード</v>
      </c>
      <c r="S1105" s="103"/>
      <c r="T1105" s="106" t="str">
        <f>エンティティ一覧!$O$2</f>
        <v>milscm_2023_009</v>
      </c>
    </row>
    <row r="1106" spans="2:23" ht="18.75" customHeight="1">
      <c r="C1106" s="104"/>
      <c r="D1106" s="105"/>
      <c r="E1106" s="115"/>
      <c r="F1106" s="37"/>
      <c r="G1106" s="38"/>
      <c r="H1106" s="37"/>
      <c r="I1106" s="37"/>
      <c r="J1106" s="37"/>
      <c r="K1106" s="37"/>
      <c r="L1106" s="37"/>
      <c r="M1106" s="37"/>
      <c r="N1106" s="37"/>
      <c r="O1106" s="37"/>
      <c r="P1106" s="37"/>
      <c r="Q1106" s="37"/>
      <c r="R1106" s="104"/>
      <c r="S1106" s="105"/>
      <c r="T1106" s="107"/>
    </row>
    <row r="1107" spans="2:23" ht="18.75" customHeight="1">
      <c r="F1107" s="39"/>
      <c r="G1107" s="40"/>
    </row>
    <row r="1108" spans="2:23" ht="18.75" customHeight="1">
      <c r="C1108" s="102" t="s">
        <v>3201</v>
      </c>
      <c r="D1108" s="103"/>
      <c r="E1108" s="106" t="str">
        <f>エンティティ一覧!$O$2</f>
        <v>milscm_2023_009</v>
      </c>
      <c r="G1108" s="41"/>
    </row>
    <row r="1109" spans="2:23" ht="18.75" customHeight="1">
      <c r="C1109" s="104"/>
      <c r="D1109" s="105"/>
      <c r="E1109" s="107"/>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3425</v>
      </c>
      <c r="D1113" s="90"/>
      <c r="W1113" s="35" t="str">
        <f>"-- "&amp;B1113&amp;" : "&amp;C1113</f>
        <v>-- SQL_ID : 01_C2-06</v>
      </c>
    </row>
    <row r="1114" spans="2:23" ht="18.75" customHeight="1">
      <c r="B1114" s="43" t="s">
        <v>158</v>
      </c>
      <c r="C1114" s="108" t="str">
        <f>R1117&amp;"登録"</f>
        <v>バックアップ_医科レセプト_傷病名レコード登録</v>
      </c>
      <c r="D1114" s="109"/>
      <c r="E1114" s="109"/>
      <c r="F1114" s="109"/>
      <c r="G1114" s="109"/>
      <c r="H1114" s="109"/>
      <c r="I1114" s="109"/>
      <c r="J1114" s="109"/>
      <c r="K1114" s="109"/>
      <c r="L1114" s="109"/>
      <c r="M1114" s="109"/>
      <c r="N1114" s="109"/>
      <c r="O1114" s="109"/>
      <c r="P1114" s="109"/>
      <c r="Q1114" s="109"/>
      <c r="R1114" s="109"/>
      <c r="S1114" s="109"/>
      <c r="T1114" s="109"/>
      <c r="U1114" s="110"/>
      <c r="W1114" s="35" t="str">
        <f>"-- "&amp;C1114</f>
        <v>-- バックアップ_医科レセプト_傷病名レコード登録</v>
      </c>
    </row>
    <row r="1115" spans="2:23" ht="18.75" customHeight="1">
      <c r="B1115" s="43" t="s">
        <v>159</v>
      </c>
      <c r="C1115" s="111" t="str">
        <f>C1117&amp;"テーブルから組入れ条件の第一条件で絞り込んだ結果を"&amp;R1117&amp;"テーブルに格納する。"</f>
        <v>医科レセプト_傷病名レコード_結合テーブルから組入れ条件の第一条件で絞り込んだ結果をバックアップ_医科レセプト_傷病名レコードテーブルに格納する。</v>
      </c>
      <c r="D1115" s="112"/>
      <c r="E1115" s="112"/>
      <c r="F1115" s="112"/>
      <c r="G1115" s="112"/>
      <c r="H1115" s="112"/>
      <c r="I1115" s="112"/>
      <c r="J1115" s="112"/>
      <c r="K1115" s="112"/>
      <c r="L1115" s="112"/>
      <c r="M1115" s="112"/>
      <c r="N1115" s="112"/>
      <c r="O1115" s="112"/>
      <c r="P1115" s="112"/>
      <c r="Q1115" s="112"/>
      <c r="R1115" s="112"/>
      <c r="S1115" s="112"/>
      <c r="T1115" s="112"/>
      <c r="U1115" s="113"/>
      <c r="W1115" s="35" t="str">
        <f>"-- "&amp;C1115</f>
        <v>-- 医科レセプト_傷病名レコード_結合テーブルから組入れ条件の第一条件で絞り込んだ結果をバックアップ_医科レセプト_傷病名レコードテーブルに格納する。</v>
      </c>
    </row>
    <row r="1117" spans="2:23" ht="18.75" customHeight="1">
      <c r="C1117" s="102" t="s">
        <v>3426</v>
      </c>
      <c r="D1117" s="103"/>
      <c r="E1117" s="114" t="s">
        <v>162</v>
      </c>
      <c r="H1117" s="36"/>
      <c r="I1117" s="36"/>
      <c r="J1117" s="36"/>
      <c r="K1117" s="36"/>
      <c r="L1117" s="36"/>
      <c r="M1117" s="36"/>
      <c r="N1117" s="36"/>
      <c r="O1117" s="36"/>
      <c r="P1117" s="36"/>
      <c r="Q1117" s="36"/>
      <c r="R1117" s="102" t="str">
        <f>"バックアップ_"&amp;SUBSTITUTE(C1117,"_結合","")</f>
        <v>バックアップ_医科レセプト_傷病名レコード</v>
      </c>
      <c r="S1117" s="103"/>
      <c r="T1117" s="106" t="str">
        <f>エンティティ一覧!$O$2</f>
        <v>milscm_2023_009</v>
      </c>
    </row>
    <row r="1118" spans="2:23" ht="18.75" customHeight="1">
      <c r="C1118" s="104"/>
      <c r="D1118" s="105"/>
      <c r="E1118" s="115"/>
      <c r="F1118" s="37"/>
      <c r="G1118" s="38"/>
      <c r="H1118" s="37"/>
      <c r="I1118" s="37"/>
      <c r="J1118" s="37"/>
      <c r="K1118" s="37"/>
      <c r="L1118" s="37"/>
      <c r="M1118" s="37"/>
      <c r="N1118" s="37"/>
      <c r="O1118" s="37"/>
      <c r="P1118" s="37"/>
      <c r="Q1118" s="37"/>
      <c r="R1118" s="104"/>
      <c r="S1118" s="105"/>
      <c r="T1118" s="107"/>
    </row>
    <row r="1119" spans="2:23" ht="18.75" customHeight="1">
      <c r="F1119" s="39"/>
      <c r="G1119" s="40"/>
    </row>
    <row r="1120" spans="2:23" ht="18.75" customHeight="1">
      <c r="C1120" s="102" t="s">
        <v>3201</v>
      </c>
      <c r="D1120" s="103"/>
      <c r="E1120" s="106" t="str">
        <f>エンティティ一覧!$O$2</f>
        <v>milscm_2023_009</v>
      </c>
      <c r="G1120" s="41"/>
    </row>
    <row r="1121" spans="2:23" ht="18.75" customHeight="1">
      <c r="C1121" s="104"/>
      <c r="D1121" s="105"/>
      <c r="E1121" s="107"/>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3427</v>
      </c>
      <c r="D1125" s="90"/>
      <c r="W1125" s="35" t="str">
        <f>"-- "&amp;B1125&amp;" : "&amp;C1125</f>
        <v>-- SQL_ID : 01_C2-07</v>
      </c>
    </row>
    <row r="1126" spans="2:23" ht="18.75" customHeight="1">
      <c r="B1126" s="43" t="s">
        <v>158</v>
      </c>
      <c r="C1126" s="108" t="str">
        <f>R1129&amp;"登録"</f>
        <v>バックアップ_医科レセプト_診療行為レコード登録</v>
      </c>
      <c r="D1126" s="109"/>
      <c r="E1126" s="109"/>
      <c r="F1126" s="109"/>
      <c r="G1126" s="109"/>
      <c r="H1126" s="109"/>
      <c r="I1126" s="109"/>
      <c r="J1126" s="109"/>
      <c r="K1126" s="109"/>
      <c r="L1126" s="109"/>
      <c r="M1126" s="109"/>
      <c r="N1126" s="109"/>
      <c r="O1126" s="109"/>
      <c r="P1126" s="109"/>
      <c r="Q1126" s="109"/>
      <c r="R1126" s="109"/>
      <c r="S1126" s="109"/>
      <c r="T1126" s="109"/>
      <c r="U1126" s="110"/>
      <c r="W1126" s="35" t="str">
        <f>"-- "&amp;C1126</f>
        <v>-- バックアップ_医科レセプト_診療行為レコード登録</v>
      </c>
    </row>
    <row r="1127" spans="2:23" ht="18.75" customHeight="1">
      <c r="B1127" s="43" t="s">
        <v>159</v>
      </c>
      <c r="C1127" s="111" t="str">
        <f>C1129&amp;"テーブルから組入れ条件の第一条件で絞り込んだ結果を"&amp;R1129&amp;"テーブルに格納する。"</f>
        <v>医科レセプト_診療行為レコード_結合テーブルから組入れ条件の第一条件で絞り込んだ結果をバックアップ_医科レセプト_診療行為レコードテーブルに格納する。</v>
      </c>
      <c r="D1127" s="112"/>
      <c r="E1127" s="112"/>
      <c r="F1127" s="112"/>
      <c r="G1127" s="112"/>
      <c r="H1127" s="112"/>
      <c r="I1127" s="112"/>
      <c r="J1127" s="112"/>
      <c r="K1127" s="112"/>
      <c r="L1127" s="112"/>
      <c r="M1127" s="112"/>
      <c r="N1127" s="112"/>
      <c r="O1127" s="112"/>
      <c r="P1127" s="112"/>
      <c r="Q1127" s="112"/>
      <c r="R1127" s="112"/>
      <c r="S1127" s="112"/>
      <c r="T1127" s="112"/>
      <c r="U1127" s="113"/>
      <c r="W1127" s="35" t="str">
        <f>"-- "&amp;C1127</f>
        <v>-- 医科レセプト_診療行為レコード_結合テーブルから組入れ条件の第一条件で絞り込んだ結果をバックアップ_医科レセプト_診療行為レコードテーブルに格納する。</v>
      </c>
    </row>
    <row r="1129" spans="2:23" ht="18.75" customHeight="1">
      <c r="C1129" s="102" t="s">
        <v>3428</v>
      </c>
      <c r="D1129" s="103"/>
      <c r="E1129" s="114" t="s">
        <v>162</v>
      </c>
      <c r="H1129" s="36"/>
      <c r="I1129" s="36"/>
      <c r="J1129" s="36"/>
      <c r="K1129" s="36"/>
      <c r="L1129" s="36"/>
      <c r="M1129" s="36"/>
      <c r="N1129" s="36"/>
      <c r="O1129" s="36"/>
      <c r="P1129" s="36"/>
      <c r="Q1129" s="36"/>
      <c r="R1129" s="102" t="str">
        <f>"バックアップ_"&amp;SUBSTITUTE(C1129,"_結合","")</f>
        <v>バックアップ_医科レセプト_診療行為レコード</v>
      </c>
      <c r="S1129" s="103"/>
      <c r="T1129" s="106" t="str">
        <f>エンティティ一覧!$O$2</f>
        <v>milscm_2023_009</v>
      </c>
    </row>
    <row r="1130" spans="2:23" ht="18.75" customHeight="1">
      <c r="C1130" s="104"/>
      <c r="D1130" s="105"/>
      <c r="E1130" s="115"/>
      <c r="F1130" s="37"/>
      <c r="G1130" s="38"/>
      <c r="H1130" s="37"/>
      <c r="I1130" s="37"/>
      <c r="J1130" s="37"/>
      <c r="K1130" s="37"/>
      <c r="L1130" s="37"/>
      <c r="M1130" s="37"/>
      <c r="N1130" s="37"/>
      <c r="O1130" s="37"/>
      <c r="P1130" s="37"/>
      <c r="Q1130" s="37"/>
      <c r="R1130" s="104"/>
      <c r="S1130" s="105"/>
      <c r="T1130" s="107"/>
    </row>
    <row r="1131" spans="2:23" ht="18.75" customHeight="1">
      <c r="F1131" s="39"/>
      <c r="G1131" s="40"/>
    </row>
    <row r="1132" spans="2:23" ht="18.75" customHeight="1">
      <c r="C1132" s="102" t="s">
        <v>3201</v>
      </c>
      <c r="D1132" s="103"/>
      <c r="E1132" s="106" t="str">
        <f>エンティティ一覧!$O$2</f>
        <v>milscm_2023_009</v>
      </c>
      <c r="G1132" s="41"/>
    </row>
    <row r="1133" spans="2:23" ht="18.75" customHeight="1">
      <c r="C1133" s="104"/>
      <c r="D1133" s="105"/>
      <c r="E1133" s="107"/>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3429</v>
      </c>
      <c r="D1137" s="90"/>
      <c r="W1137" s="35" t="str">
        <f>"-- "&amp;B1137&amp;" : "&amp;C1137</f>
        <v>-- SQL_ID : 01_C2-08</v>
      </c>
    </row>
    <row r="1138" spans="2:23" ht="18.75" customHeight="1">
      <c r="B1138" s="43" t="s">
        <v>158</v>
      </c>
      <c r="C1138" s="108" t="str">
        <f>R1141&amp;"登録"</f>
        <v>バックアップ_医科レセプト_診療行為レコード_算定日情報登録</v>
      </c>
      <c r="D1138" s="109"/>
      <c r="E1138" s="109"/>
      <c r="F1138" s="109"/>
      <c r="G1138" s="109"/>
      <c r="H1138" s="109"/>
      <c r="I1138" s="109"/>
      <c r="J1138" s="109"/>
      <c r="K1138" s="109"/>
      <c r="L1138" s="109"/>
      <c r="M1138" s="109"/>
      <c r="N1138" s="109"/>
      <c r="O1138" s="109"/>
      <c r="P1138" s="109"/>
      <c r="Q1138" s="109"/>
      <c r="R1138" s="109"/>
      <c r="S1138" s="109"/>
      <c r="T1138" s="109"/>
      <c r="U1138" s="110"/>
      <c r="W1138" s="35" t="str">
        <f>"-- "&amp;C1138</f>
        <v>-- バックアップ_医科レセプト_診療行為レコード_算定日情報登録</v>
      </c>
    </row>
    <row r="1139" spans="2:23" ht="18.75" customHeight="1">
      <c r="B1139" s="43" t="s">
        <v>159</v>
      </c>
      <c r="C1139" s="111" t="str">
        <f>C1141&amp;"テーブルから組入れ条件の第一条件で絞り込んだ結果を"&amp;R1141&amp;"テーブルに格納する。"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39" s="112"/>
      <c r="E1139" s="112"/>
      <c r="F1139" s="112"/>
      <c r="G1139" s="112"/>
      <c r="H1139" s="112"/>
      <c r="I1139" s="112"/>
      <c r="J1139" s="112"/>
      <c r="K1139" s="112"/>
      <c r="L1139" s="112"/>
      <c r="M1139" s="112"/>
      <c r="N1139" s="112"/>
      <c r="O1139" s="112"/>
      <c r="P1139" s="112"/>
      <c r="Q1139" s="112"/>
      <c r="R1139" s="112"/>
      <c r="S1139" s="112"/>
      <c r="T1139" s="112"/>
      <c r="U1139" s="113"/>
      <c r="W1139" s="35" t="str">
        <f>"-- "&amp;C1139</f>
        <v>-- 医科レセプト_診療行為レコード_算定日情報_結合テーブルから組入れ条件の第一条件で絞り込んだ結果をバックアップ_医科レセプト_診療行為レコード_算定日情報テーブルに格納する。</v>
      </c>
    </row>
    <row r="1141" spans="2:23" ht="18.75" customHeight="1">
      <c r="C1141" s="102" t="s">
        <v>3430</v>
      </c>
      <c r="D1141" s="103"/>
      <c r="E1141" s="114" t="s">
        <v>162</v>
      </c>
      <c r="H1141" s="36"/>
      <c r="I1141" s="36"/>
      <c r="J1141" s="36"/>
      <c r="K1141" s="36"/>
      <c r="L1141" s="36"/>
      <c r="M1141" s="36"/>
      <c r="N1141" s="36"/>
      <c r="O1141" s="36"/>
      <c r="P1141" s="36"/>
      <c r="Q1141" s="36"/>
      <c r="R1141" s="120" t="str">
        <f>"バックアップ_"&amp;SUBSTITUTE(C1141,"_結合","")</f>
        <v>バックアップ_医科レセプト_診療行為レコード_算定日情報</v>
      </c>
      <c r="S1141" s="121"/>
      <c r="T1141" s="106" t="str">
        <f>エンティティ一覧!$O$2</f>
        <v>milscm_2023_009</v>
      </c>
    </row>
    <row r="1142" spans="2:23" ht="18.75" customHeight="1">
      <c r="C1142" s="104"/>
      <c r="D1142" s="105"/>
      <c r="E1142" s="115"/>
      <c r="F1142" s="37"/>
      <c r="G1142" s="38"/>
      <c r="H1142" s="37"/>
      <c r="I1142" s="37"/>
      <c r="J1142" s="37"/>
      <c r="K1142" s="37"/>
      <c r="L1142" s="37"/>
      <c r="M1142" s="37"/>
      <c r="N1142" s="37"/>
      <c r="O1142" s="37"/>
      <c r="P1142" s="37"/>
      <c r="Q1142" s="37"/>
      <c r="R1142" s="122"/>
      <c r="S1142" s="123"/>
      <c r="T1142" s="107"/>
    </row>
    <row r="1143" spans="2:23" ht="18.75" customHeight="1">
      <c r="F1143" s="39"/>
      <c r="G1143" s="40"/>
    </row>
    <row r="1144" spans="2:23" ht="18.75" customHeight="1">
      <c r="C1144" s="102" t="s">
        <v>3201</v>
      </c>
      <c r="D1144" s="103"/>
      <c r="E1144" s="106" t="str">
        <f>エンティティ一覧!$O$2</f>
        <v>milscm_2023_009</v>
      </c>
      <c r="G1144" s="41"/>
    </row>
    <row r="1145" spans="2:23" ht="18.75" customHeight="1">
      <c r="C1145" s="104"/>
      <c r="D1145" s="105"/>
      <c r="E1145" s="107"/>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3431</v>
      </c>
      <c r="D1149" s="90"/>
      <c r="W1149" s="35" t="str">
        <f>"-- "&amp;B1149&amp;" : "&amp;C1149</f>
        <v>-- SQL_ID : 01_C2-09</v>
      </c>
    </row>
    <row r="1150" spans="2:23" ht="18.75" customHeight="1">
      <c r="B1150" s="43" t="s">
        <v>158</v>
      </c>
      <c r="C1150" s="108" t="str">
        <f>R1153&amp;"登録"</f>
        <v>バックアップ_医科レセプト_医薬品レコード登録</v>
      </c>
      <c r="D1150" s="109"/>
      <c r="E1150" s="109"/>
      <c r="F1150" s="109"/>
      <c r="G1150" s="109"/>
      <c r="H1150" s="109"/>
      <c r="I1150" s="109"/>
      <c r="J1150" s="109"/>
      <c r="K1150" s="109"/>
      <c r="L1150" s="109"/>
      <c r="M1150" s="109"/>
      <c r="N1150" s="109"/>
      <c r="O1150" s="109"/>
      <c r="P1150" s="109"/>
      <c r="Q1150" s="109"/>
      <c r="R1150" s="109"/>
      <c r="S1150" s="109"/>
      <c r="T1150" s="109"/>
      <c r="U1150" s="110"/>
      <c r="W1150" s="35" t="str">
        <f>"-- "&amp;C1150</f>
        <v>-- バックアップ_医科レセプト_医薬品レコード登録</v>
      </c>
    </row>
    <row r="1151" spans="2:23" ht="18.75" customHeight="1">
      <c r="B1151" s="43" t="s">
        <v>159</v>
      </c>
      <c r="C1151" s="111" t="str">
        <f>C1153&amp;"テーブルから組入れ条件の第一条件で絞り込んだ結果を"&amp;R1153&amp;"テーブルに格納する。"</f>
        <v>医科レセプト_医薬品レコード_結合テーブルから組入れ条件の第一条件で絞り込んだ結果をバックアップ_医科レセプト_医薬品レコードテーブルに格納する。</v>
      </c>
      <c r="D1151" s="112"/>
      <c r="E1151" s="112"/>
      <c r="F1151" s="112"/>
      <c r="G1151" s="112"/>
      <c r="H1151" s="112"/>
      <c r="I1151" s="112"/>
      <c r="J1151" s="112"/>
      <c r="K1151" s="112"/>
      <c r="L1151" s="112"/>
      <c r="M1151" s="112"/>
      <c r="N1151" s="112"/>
      <c r="O1151" s="112"/>
      <c r="P1151" s="112"/>
      <c r="Q1151" s="112"/>
      <c r="R1151" s="112"/>
      <c r="S1151" s="112"/>
      <c r="T1151" s="112"/>
      <c r="U1151" s="113"/>
      <c r="W1151" s="35" t="str">
        <f>"-- "&amp;C1151</f>
        <v>-- 医科レセプト_医薬品レコード_結合テーブルから組入れ条件の第一条件で絞り込んだ結果をバックアップ_医科レセプト_医薬品レコードテーブルに格納する。</v>
      </c>
    </row>
    <row r="1153" spans="2:23" ht="18.75" customHeight="1">
      <c r="C1153" s="102" t="s">
        <v>3432</v>
      </c>
      <c r="D1153" s="103"/>
      <c r="E1153" s="114" t="s">
        <v>162</v>
      </c>
      <c r="H1153" s="36"/>
      <c r="I1153" s="36"/>
      <c r="J1153" s="36"/>
      <c r="K1153" s="36"/>
      <c r="L1153" s="36"/>
      <c r="M1153" s="36"/>
      <c r="N1153" s="36"/>
      <c r="O1153" s="36"/>
      <c r="P1153" s="36"/>
      <c r="Q1153" s="36"/>
      <c r="R1153" s="102" t="str">
        <f>"バックアップ_"&amp;SUBSTITUTE(C1153,"_結合","")</f>
        <v>バックアップ_医科レセプト_医薬品レコード</v>
      </c>
      <c r="S1153" s="103"/>
      <c r="T1153" s="106" t="str">
        <f>エンティティ一覧!$O$2</f>
        <v>milscm_2023_009</v>
      </c>
    </row>
    <row r="1154" spans="2:23" ht="18.75" customHeight="1">
      <c r="C1154" s="104"/>
      <c r="D1154" s="105"/>
      <c r="E1154" s="115"/>
      <c r="F1154" s="37"/>
      <c r="G1154" s="38"/>
      <c r="H1154" s="37"/>
      <c r="I1154" s="37"/>
      <c r="J1154" s="37"/>
      <c r="K1154" s="37"/>
      <c r="L1154" s="37"/>
      <c r="M1154" s="37"/>
      <c r="N1154" s="37"/>
      <c r="O1154" s="37"/>
      <c r="P1154" s="37"/>
      <c r="Q1154" s="37"/>
      <c r="R1154" s="104"/>
      <c r="S1154" s="105"/>
      <c r="T1154" s="107"/>
    </row>
    <row r="1155" spans="2:23" ht="18.75" customHeight="1">
      <c r="F1155" s="39"/>
      <c r="G1155" s="40"/>
    </row>
    <row r="1156" spans="2:23" ht="18.75" customHeight="1">
      <c r="C1156" s="102" t="s">
        <v>3201</v>
      </c>
      <c r="D1156" s="103"/>
      <c r="E1156" s="106" t="str">
        <f>エンティティ一覧!$O$2</f>
        <v>milscm_2023_009</v>
      </c>
      <c r="G1156" s="41"/>
    </row>
    <row r="1157" spans="2:23" ht="18.75" customHeight="1">
      <c r="C1157" s="104"/>
      <c r="D1157" s="105"/>
      <c r="E1157" s="107"/>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3433</v>
      </c>
      <c r="D1161" s="90"/>
      <c r="W1161" s="35" t="str">
        <f>"-- "&amp;B1161&amp;" : "&amp;C1161</f>
        <v>-- SQL_ID : 01_C2-10</v>
      </c>
    </row>
    <row r="1162" spans="2:23" ht="18.75" customHeight="1">
      <c r="B1162" s="43" t="s">
        <v>158</v>
      </c>
      <c r="C1162" s="108" t="str">
        <f>R1165&amp;"登録"</f>
        <v>バックアップ_医科レセプト_医薬品レコード_算定日情報登録</v>
      </c>
      <c r="D1162" s="109"/>
      <c r="E1162" s="109"/>
      <c r="F1162" s="109"/>
      <c r="G1162" s="109"/>
      <c r="H1162" s="109"/>
      <c r="I1162" s="109"/>
      <c r="J1162" s="109"/>
      <c r="K1162" s="109"/>
      <c r="L1162" s="109"/>
      <c r="M1162" s="109"/>
      <c r="N1162" s="109"/>
      <c r="O1162" s="109"/>
      <c r="P1162" s="109"/>
      <c r="Q1162" s="109"/>
      <c r="R1162" s="109"/>
      <c r="S1162" s="109"/>
      <c r="T1162" s="109"/>
      <c r="U1162" s="110"/>
      <c r="W1162" s="35" t="str">
        <f>"-- "&amp;C1162</f>
        <v>-- バックアップ_医科レセプト_医薬品レコード_算定日情報登録</v>
      </c>
    </row>
    <row r="1163" spans="2:23" ht="18.75" customHeight="1">
      <c r="B1163" s="43" t="s">
        <v>159</v>
      </c>
      <c r="C1163" s="111" t="str">
        <f>C1165&amp;"テーブルから組入れ条件の第一条件で絞り込んだ結果を"&amp;R1165&amp;"テーブルに格納する。"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163" s="112"/>
      <c r="E1163" s="112"/>
      <c r="F1163" s="112"/>
      <c r="G1163" s="112"/>
      <c r="H1163" s="112"/>
      <c r="I1163" s="112"/>
      <c r="J1163" s="112"/>
      <c r="K1163" s="112"/>
      <c r="L1163" s="112"/>
      <c r="M1163" s="112"/>
      <c r="N1163" s="112"/>
      <c r="O1163" s="112"/>
      <c r="P1163" s="112"/>
      <c r="Q1163" s="112"/>
      <c r="R1163" s="112"/>
      <c r="S1163" s="112"/>
      <c r="T1163" s="112"/>
      <c r="U1163" s="113"/>
      <c r="W1163" s="35" t="str">
        <f>"-- "&amp;C1163</f>
        <v>-- 医科レセプト_医薬品レコード_算定日情報_結合テーブルから組入れ条件の第一条件で絞り込んだ結果をバックアップ_医科レセプト_医薬品レコード_算定日情報テーブルに格納する。</v>
      </c>
    </row>
    <row r="1165" spans="2:23" ht="18.75" customHeight="1">
      <c r="C1165" s="102" t="s">
        <v>3434</v>
      </c>
      <c r="D1165" s="103"/>
      <c r="E1165" s="114" t="s">
        <v>162</v>
      </c>
      <c r="H1165" s="36"/>
      <c r="I1165" s="36"/>
      <c r="J1165" s="36"/>
      <c r="K1165" s="36"/>
      <c r="L1165" s="36"/>
      <c r="M1165" s="36"/>
      <c r="N1165" s="36"/>
      <c r="O1165" s="36"/>
      <c r="P1165" s="36"/>
      <c r="Q1165" s="36"/>
      <c r="R1165" s="120" t="str">
        <f>"バックアップ_"&amp;SUBSTITUTE(C1165,"_結合","")</f>
        <v>バックアップ_医科レセプト_医薬品レコード_算定日情報</v>
      </c>
      <c r="S1165" s="121"/>
      <c r="T1165" s="106" t="str">
        <f>エンティティ一覧!$O$2</f>
        <v>milscm_2023_009</v>
      </c>
    </row>
    <row r="1166" spans="2:23" ht="18.75" customHeight="1">
      <c r="C1166" s="104"/>
      <c r="D1166" s="105"/>
      <c r="E1166" s="115"/>
      <c r="F1166" s="37"/>
      <c r="G1166" s="38"/>
      <c r="H1166" s="37"/>
      <c r="I1166" s="37"/>
      <c r="J1166" s="37"/>
      <c r="K1166" s="37"/>
      <c r="L1166" s="37"/>
      <c r="M1166" s="37"/>
      <c r="N1166" s="37"/>
      <c r="O1166" s="37"/>
      <c r="P1166" s="37"/>
      <c r="Q1166" s="37"/>
      <c r="R1166" s="122"/>
      <c r="S1166" s="123"/>
      <c r="T1166" s="107"/>
    </row>
    <row r="1167" spans="2:23" ht="18.75" customHeight="1">
      <c r="F1167" s="39"/>
      <c r="G1167" s="40"/>
    </row>
    <row r="1168" spans="2:23" ht="18.75" customHeight="1">
      <c r="C1168" s="102" t="s">
        <v>3201</v>
      </c>
      <c r="D1168" s="103"/>
      <c r="E1168" s="106" t="str">
        <f>エンティティ一覧!$O$2</f>
        <v>milscm_2023_009</v>
      </c>
      <c r="G1168" s="41"/>
    </row>
    <row r="1169" spans="2:23" ht="18.75" customHeight="1">
      <c r="C1169" s="104"/>
      <c r="D1169" s="105"/>
      <c r="E1169" s="107"/>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3435</v>
      </c>
      <c r="D1173" s="90"/>
      <c r="W1173" s="35" t="str">
        <f>"-- "&amp;B1173&amp;" : "&amp;C1173</f>
        <v>-- SQL_ID : 01_C2-16</v>
      </c>
    </row>
    <row r="1174" spans="2:23" ht="18.75" customHeight="1">
      <c r="B1174" s="43" t="s">
        <v>158</v>
      </c>
      <c r="C1174" s="108" t="str">
        <f>R1177&amp;"登録"</f>
        <v>バックアップ_医科レセプト_臓器提供者レセプト情報レコード登録</v>
      </c>
      <c r="D1174" s="109"/>
      <c r="E1174" s="109"/>
      <c r="F1174" s="109"/>
      <c r="G1174" s="109"/>
      <c r="H1174" s="109"/>
      <c r="I1174" s="109"/>
      <c r="J1174" s="109"/>
      <c r="K1174" s="109"/>
      <c r="L1174" s="109"/>
      <c r="M1174" s="109"/>
      <c r="N1174" s="109"/>
      <c r="O1174" s="109"/>
      <c r="P1174" s="109"/>
      <c r="Q1174" s="109"/>
      <c r="R1174" s="109"/>
      <c r="S1174" s="109"/>
      <c r="T1174" s="109"/>
      <c r="U1174" s="110"/>
      <c r="W1174" s="35" t="str">
        <f>"-- "&amp;C1174</f>
        <v>-- バックアップ_医科レセプト_臓器提供者レセプト情報レコード登録</v>
      </c>
    </row>
    <row r="1175" spans="2:23" ht="18.75" customHeight="1">
      <c r="B1175" s="43" t="s">
        <v>159</v>
      </c>
      <c r="C1175" s="111" t="str">
        <f>C1177&amp;"テーブルから組入れ条件の第一条件で絞り込んだ結果を"&amp;R1177&amp;"テーブルに格納する。"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175" s="112"/>
      <c r="E1175" s="112"/>
      <c r="F1175" s="112"/>
      <c r="G1175" s="112"/>
      <c r="H1175" s="112"/>
      <c r="I1175" s="112"/>
      <c r="J1175" s="112"/>
      <c r="K1175" s="112"/>
      <c r="L1175" s="112"/>
      <c r="M1175" s="112"/>
      <c r="N1175" s="112"/>
      <c r="O1175" s="112"/>
      <c r="P1175" s="112"/>
      <c r="Q1175" s="112"/>
      <c r="R1175" s="112"/>
      <c r="S1175" s="112"/>
      <c r="T1175" s="112"/>
      <c r="U1175" s="113"/>
      <c r="W1175" s="35" t="str">
        <f>"-- "&amp;C1175</f>
        <v>-- 医科レセプト_臓器提供者レセプト情報レコード_結合テーブルから組入れ条件の第一条件で絞り込んだ結果をバックアップ_医科レセプト_臓器提供者レセプト情報レコードテーブルに格納する。</v>
      </c>
    </row>
    <row r="1177" spans="2:23" ht="18.75" customHeight="1">
      <c r="C1177" s="102" t="s">
        <v>3436</v>
      </c>
      <c r="D1177" s="103"/>
      <c r="E1177" s="114" t="s">
        <v>162</v>
      </c>
      <c r="H1177" s="36"/>
      <c r="I1177" s="36"/>
      <c r="J1177" s="36"/>
      <c r="K1177" s="36"/>
      <c r="L1177" s="36"/>
      <c r="M1177" s="36"/>
      <c r="N1177" s="36"/>
      <c r="O1177" s="36"/>
      <c r="P1177" s="36"/>
      <c r="Q1177" s="36"/>
      <c r="R1177" s="124" t="str">
        <f>"バックアップ_"&amp;SUBSTITUTE(C1177,"_結合","")</f>
        <v>バックアップ_医科レセプト_臓器提供者レセプト情報レコード</v>
      </c>
      <c r="S1177" s="125"/>
      <c r="T1177" s="106" t="str">
        <f>エンティティ一覧!$O$2</f>
        <v>milscm_2023_009</v>
      </c>
    </row>
    <row r="1178" spans="2:23" ht="18.75" customHeight="1">
      <c r="C1178" s="104"/>
      <c r="D1178" s="105"/>
      <c r="E1178" s="115"/>
      <c r="F1178" s="37"/>
      <c r="G1178" s="38"/>
      <c r="H1178" s="37"/>
      <c r="I1178" s="37"/>
      <c r="J1178" s="37"/>
      <c r="K1178" s="37"/>
      <c r="L1178" s="37"/>
      <c r="M1178" s="37"/>
      <c r="N1178" s="37"/>
      <c r="O1178" s="37"/>
      <c r="P1178" s="37"/>
      <c r="Q1178" s="37"/>
      <c r="R1178" s="126"/>
      <c r="S1178" s="127"/>
      <c r="T1178" s="107"/>
    </row>
    <row r="1179" spans="2:23" ht="18.75" customHeight="1">
      <c r="F1179" s="39"/>
      <c r="G1179" s="40"/>
    </row>
    <row r="1180" spans="2:23" ht="18.75" customHeight="1">
      <c r="C1180" s="102" t="s">
        <v>3201</v>
      </c>
      <c r="D1180" s="103"/>
      <c r="E1180" s="106" t="str">
        <f>エンティティ一覧!$O$2</f>
        <v>milscm_2023_009</v>
      </c>
      <c r="G1180" s="41"/>
    </row>
    <row r="1181" spans="2:23" ht="18.75" customHeight="1">
      <c r="C1181" s="104"/>
      <c r="D1181" s="105"/>
      <c r="E1181" s="107"/>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3437</v>
      </c>
      <c r="D1185" s="90"/>
      <c r="W1185" s="35" t="str">
        <f>"-- "&amp;B1185&amp;" : "&amp;C1185</f>
        <v>-- SQL_ID : 01_C3-01</v>
      </c>
    </row>
    <row r="1186" spans="2:23" ht="18.75" customHeight="1">
      <c r="B1186" s="43" t="s">
        <v>158</v>
      </c>
      <c r="C1186" s="108" t="str">
        <f>R1189&amp;"登録"</f>
        <v>バックアップ_DPCレセプト_医療機関情報レコード登録</v>
      </c>
      <c r="D1186" s="109"/>
      <c r="E1186" s="109"/>
      <c r="F1186" s="109"/>
      <c r="G1186" s="109"/>
      <c r="H1186" s="109"/>
      <c r="I1186" s="109"/>
      <c r="J1186" s="109"/>
      <c r="K1186" s="109"/>
      <c r="L1186" s="109"/>
      <c r="M1186" s="109"/>
      <c r="N1186" s="109"/>
      <c r="O1186" s="109"/>
      <c r="P1186" s="109"/>
      <c r="Q1186" s="109"/>
      <c r="R1186" s="109"/>
      <c r="S1186" s="109"/>
      <c r="T1186" s="109"/>
      <c r="U1186" s="110"/>
      <c r="W1186" s="35" t="str">
        <f>"-- "&amp;C1186</f>
        <v>-- バックアップ_DPCレセプト_医療機関情報レコード登録</v>
      </c>
    </row>
    <row r="1187" spans="2:23" ht="18.75" customHeight="1">
      <c r="B1187" s="43" t="s">
        <v>159</v>
      </c>
      <c r="C1187" s="111" t="str">
        <f>C1189&amp;"テーブルから組入れ条件の第一条件で絞り込んだ結果を"&amp;R1189&amp;"テーブルに格納する。"</f>
        <v>DPCレセプト_医療機関情報レコード_結合テーブルから組入れ条件の第一条件で絞り込んだ結果をバックアップ_DPCレセプト_医療機関情報レコードテーブルに格納する。</v>
      </c>
      <c r="D1187" s="112"/>
      <c r="E1187" s="112"/>
      <c r="F1187" s="112"/>
      <c r="G1187" s="112"/>
      <c r="H1187" s="112"/>
      <c r="I1187" s="112"/>
      <c r="J1187" s="112"/>
      <c r="K1187" s="112"/>
      <c r="L1187" s="112"/>
      <c r="M1187" s="112"/>
      <c r="N1187" s="112"/>
      <c r="O1187" s="112"/>
      <c r="P1187" s="112"/>
      <c r="Q1187" s="112"/>
      <c r="R1187" s="112"/>
      <c r="S1187" s="112"/>
      <c r="T1187" s="112"/>
      <c r="U1187" s="113"/>
      <c r="W1187" s="35" t="str">
        <f>"-- "&amp;C1187</f>
        <v>-- DPCレセプト_医療機関情報レコード_結合テーブルから組入れ条件の第一条件で絞り込んだ結果をバックアップ_DPCレセプト_医療機関情報レコードテーブルに格納する。</v>
      </c>
    </row>
    <row r="1189" spans="2:23" ht="18.75" customHeight="1">
      <c r="C1189" s="102" t="s">
        <v>3438</v>
      </c>
      <c r="D1189" s="103"/>
      <c r="E1189" s="114" t="s">
        <v>162</v>
      </c>
      <c r="H1189" s="36"/>
      <c r="I1189" s="36"/>
      <c r="J1189" s="36"/>
      <c r="K1189" s="36"/>
      <c r="L1189" s="36"/>
      <c r="M1189" s="36"/>
      <c r="N1189" s="36"/>
      <c r="O1189" s="36"/>
      <c r="P1189" s="36"/>
      <c r="Q1189" s="36"/>
      <c r="R1189" s="102" t="str">
        <f>"バックアップ_"&amp;SUBSTITUTE(C1189,"_結合","")</f>
        <v>バックアップ_DPCレセプト_医療機関情報レコード</v>
      </c>
      <c r="S1189" s="103"/>
      <c r="T1189" s="106" t="str">
        <f>エンティティ一覧!$O$2</f>
        <v>milscm_2023_009</v>
      </c>
    </row>
    <row r="1190" spans="2:23" ht="18.75" customHeight="1">
      <c r="C1190" s="104"/>
      <c r="D1190" s="105"/>
      <c r="E1190" s="115"/>
      <c r="F1190" s="37"/>
      <c r="G1190" s="38"/>
      <c r="H1190" s="37"/>
      <c r="I1190" s="37"/>
      <c r="J1190" s="37"/>
      <c r="K1190" s="37"/>
      <c r="L1190" s="37"/>
      <c r="M1190" s="37"/>
      <c r="N1190" s="37"/>
      <c r="O1190" s="37"/>
      <c r="P1190" s="37"/>
      <c r="Q1190" s="37"/>
      <c r="R1190" s="104"/>
      <c r="S1190" s="105"/>
      <c r="T1190" s="107"/>
    </row>
    <row r="1191" spans="2:23" ht="18.75" customHeight="1">
      <c r="F1191" s="39"/>
      <c r="G1191" s="40"/>
    </row>
    <row r="1192" spans="2:23" ht="18.75" customHeight="1">
      <c r="C1192" s="102" t="s">
        <v>3201</v>
      </c>
      <c r="D1192" s="103"/>
      <c r="E1192" s="106" t="str">
        <f>エンティティ一覧!$O$2</f>
        <v>milscm_2023_009</v>
      </c>
      <c r="G1192" s="41"/>
    </row>
    <row r="1193" spans="2:23" ht="18.75" customHeight="1">
      <c r="C1193" s="104"/>
      <c r="D1193" s="105"/>
      <c r="E1193" s="107"/>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3439</v>
      </c>
      <c r="D1197" s="90"/>
      <c r="W1197" s="35" t="str">
        <f>"-- "&amp;B1197&amp;" : "&amp;C1197</f>
        <v>-- SQL_ID : 01_C3-02</v>
      </c>
    </row>
    <row r="1198" spans="2:23" ht="18.75" customHeight="1">
      <c r="B1198" s="43" t="s">
        <v>158</v>
      </c>
      <c r="C1198" s="108" t="str">
        <f>R1201&amp;"登録"</f>
        <v>バックアップ_DPCレセプト_レセプト共通レコード登録</v>
      </c>
      <c r="D1198" s="109"/>
      <c r="E1198" s="109"/>
      <c r="F1198" s="109"/>
      <c r="G1198" s="109"/>
      <c r="H1198" s="109"/>
      <c r="I1198" s="109"/>
      <c r="J1198" s="109"/>
      <c r="K1198" s="109"/>
      <c r="L1198" s="109"/>
      <c r="M1198" s="109"/>
      <c r="N1198" s="109"/>
      <c r="O1198" s="109"/>
      <c r="P1198" s="109"/>
      <c r="Q1198" s="109"/>
      <c r="R1198" s="109"/>
      <c r="S1198" s="109"/>
      <c r="T1198" s="109"/>
      <c r="U1198" s="110"/>
      <c r="W1198" s="35" t="str">
        <f>"-- "&amp;C1198</f>
        <v>-- バックアップ_DPCレセプト_レセプト共通レコード登録</v>
      </c>
    </row>
    <row r="1199" spans="2:23" ht="18.75" customHeight="1">
      <c r="B1199" s="43" t="s">
        <v>159</v>
      </c>
      <c r="C1199" s="111" t="str">
        <f>C1201&amp;"テーブルから組入れ条件の第一条件で絞り込んだ結果を"&amp;R1201&amp;"テーブルに格納する。"</f>
        <v>DPCレセプト_レセプト共通レコード_結合テーブルから組入れ条件の第一条件で絞り込んだ結果をバックアップ_DPCレセプト_レセプト共通レコードテーブルに格納する。</v>
      </c>
      <c r="D1199" s="112"/>
      <c r="E1199" s="112"/>
      <c r="F1199" s="112"/>
      <c r="G1199" s="112"/>
      <c r="H1199" s="112"/>
      <c r="I1199" s="112"/>
      <c r="J1199" s="112"/>
      <c r="K1199" s="112"/>
      <c r="L1199" s="112"/>
      <c r="M1199" s="112"/>
      <c r="N1199" s="112"/>
      <c r="O1199" s="112"/>
      <c r="P1199" s="112"/>
      <c r="Q1199" s="112"/>
      <c r="R1199" s="112"/>
      <c r="S1199" s="112"/>
      <c r="T1199" s="112"/>
      <c r="U1199" s="113"/>
      <c r="W1199" s="35" t="str">
        <f>"-- "&amp;C1199</f>
        <v>-- DPCレセプト_レセプト共通レコード_結合テーブルから組入れ条件の第一条件で絞り込んだ結果をバックアップ_DPCレセプト_レセプト共通レコードテーブルに格納する。</v>
      </c>
    </row>
    <row r="1201" spans="2:23" ht="18.75" customHeight="1">
      <c r="C1201" s="102" t="s">
        <v>3440</v>
      </c>
      <c r="D1201" s="103"/>
      <c r="E1201" s="114" t="s">
        <v>162</v>
      </c>
      <c r="H1201" s="36"/>
      <c r="I1201" s="36"/>
      <c r="J1201" s="36"/>
      <c r="K1201" s="36"/>
      <c r="L1201" s="36"/>
      <c r="M1201" s="36"/>
      <c r="N1201" s="36"/>
      <c r="O1201" s="36"/>
      <c r="P1201" s="36"/>
      <c r="Q1201" s="36"/>
      <c r="R1201" s="102" t="str">
        <f>"バックアップ_"&amp;SUBSTITUTE(C1201,"_結合","")</f>
        <v>バックアップ_DPCレセプト_レセプト共通レコード</v>
      </c>
      <c r="S1201" s="103"/>
      <c r="T1201" s="106" t="str">
        <f>エンティティ一覧!$O$2</f>
        <v>milscm_2023_009</v>
      </c>
    </row>
    <row r="1202" spans="2:23" ht="18.75" customHeight="1">
      <c r="C1202" s="104"/>
      <c r="D1202" s="105"/>
      <c r="E1202" s="115"/>
      <c r="F1202" s="37"/>
      <c r="G1202" s="38"/>
      <c r="H1202" s="37"/>
      <c r="I1202" s="37"/>
      <c r="J1202" s="37"/>
      <c r="K1202" s="37"/>
      <c r="L1202" s="37"/>
      <c r="M1202" s="37"/>
      <c r="N1202" s="37"/>
      <c r="O1202" s="37"/>
      <c r="P1202" s="37"/>
      <c r="Q1202" s="37"/>
      <c r="R1202" s="104"/>
      <c r="S1202" s="105"/>
      <c r="T1202" s="107"/>
    </row>
    <row r="1203" spans="2:23" ht="18.75" customHeight="1">
      <c r="F1203" s="39"/>
      <c r="G1203" s="40"/>
    </row>
    <row r="1204" spans="2:23" ht="18.75" customHeight="1">
      <c r="C1204" s="102" t="s">
        <v>3201</v>
      </c>
      <c r="D1204" s="103"/>
      <c r="E1204" s="106" t="str">
        <f>エンティティ一覧!$O$2</f>
        <v>milscm_2023_009</v>
      </c>
      <c r="G1204" s="41"/>
    </row>
    <row r="1205" spans="2:23" ht="18.75" customHeight="1">
      <c r="C1205" s="104"/>
      <c r="D1205" s="105"/>
      <c r="E1205" s="107"/>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3441</v>
      </c>
      <c r="D1209" s="90"/>
      <c r="W1209" s="35" t="str">
        <f>"-- "&amp;B1209&amp;" : "&amp;C1209</f>
        <v>-- SQL_ID : 01_C3-08</v>
      </c>
    </row>
    <row r="1210" spans="2:23" ht="18.75" customHeight="1">
      <c r="B1210" s="43" t="s">
        <v>158</v>
      </c>
      <c r="C1210" s="108" t="str">
        <f>R1213&amp;"登録"</f>
        <v>バックアップ_DPCレセプト_診断群分類レコード登録</v>
      </c>
      <c r="D1210" s="109"/>
      <c r="E1210" s="109"/>
      <c r="F1210" s="109"/>
      <c r="G1210" s="109"/>
      <c r="H1210" s="109"/>
      <c r="I1210" s="109"/>
      <c r="J1210" s="109"/>
      <c r="K1210" s="109"/>
      <c r="L1210" s="109"/>
      <c r="M1210" s="109"/>
      <c r="N1210" s="109"/>
      <c r="O1210" s="109"/>
      <c r="P1210" s="109"/>
      <c r="Q1210" s="109"/>
      <c r="R1210" s="109"/>
      <c r="S1210" s="109"/>
      <c r="T1210" s="109"/>
      <c r="U1210" s="110"/>
      <c r="W1210" s="35" t="str">
        <f>"-- "&amp;C1210</f>
        <v>-- バックアップ_DPCレセプト_診断群分類レコード登録</v>
      </c>
    </row>
    <row r="1211" spans="2:23" ht="18.75" customHeight="1">
      <c r="B1211" s="43" t="s">
        <v>159</v>
      </c>
      <c r="C1211" s="111" t="str">
        <f>C1213&amp;"テーブルから組入れ条件の第一条件で絞り込んだ結果を"&amp;R1213&amp;"テーブルに格納する。"</f>
        <v>DPCレセプト_診断群分類レコード_結合テーブルから組入れ条件の第一条件で絞り込んだ結果をバックアップ_DPCレセプト_診断群分類レコードテーブルに格納する。</v>
      </c>
      <c r="D1211" s="112"/>
      <c r="E1211" s="112"/>
      <c r="F1211" s="112"/>
      <c r="G1211" s="112"/>
      <c r="H1211" s="112"/>
      <c r="I1211" s="112"/>
      <c r="J1211" s="112"/>
      <c r="K1211" s="112"/>
      <c r="L1211" s="112"/>
      <c r="M1211" s="112"/>
      <c r="N1211" s="112"/>
      <c r="O1211" s="112"/>
      <c r="P1211" s="112"/>
      <c r="Q1211" s="112"/>
      <c r="R1211" s="112"/>
      <c r="S1211" s="112"/>
      <c r="T1211" s="112"/>
      <c r="U1211" s="113"/>
      <c r="W1211" s="35" t="str">
        <f>"-- "&amp;C1211</f>
        <v>-- DPCレセプト_診断群分類レコード_結合テーブルから組入れ条件の第一条件で絞り込んだ結果をバックアップ_DPCレセプト_診断群分類レコードテーブルに格納する。</v>
      </c>
    </row>
    <row r="1213" spans="2:23" ht="18.75" customHeight="1">
      <c r="C1213" s="102" t="s">
        <v>3442</v>
      </c>
      <c r="D1213" s="103"/>
      <c r="E1213" s="114" t="s">
        <v>162</v>
      </c>
      <c r="H1213" s="36"/>
      <c r="I1213" s="36"/>
      <c r="J1213" s="36"/>
      <c r="K1213" s="36"/>
      <c r="L1213" s="36"/>
      <c r="M1213" s="36"/>
      <c r="N1213" s="36"/>
      <c r="O1213" s="36"/>
      <c r="P1213" s="36"/>
      <c r="Q1213" s="36"/>
      <c r="R1213" s="102" t="str">
        <f>"バックアップ_"&amp;SUBSTITUTE(C1213,"_結合","")</f>
        <v>バックアップ_DPCレセプト_診断群分類レコード</v>
      </c>
      <c r="S1213" s="103"/>
      <c r="T1213" s="106" t="str">
        <f>エンティティ一覧!$O$2</f>
        <v>milscm_2023_009</v>
      </c>
    </row>
    <row r="1214" spans="2:23" ht="18.75" customHeight="1">
      <c r="C1214" s="104"/>
      <c r="D1214" s="105"/>
      <c r="E1214" s="115"/>
      <c r="F1214" s="37"/>
      <c r="G1214" s="38"/>
      <c r="H1214" s="37"/>
      <c r="I1214" s="37"/>
      <c r="J1214" s="37"/>
      <c r="K1214" s="37"/>
      <c r="L1214" s="37"/>
      <c r="M1214" s="37"/>
      <c r="N1214" s="37"/>
      <c r="O1214" s="37"/>
      <c r="P1214" s="37"/>
      <c r="Q1214" s="37"/>
      <c r="R1214" s="104"/>
      <c r="S1214" s="105"/>
      <c r="T1214" s="107"/>
    </row>
    <row r="1215" spans="2:23" ht="18.75" customHeight="1">
      <c r="F1215" s="39"/>
      <c r="G1215" s="40"/>
    </row>
    <row r="1216" spans="2:23" ht="18.75" customHeight="1">
      <c r="C1216" s="102" t="s">
        <v>3201</v>
      </c>
      <c r="D1216" s="103"/>
      <c r="E1216" s="106" t="str">
        <f>エンティティ一覧!$O$2</f>
        <v>milscm_2023_009</v>
      </c>
      <c r="G1216" s="41"/>
    </row>
    <row r="1217" spans="2:23" ht="18.75" customHeight="1">
      <c r="C1217" s="104"/>
      <c r="D1217" s="105"/>
      <c r="E1217" s="107"/>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3443</v>
      </c>
      <c r="D1221" s="90"/>
      <c r="W1221" s="35" t="str">
        <f>"-- "&amp;B1221&amp;" : "&amp;C1221</f>
        <v>-- SQL_ID : 01_C3-09</v>
      </c>
    </row>
    <row r="1222" spans="2:23" ht="18.75" customHeight="1">
      <c r="B1222" s="43" t="s">
        <v>158</v>
      </c>
      <c r="C1222" s="108" t="str">
        <f>R1225&amp;"登録"</f>
        <v>バックアップ_DPCレセプト_傷病レコード登録</v>
      </c>
      <c r="D1222" s="109"/>
      <c r="E1222" s="109"/>
      <c r="F1222" s="109"/>
      <c r="G1222" s="109"/>
      <c r="H1222" s="109"/>
      <c r="I1222" s="109"/>
      <c r="J1222" s="109"/>
      <c r="K1222" s="109"/>
      <c r="L1222" s="109"/>
      <c r="M1222" s="109"/>
      <c r="N1222" s="109"/>
      <c r="O1222" s="109"/>
      <c r="P1222" s="109"/>
      <c r="Q1222" s="109"/>
      <c r="R1222" s="109"/>
      <c r="S1222" s="109"/>
      <c r="T1222" s="109"/>
      <c r="U1222" s="110"/>
      <c r="W1222" s="35" t="str">
        <f>"-- "&amp;C1222</f>
        <v>-- バックアップ_DPCレセプト_傷病レコード登録</v>
      </c>
    </row>
    <row r="1223" spans="2:23" ht="18.75" customHeight="1">
      <c r="B1223" s="43" t="s">
        <v>159</v>
      </c>
      <c r="C1223" s="111" t="str">
        <f>C1225&amp;"テーブルから組入れ条件の第一条件で絞り込んだ結果を"&amp;R1225&amp;"テーブルに格納する。"</f>
        <v>DPCレセプト_傷病レコード_結合テーブルから組入れ条件の第一条件で絞り込んだ結果をバックアップ_DPCレセプト_傷病レコードテーブルに格納する。</v>
      </c>
      <c r="D1223" s="112"/>
      <c r="E1223" s="112"/>
      <c r="F1223" s="112"/>
      <c r="G1223" s="112"/>
      <c r="H1223" s="112"/>
      <c r="I1223" s="112"/>
      <c r="J1223" s="112"/>
      <c r="K1223" s="112"/>
      <c r="L1223" s="112"/>
      <c r="M1223" s="112"/>
      <c r="N1223" s="112"/>
      <c r="O1223" s="112"/>
      <c r="P1223" s="112"/>
      <c r="Q1223" s="112"/>
      <c r="R1223" s="112"/>
      <c r="S1223" s="112"/>
      <c r="T1223" s="112"/>
      <c r="U1223" s="113"/>
      <c r="W1223" s="35" t="str">
        <f>"-- "&amp;C1223</f>
        <v>-- DPCレセプト_傷病レコード_結合テーブルから組入れ条件の第一条件で絞り込んだ結果をバックアップ_DPCレセプト_傷病レコードテーブルに格納する。</v>
      </c>
    </row>
    <row r="1225" spans="2:23" ht="18.75" customHeight="1">
      <c r="C1225" s="102" t="s">
        <v>3444</v>
      </c>
      <c r="D1225" s="103"/>
      <c r="E1225" s="114" t="s">
        <v>162</v>
      </c>
      <c r="H1225" s="36"/>
      <c r="I1225" s="36"/>
      <c r="J1225" s="36"/>
      <c r="K1225" s="36"/>
      <c r="L1225" s="36"/>
      <c r="M1225" s="36"/>
      <c r="N1225" s="36"/>
      <c r="O1225" s="36"/>
      <c r="P1225" s="36"/>
      <c r="Q1225" s="36"/>
      <c r="R1225" s="102" t="str">
        <f>"バックアップ_"&amp;SUBSTITUTE(C1225,"_結合","")</f>
        <v>バックアップ_DPCレセプト_傷病レコード</v>
      </c>
      <c r="S1225" s="103"/>
      <c r="T1225" s="106" t="str">
        <f>エンティティ一覧!$O$2</f>
        <v>milscm_2023_009</v>
      </c>
    </row>
    <row r="1226" spans="2:23" ht="18.75" customHeight="1">
      <c r="C1226" s="104"/>
      <c r="D1226" s="105"/>
      <c r="E1226" s="115"/>
      <c r="F1226" s="37"/>
      <c r="G1226" s="38"/>
      <c r="H1226" s="37"/>
      <c r="I1226" s="37"/>
      <c r="J1226" s="37"/>
      <c r="K1226" s="37"/>
      <c r="L1226" s="37"/>
      <c r="M1226" s="37"/>
      <c r="N1226" s="37"/>
      <c r="O1226" s="37"/>
      <c r="P1226" s="37"/>
      <c r="Q1226" s="37"/>
      <c r="R1226" s="104"/>
      <c r="S1226" s="105"/>
      <c r="T1226" s="107"/>
    </row>
    <row r="1227" spans="2:23" ht="18.75" customHeight="1">
      <c r="F1227" s="39"/>
      <c r="G1227" s="40"/>
    </row>
    <row r="1228" spans="2:23" ht="18.75" customHeight="1">
      <c r="C1228" s="102" t="s">
        <v>3201</v>
      </c>
      <c r="D1228" s="103"/>
      <c r="E1228" s="106" t="str">
        <f>エンティティ一覧!$O$2</f>
        <v>milscm_2023_009</v>
      </c>
      <c r="G1228" s="41"/>
    </row>
    <row r="1229" spans="2:23" ht="18.75" customHeight="1">
      <c r="C1229" s="104"/>
      <c r="D1229" s="105"/>
      <c r="E1229" s="107"/>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3445</v>
      </c>
      <c r="D1233" s="90"/>
      <c r="W1233" s="35" t="str">
        <f>"-- "&amp;B1233&amp;" : "&amp;C1233</f>
        <v>-- SQL_ID : 01_C3-10</v>
      </c>
    </row>
    <row r="1234" spans="2:23" ht="18.75" customHeight="1">
      <c r="B1234" s="43" t="s">
        <v>158</v>
      </c>
      <c r="C1234" s="108" t="str">
        <f>R1237&amp;"登録"</f>
        <v>バックアップ_DPCレセプト_傷病名レコード登録</v>
      </c>
      <c r="D1234" s="109"/>
      <c r="E1234" s="109"/>
      <c r="F1234" s="109"/>
      <c r="G1234" s="109"/>
      <c r="H1234" s="109"/>
      <c r="I1234" s="109"/>
      <c r="J1234" s="109"/>
      <c r="K1234" s="109"/>
      <c r="L1234" s="109"/>
      <c r="M1234" s="109"/>
      <c r="N1234" s="109"/>
      <c r="O1234" s="109"/>
      <c r="P1234" s="109"/>
      <c r="Q1234" s="109"/>
      <c r="R1234" s="109"/>
      <c r="S1234" s="109"/>
      <c r="T1234" s="109"/>
      <c r="U1234" s="110"/>
      <c r="W1234" s="35" t="str">
        <f>"-- "&amp;C1234</f>
        <v>-- バックアップ_DPCレセプト_傷病名レコード登録</v>
      </c>
    </row>
    <row r="1235" spans="2:23" ht="18.75" customHeight="1">
      <c r="B1235" s="43" t="s">
        <v>159</v>
      </c>
      <c r="C1235" s="111" t="str">
        <f>C1237&amp;"テーブルから組入れ条件の第一条件で絞り込んだ結果を"&amp;R1237&amp;"テーブルに格納する。"</f>
        <v>DPCレセプト_傷病名レコード_結合テーブルから組入れ条件の第一条件で絞り込んだ結果をバックアップ_DPCレセプト_傷病名レコードテーブルに格納する。</v>
      </c>
      <c r="D1235" s="112"/>
      <c r="E1235" s="112"/>
      <c r="F1235" s="112"/>
      <c r="G1235" s="112"/>
      <c r="H1235" s="112"/>
      <c r="I1235" s="112"/>
      <c r="J1235" s="112"/>
      <c r="K1235" s="112"/>
      <c r="L1235" s="112"/>
      <c r="M1235" s="112"/>
      <c r="N1235" s="112"/>
      <c r="O1235" s="112"/>
      <c r="P1235" s="112"/>
      <c r="Q1235" s="112"/>
      <c r="R1235" s="112"/>
      <c r="S1235" s="112"/>
      <c r="T1235" s="112"/>
      <c r="U1235" s="113"/>
      <c r="W1235" s="35" t="str">
        <f>"-- "&amp;C1235</f>
        <v>-- DPCレセプト_傷病名レコード_結合テーブルから組入れ条件の第一条件で絞り込んだ結果をバックアップ_DPCレセプト_傷病名レコードテーブルに格納する。</v>
      </c>
    </row>
    <row r="1237" spans="2:23" ht="18.75" customHeight="1">
      <c r="C1237" s="102" t="s">
        <v>3446</v>
      </c>
      <c r="D1237" s="103"/>
      <c r="E1237" s="114" t="s">
        <v>162</v>
      </c>
      <c r="H1237" s="36"/>
      <c r="I1237" s="36"/>
      <c r="J1237" s="36"/>
      <c r="K1237" s="36"/>
      <c r="L1237" s="36"/>
      <c r="M1237" s="36"/>
      <c r="N1237" s="36"/>
      <c r="O1237" s="36"/>
      <c r="P1237" s="36"/>
      <c r="Q1237" s="36"/>
      <c r="R1237" s="102" t="str">
        <f>"バックアップ_"&amp;SUBSTITUTE(C1237,"_結合","")</f>
        <v>バックアップ_DPCレセプト_傷病名レコード</v>
      </c>
      <c r="S1237" s="103"/>
      <c r="T1237" s="106" t="str">
        <f>エンティティ一覧!$O$2</f>
        <v>milscm_2023_009</v>
      </c>
    </row>
    <row r="1238" spans="2:23" ht="18.75" customHeight="1">
      <c r="C1238" s="104"/>
      <c r="D1238" s="105"/>
      <c r="E1238" s="115"/>
      <c r="F1238" s="37"/>
      <c r="G1238" s="38"/>
      <c r="H1238" s="37"/>
      <c r="I1238" s="37"/>
      <c r="J1238" s="37"/>
      <c r="K1238" s="37"/>
      <c r="L1238" s="37"/>
      <c r="M1238" s="37"/>
      <c r="N1238" s="37"/>
      <c r="O1238" s="37"/>
      <c r="P1238" s="37"/>
      <c r="Q1238" s="37"/>
      <c r="R1238" s="104"/>
      <c r="S1238" s="105"/>
      <c r="T1238" s="107"/>
    </row>
    <row r="1239" spans="2:23" ht="18.75" customHeight="1">
      <c r="F1239" s="39"/>
      <c r="G1239" s="40"/>
    </row>
    <row r="1240" spans="2:23" ht="18.75" customHeight="1">
      <c r="C1240" s="102" t="s">
        <v>3201</v>
      </c>
      <c r="D1240" s="103"/>
      <c r="E1240" s="106" t="str">
        <f>エンティティ一覧!$O$2</f>
        <v>milscm_2023_009</v>
      </c>
      <c r="G1240" s="41"/>
    </row>
    <row r="1241" spans="2:23" ht="18.75" customHeight="1">
      <c r="C1241" s="104"/>
      <c r="D1241" s="105"/>
      <c r="E1241" s="107"/>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3447</v>
      </c>
      <c r="D1245" s="90"/>
      <c r="W1245" s="35" t="str">
        <f>"-- "&amp;B1245&amp;" : "&amp;C1245</f>
        <v>-- SQL_ID : 01_C3-16</v>
      </c>
    </row>
    <row r="1246" spans="2:23" ht="18.75" customHeight="1">
      <c r="B1246" s="43" t="s">
        <v>158</v>
      </c>
      <c r="C1246" s="108" t="str">
        <f>R1249&amp;"登録"</f>
        <v>バックアップ_DPCレセプト_診療行為レコード登録</v>
      </c>
      <c r="D1246" s="109"/>
      <c r="E1246" s="109"/>
      <c r="F1246" s="109"/>
      <c r="G1246" s="109"/>
      <c r="H1246" s="109"/>
      <c r="I1246" s="109"/>
      <c r="J1246" s="109"/>
      <c r="K1246" s="109"/>
      <c r="L1246" s="109"/>
      <c r="M1246" s="109"/>
      <c r="N1246" s="109"/>
      <c r="O1246" s="109"/>
      <c r="P1246" s="109"/>
      <c r="Q1246" s="109"/>
      <c r="R1246" s="109"/>
      <c r="S1246" s="109"/>
      <c r="T1246" s="109"/>
      <c r="U1246" s="110"/>
      <c r="W1246" s="35" t="str">
        <f>"-- "&amp;C1246</f>
        <v>-- バックアップ_DPCレセプト_診療行為レコード登録</v>
      </c>
    </row>
    <row r="1247" spans="2:23" ht="18.75" customHeight="1">
      <c r="B1247" s="43" t="s">
        <v>159</v>
      </c>
      <c r="C1247" s="111" t="str">
        <f>C1249&amp;"テーブルから組入れ条件の第一条件で絞り込んだ結果を"&amp;R1249&amp;"テーブルに格納する。"</f>
        <v>DPCレセプト_診療行為レコード_結合テーブルから組入れ条件の第一条件で絞り込んだ結果をバックアップ_DPCレセプト_診療行為レコードテーブルに格納する。</v>
      </c>
      <c r="D1247" s="112"/>
      <c r="E1247" s="112"/>
      <c r="F1247" s="112"/>
      <c r="G1247" s="112"/>
      <c r="H1247" s="112"/>
      <c r="I1247" s="112"/>
      <c r="J1247" s="112"/>
      <c r="K1247" s="112"/>
      <c r="L1247" s="112"/>
      <c r="M1247" s="112"/>
      <c r="N1247" s="112"/>
      <c r="O1247" s="112"/>
      <c r="P1247" s="112"/>
      <c r="Q1247" s="112"/>
      <c r="R1247" s="112"/>
      <c r="S1247" s="112"/>
      <c r="T1247" s="112"/>
      <c r="U1247" s="113"/>
      <c r="W1247" s="35" t="str">
        <f>"-- "&amp;C1247</f>
        <v>-- DPCレセプト_診療行為レコード_結合テーブルから組入れ条件の第一条件で絞り込んだ結果をバックアップ_DPCレセプト_診療行為レコードテーブルに格納する。</v>
      </c>
    </row>
    <row r="1249" spans="2:23" ht="18.75" customHeight="1">
      <c r="C1249" s="102" t="s">
        <v>3448</v>
      </c>
      <c r="D1249" s="103"/>
      <c r="E1249" s="114" t="s">
        <v>162</v>
      </c>
      <c r="H1249" s="36"/>
      <c r="I1249" s="36"/>
      <c r="J1249" s="36"/>
      <c r="K1249" s="36"/>
      <c r="L1249" s="36"/>
      <c r="M1249" s="36"/>
      <c r="N1249" s="36"/>
      <c r="O1249" s="36"/>
      <c r="P1249" s="36"/>
      <c r="Q1249" s="36"/>
      <c r="R1249" s="102" t="str">
        <f>"バックアップ_"&amp;SUBSTITUTE(C1249,"_結合","")</f>
        <v>バックアップ_DPCレセプト_診療行為レコード</v>
      </c>
      <c r="S1249" s="103"/>
      <c r="T1249" s="106" t="str">
        <f>エンティティ一覧!$O$2</f>
        <v>milscm_2023_009</v>
      </c>
    </row>
    <row r="1250" spans="2:23" ht="18.75" customHeight="1">
      <c r="C1250" s="104"/>
      <c r="D1250" s="105"/>
      <c r="E1250" s="115"/>
      <c r="F1250" s="37"/>
      <c r="G1250" s="38"/>
      <c r="H1250" s="37"/>
      <c r="I1250" s="37"/>
      <c r="J1250" s="37"/>
      <c r="K1250" s="37"/>
      <c r="L1250" s="37"/>
      <c r="M1250" s="37"/>
      <c r="N1250" s="37"/>
      <c r="O1250" s="37"/>
      <c r="P1250" s="37"/>
      <c r="Q1250" s="37"/>
      <c r="R1250" s="104"/>
      <c r="S1250" s="105"/>
      <c r="T1250" s="107"/>
    </row>
    <row r="1251" spans="2:23" ht="18.75" customHeight="1">
      <c r="F1251" s="39"/>
      <c r="G1251" s="40"/>
    </row>
    <row r="1252" spans="2:23" ht="18.75" customHeight="1">
      <c r="C1252" s="102" t="s">
        <v>3201</v>
      </c>
      <c r="D1252" s="103"/>
      <c r="E1252" s="106" t="str">
        <f>エンティティ一覧!$O$2</f>
        <v>milscm_2023_009</v>
      </c>
      <c r="G1252" s="41"/>
    </row>
    <row r="1253" spans="2:23" ht="18.75" customHeight="1">
      <c r="C1253" s="104"/>
      <c r="D1253" s="105"/>
      <c r="E1253" s="107"/>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3449</v>
      </c>
      <c r="D1257" s="90"/>
      <c r="W1257" s="35" t="str">
        <f>"-- "&amp;B1257&amp;" : "&amp;C1257</f>
        <v>-- SQL_ID : 01_C3-17</v>
      </c>
    </row>
    <row r="1258" spans="2:23" ht="18.75" customHeight="1">
      <c r="B1258" s="43" t="s">
        <v>158</v>
      </c>
      <c r="C1258" s="108" t="str">
        <f>R1261&amp;"登録"</f>
        <v>バックアップ_DPCレセプト_診療行為レコード_算定日情報登録</v>
      </c>
      <c r="D1258" s="109"/>
      <c r="E1258" s="109"/>
      <c r="F1258" s="109"/>
      <c r="G1258" s="109"/>
      <c r="H1258" s="109"/>
      <c r="I1258" s="109"/>
      <c r="J1258" s="109"/>
      <c r="K1258" s="109"/>
      <c r="L1258" s="109"/>
      <c r="M1258" s="109"/>
      <c r="N1258" s="109"/>
      <c r="O1258" s="109"/>
      <c r="P1258" s="109"/>
      <c r="Q1258" s="109"/>
      <c r="R1258" s="109"/>
      <c r="S1258" s="109"/>
      <c r="T1258" s="109"/>
      <c r="U1258" s="110"/>
      <c r="W1258" s="35" t="str">
        <f>"-- "&amp;C1258</f>
        <v>-- バックアップ_DPCレセプト_診療行為レコード_算定日情報登録</v>
      </c>
    </row>
    <row r="1259" spans="2:23" ht="18.75" customHeight="1">
      <c r="B1259" s="43" t="s">
        <v>159</v>
      </c>
      <c r="C1259" s="111" t="str">
        <f>C1261&amp;"テーブルから組入れ条件の第一条件で絞り込んだ結果を"&amp;R1261&amp;"テーブルに格納する。"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259" s="112"/>
      <c r="E1259" s="112"/>
      <c r="F1259" s="112"/>
      <c r="G1259" s="112"/>
      <c r="H1259" s="112"/>
      <c r="I1259" s="112"/>
      <c r="J1259" s="112"/>
      <c r="K1259" s="112"/>
      <c r="L1259" s="112"/>
      <c r="M1259" s="112"/>
      <c r="N1259" s="112"/>
      <c r="O1259" s="112"/>
      <c r="P1259" s="112"/>
      <c r="Q1259" s="112"/>
      <c r="R1259" s="112"/>
      <c r="S1259" s="112"/>
      <c r="T1259" s="112"/>
      <c r="U1259" s="113"/>
      <c r="W1259" s="35" t="str">
        <f>"-- "&amp;C1259</f>
        <v>-- DPCレセプト_診療行為レコード_算定日情報_結合テーブルから組入れ条件の第一条件で絞り込んだ結果をバックアップ_DPCレセプト_診療行為レコード_算定日情報テーブルに格納する。</v>
      </c>
    </row>
    <row r="1261" spans="2:23" ht="18.75" customHeight="1">
      <c r="C1261" s="102" t="s">
        <v>3450</v>
      </c>
      <c r="D1261" s="103"/>
      <c r="E1261" s="114" t="s">
        <v>162</v>
      </c>
      <c r="H1261" s="36"/>
      <c r="I1261" s="36"/>
      <c r="J1261" s="36"/>
      <c r="K1261" s="36"/>
      <c r="L1261" s="36"/>
      <c r="M1261" s="36"/>
      <c r="N1261" s="36"/>
      <c r="O1261" s="36"/>
      <c r="P1261" s="36"/>
      <c r="Q1261" s="36"/>
      <c r="R1261" s="120" t="str">
        <f>"バックアップ_"&amp;SUBSTITUTE(C1261,"_結合","")</f>
        <v>バックアップ_DPCレセプト_診療行為レコード_算定日情報</v>
      </c>
      <c r="S1261" s="121"/>
      <c r="T1261" s="106" t="str">
        <f>エンティティ一覧!$O$2</f>
        <v>milscm_2023_009</v>
      </c>
    </row>
    <row r="1262" spans="2:23" ht="18.75" customHeight="1">
      <c r="C1262" s="104"/>
      <c r="D1262" s="105"/>
      <c r="E1262" s="115"/>
      <c r="F1262" s="37"/>
      <c r="G1262" s="38"/>
      <c r="H1262" s="37"/>
      <c r="I1262" s="37"/>
      <c r="J1262" s="37"/>
      <c r="K1262" s="37"/>
      <c r="L1262" s="37"/>
      <c r="M1262" s="37"/>
      <c r="N1262" s="37"/>
      <c r="O1262" s="37"/>
      <c r="P1262" s="37"/>
      <c r="Q1262" s="37"/>
      <c r="R1262" s="122"/>
      <c r="S1262" s="123"/>
      <c r="T1262" s="107"/>
    </row>
    <row r="1263" spans="2:23" ht="18.75" customHeight="1">
      <c r="F1263" s="39"/>
      <c r="G1263" s="40"/>
    </row>
    <row r="1264" spans="2:23" ht="18.75" customHeight="1">
      <c r="C1264" s="102" t="s">
        <v>3201</v>
      </c>
      <c r="D1264" s="103"/>
      <c r="E1264" s="106" t="str">
        <f>エンティティ一覧!$O$2</f>
        <v>milscm_2023_009</v>
      </c>
      <c r="G1264" s="41"/>
    </row>
    <row r="1265" spans="2:23" ht="18.75" customHeight="1">
      <c r="C1265" s="104"/>
      <c r="D1265" s="105"/>
      <c r="E1265" s="107"/>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3451</v>
      </c>
      <c r="D1269" s="90"/>
      <c r="W1269" s="35" t="str">
        <f>"-- "&amp;B1269&amp;" : "&amp;C1269</f>
        <v>-- SQL_ID : 01_C3-18</v>
      </c>
    </row>
    <row r="1270" spans="2:23" ht="18.75" customHeight="1">
      <c r="B1270" s="43" t="s">
        <v>158</v>
      </c>
      <c r="C1270" s="108" t="str">
        <f>R1273&amp;"登録"</f>
        <v>バックアップ_DPCレセプト_医薬品レコード登録</v>
      </c>
      <c r="D1270" s="109"/>
      <c r="E1270" s="109"/>
      <c r="F1270" s="109"/>
      <c r="G1270" s="109"/>
      <c r="H1270" s="109"/>
      <c r="I1270" s="109"/>
      <c r="J1270" s="109"/>
      <c r="K1270" s="109"/>
      <c r="L1270" s="109"/>
      <c r="M1270" s="109"/>
      <c r="N1270" s="109"/>
      <c r="O1270" s="109"/>
      <c r="P1270" s="109"/>
      <c r="Q1270" s="109"/>
      <c r="R1270" s="109"/>
      <c r="S1270" s="109"/>
      <c r="T1270" s="109"/>
      <c r="U1270" s="110"/>
      <c r="W1270" s="35" t="str">
        <f>"-- "&amp;C1270</f>
        <v>-- バックアップ_DPCレセプト_医薬品レコード登録</v>
      </c>
    </row>
    <row r="1271" spans="2:23" ht="18.75" customHeight="1">
      <c r="B1271" s="43" t="s">
        <v>159</v>
      </c>
      <c r="C1271" s="111" t="str">
        <f>C1273&amp;"テーブルから組入れ条件の第一条件で絞り込んだ結果を"&amp;R1273&amp;"テーブルに格納する。"</f>
        <v>DPCレセプト_医薬品レコード_結合テーブルから組入れ条件の第一条件で絞り込んだ結果をバックアップ_DPCレセプト_医薬品レコードテーブルに格納する。</v>
      </c>
      <c r="D1271" s="112"/>
      <c r="E1271" s="112"/>
      <c r="F1271" s="112"/>
      <c r="G1271" s="112"/>
      <c r="H1271" s="112"/>
      <c r="I1271" s="112"/>
      <c r="J1271" s="112"/>
      <c r="K1271" s="112"/>
      <c r="L1271" s="112"/>
      <c r="M1271" s="112"/>
      <c r="N1271" s="112"/>
      <c r="O1271" s="112"/>
      <c r="P1271" s="112"/>
      <c r="Q1271" s="112"/>
      <c r="R1271" s="112"/>
      <c r="S1271" s="112"/>
      <c r="T1271" s="112"/>
      <c r="U1271" s="113"/>
      <c r="W1271" s="35" t="str">
        <f>"-- "&amp;C1271</f>
        <v>-- DPCレセプト_医薬品レコード_結合テーブルから組入れ条件の第一条件で絞り込んだ結果をバックアップ_DPCレセプト_医薬品レコードテーブルに格納する。</v>
      </c>
    </row>
    <row r="1273" spans="2:23" ht="18.75" customHeight="1">
      <c r="C1273" s="102" t="s">
        <v>3452</v>
      </c>
      <c r="D1273" s="103"/>
      <c r="E1273" s="114" t="s">
        <v>162</v>
      </c>
      <c r="H1273" s="36"/>
      <c r="I1273" s="36"/>
      <c r="J1273" s="36"/>
      <c r="K1273" s="36"/>
      <c r="L1273" s="36"/>
      <c r="M1273" s="36"/>
      <c r="N1273" s="36"/>
      <c r="O1273" s="36"/>
      <c r="P1273" s="36"/>
      <c r="Q1273" s="36"/>
      <c r="R1273" s="102" t="str">
        <f>"バックアップ_"&amp;SUBSTITUTE(C1273,"_結合","")</f>
        <v>バックアップ_DPCレセプト_医薬品レコード</v>
      </c>
      <c r="S1273" s="103"/>
      <c r="T1273" s="106" t="str">
        <f>エンティティ一覧!$O$2</f>
        <v>milscm_2023_009</v>
      </c>
    </row>
    <row r="1274" spans="2:23" ht="18.75" customHeight="1">
      <c r="C1274" s="104"/>
      <c r="D1274" s="105"/>
      <c r="E1274" s="115"/>
      <c r="F1274" s="37"/>
      <c r="G1274" s="38"/>
      <c r="H1274" s="37"/>
      <c r="I1274" s="37"/>
      <c r="J1274" s="37"/>
      <c r="K1274" s="37"/>
      <c r="L1274" s="37"/>
      <c r="M1274" s="37"/>
      <c r="N1274" s="37"/>
      <c r="O1274" s="37"/>
      <c r="P1274" s="37"/>
      <c r="Q1274" s="37"/>
      <c r="R1274" s="104"/>
      <c r="S1274" s="105"/>
      <c r="T1274" s="107"/>
    </row>
    <row r="1275" spans="2:23" ht="18.75" customHeight="1">
      <c r="F1275" s="39"/>
      <c r="G1275" s="40"/>
    </row>
    <row r="1276" spans="2:23" ht="18.75" customHeight="1">
      <c r="C1276" s="102" t="s">
        <v>3201</v>
      </c>
      <c r="D1276" s="103"/>
      <c r="E1276" s="106" t="str">
        <f>エンティティ一覧!$O$2</f>
        <v>milscm_2023_009</v>
      </c>
      <c r="G1276" s="41"/>
    </row>
    <row r="1277" spans="2:23" ht="18.75" customHeight="1">
      <c r="C1277" s="104"/>
      <c r="D1277" s="105"/>
      <c r="E1277" s="107"/>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3453</v>
      </c>
      <c r="D1281" s="90"/>
      <c r="W1281" s="35" t="str">
        <f>"-- "&amp;B1281&amp;" : "&amp;C1281</f>
        <v>-- SQL_ID : 01_C3-19</v>
      </c>
    </row>
    <row r="1282" spans="2:23" ht="18.75" customHeight="1">
      <c r="B1282" s="43" t="s">
        <v>158</v>
      </c>
      <c r="C1282" s="108" t="str">
        <f>R1285&amp;"登録"</f>
        <v>バックアップ_DPCレセプト_医薬品レコード_算定日情報登録</v>
      </c>
      <c r="D1282" s="109"/>
      <c r="E1282" s="109"/>
      <c r="F1282" s="109"/>
      <c r="G1282" s="109"/>
      <c r="H1282" s="109"/>
      <c r="I1282" s="109"/>
      <c r="J1282" s="109"/>
      <c r="K1282" s="109"/>
      <c r="L1282" s="109"/>
      <c r="M1282" s="109"/>
      <c r="N1282" s="109"/>
      <c r="O1282" s="109"/>
      <c r="P1282" s="109"/>
      <c r="Q1282" s="109"/>
      <c r="R1282" s="109"/>
      <c r="S1282" s="109"/>
      <c r="T1282" s="109"/>
      <c r="U1282" s="110"/>
      <c r="W1282" s="35" t="str">
        <f>"-- "&amp;C1282</f>
        <v>-- バックアップ_DPCレセプト_医薬品レコード_算定日情報登録</v>
      </c>
    </row>
    <row r="1283" spans="2:23" ht="18.75" customHeight="1">
      <c r="B1283" s="43" t="s">
        <v>159</v>
      </c>
      <c r="C1283" s="111" t="str">
        <f>C1285&amp;"テーブルから組入れ条件の第一条件で絞り込んだ結果を"&amp;R1285&amp;"テーブルに格納する。"</f>
        <v>DPCレセプト_医薬品レコード_算定日情報_結合テーブルから組入れ条件の第一条件で絞り込んだ結果をバックアップ_DPCレセプト_医薬品レコード_算定日情報テーブルに格納する。</v>
      </c>
      <c r="D1283" s="112"/>
      <c r="E1283" s="112"/>
      <c r="F1283" s="112"/>
      <c r="G1283" s="112"/>
      <c r="H1283" s="112"/>
      <c r="I1283" s="112"/>
      <c r="J1283" s="112"/>
      <c r="K1283" s="112"/>
      <c r="L1283" s="112"/>
      <c r="M1283" s="112"/>
      <c r="N1283" s="112"/>
      <c r="O1283" s="112"/>
      <c r="P1283" s="112"/>
      <c r="Q1283" s="112"/>
      <c r="R1283" s="112"/>
      <c r="S1283" s="112"/>
      <c r="T1283" s="112"/>
      <c r="U1283" s="113"/>
      <c r="W1283" s="35" t="str">
        <f>"-- "&amp;C1283</f>
        <v>-- DPCレセプト_医薬品レコード_算定日情報_結合テーブルから組入れ条件の第一条件で絞り込んだ結果をバックアップ_DPCレセプト_医薬品レコード_算定日情報テーブルに格納する。</v>
      </c>
    </row>
    <row r="1285" spans="2:23" ht="18.75" customHeight="1">
      <c r="C1285" s="102" t="s">
        <v>3454</v>
      </c>
      <c r="D1285" s="103"/>
      <c r="E1285" s="114" t="s">
        <v>162</v>
      </c>
      <c r="H1285" s="36"/>
      <c r="I1285" s="36"/>
      <c r="J1285" s="36"/>
      <c r="K1285" s="36"/>
      <c r="L1285" s="36"/>
      <c r="M1285" s="36"/>
      <c r="N1285" s="36"/>
      <c r="O1285" s="36"/>
      <c r="P1285" s="36"/>
      <c r="Q1285" s="36"/>
      <c r="R1285" s="120" t="str">
        <f>"バックアップ_"&amp;SUBSTITUTE(C1285,"_結合","")</f>
        <v>バックアップ_DPCレセプト_医薬品レコード_算定日情報</v>
      </c>
      <c r="S1285" s="121"/>
      <c r="T1285" s="106" t="str">
        <f>エンティティ一覧!$O$2</f>
        <v>milscm_2023_009</v>
      </c>
    </row>
    <row r="1286" spans="2:23" ht="18.75" customHeight="1">
      <c r="C1286" s="104"/>
      <c r="D1286" s="105"/>
      <c r="E1286" s="115"/>
      <c r="F1286" s="37"/>
      <c r="G1286" s="38"/>
      <c r="H1286" s="37"/>
      <c r="I1286" s="37"/>
      <c r="J1286" s="37"/>
      <c r="K1286" s="37"/>
      <c r="L1286" s="37"/>
      <c r="M1286" s="37"/>
      <c r="N1286" s="37"/>
      <c r="O1286" s="37"/>
      <c r="P1286" s="37"/>
      <c r="Q1286" s="37"/>
      <c r="R1286" s="122"/>
      <c r="S1286" s="123"/>
      <c r="T1286" s="107"/>
    </row>
    <row r="1287" spans="2:23" ht="18.75" customHeight="1">
      <c r="F1287" s="39"/>
      <c r="G1287" s="40"/>
    </row>
    <row r="1288" spans="2:23" ht="18.75" customHeight="1">
      <c r="C1288" s="102" t="s">
        <v>3201</v>
      </c>
      <c r="D1288" s="103"/>
      <c r="E1288" s="106" t="str">
        <f>エンティティ一覧!$O$2</f>
        <v>milscm_2023_009</v>
      </c>
      <c r="G1288" s="41"/>
    </row>
    <row r="1289" spans="2:23" ht="18.75" customHeight="1">
      <c r="C1289" s="104"/>
      <c r="D1289" s="105"/>
      <c r="E1289" s="107"/>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3455</v>
      </c>
      <c r="D1293" s="90"/>
      <c r="W1293" s="35" t="str">
        <f>"-- "&amp;B1293&amp;" : "&amp;C1293</f>
        <v>-- SQL_ID : 01_C3-24</v>
      </c>
    </row>
    <row r="1294" spans="2:23" ht="18.75" customHeight="1">
      <c r="B1294" s="43" t="s">
        <v>158</v>
      </c>
      <c r="C1294" s="108" t="str">
        <f>R1297&amp;"登録"</f>
        <v>バックアップ_DPCレセプト_臓器提供者レセプト情報レコード登録</v>
      </c>
      <c r="D1294" s="109"/>
      <c r="E1294" s="109"/>
      <c r="F1294" s="109"/>
      <c r="G1294" s="109"/>
      <c r="H1294" s="109"/>
      <c r="I1294" s="109"/>
      <c r="J1294" s="109"/>
      <c r="K1294" s="109"/>
      <c r="L1294" s="109"/>
      <c r="M1294" s="109"/>
      <c r="N1294" s="109"/>
      <c r="O1294" s="109"/>
      <c r="P1294" s="109"/>
      <c r="Q1294" s="109"/>
      <c r="R1294" s="109"/>
      <c r="S1294" s="109"/>
      <c r="T1294" s="109"/>
      <c r="U1294" s="110"/>
      <c r="W1294" s="35" t="str">
        <f>"-- "&amp;C1294</f>
        <v>-- バックアップ_DPCレセプト_臓器提供者レセプト情報レコード登録</v>
      </c>
    </row>
    <row r="1295" spans="2:23" ht="18.75" customHeight="1">
      <c r="B1295" s="43" t="s">
        <v>159</v>
      </c>
      <c r="C1295" s="111" t="str">
        <f>C1297&amp;"テーブルから組入れ条件の第一条件で絞り込んだ結果を"&amp;R1297&amp;"テーブルに格納する。"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295" s="112"/>
      <c r="E1295" s="112"/>
      <c r="F1295" s="112"/>
      <c r="G1295" s="112"/>
      <c r="H1295" s="112"/>
      <c r="I1295" s="112"/>
      <c r="J1295" s="112"/>
      <c r="K1295" s="112"/>
      <c r="L1295" s="112"/>
      <c r="M1295" s="112"/>
      <c r="N1295" s="112"/>
      <c r="O1295" s="112"/>
      <c r="P1295" s="112"/>
      <c r="Q1295" s="112"/>
      <c r="R1295" s="112"/>
      <c r="S1295" s="112"/>
      <c r="T1295" s="112"/>
      <c r="U1295" s="113"/>
      <c r="W1295" s="35" t="str">
        <f>"-- "&amp;C1295</f>
        <v>-- DPCレセプト_臓器提供者レセプト情報レコード_結合テーブルから組入れ条件の第一条件で絞り込んだ結果をバックアップ_DPCレセプト_臓器提供者レセプト情報レコードテーブルに格納する。</v>
      </c>
    </row>
    <row r="1297" spans="2:23" ht="18.75" customHeight="1">
      <c r="C1297" s="102" t="s">
        <v>3456</v>
      </c>
      <c r="D1297" s="103"/>
      <c r="E1297" s="114" t="s">
        <v>162</v>
      </c>
      <c r="H1297" s="36"/>
      <c r="I1297" s="36"/>
      <c r="J1297" s="36"/>
      <c r="K1297" s="36"/>
      <c r="L1297" s="36"/>
      <c r="M1297" s="36"/>
      <c r="N1297" s="36"/>
      <c r="O1297" s="36"/>
      <c r="P1297" s="36"/>
      <c r="Q1297" s="36"/>
      <c r="R1297" s="124" t="str">
        <f>"バックアップ_"&amp;SUBSTITUTE(C1297,"_結合","")</f>
        <v>バックアップ_DPCレセプト_臓器提供者レセプト情報レコード</v>
      </c>
      <c r="S1297" s="125"/>
      <c r="T1297" s="106" t="str">
        <f>エンティティ一覧!$O$2</f>
        <v>milscm_2023_009</v>
      </c>
    </row>
    <row r="1298" spans="2:23" ht="18.75" customHeight="1">
      <c r="C1298" s="104"/>
      <c r="D1298" s="105"/>
      <c r="E1298" s="115"/>
      <c r="F1298" s="37"/>
      <c r="G1298" s="38"/>
      <c r="H1298" s="37"/>
      <c r="I1298" s="37"/>
      <c r="J1298" s="37"/>
      <c r="K1298" s="37"/>
      <c r="L1298" s="37"/>
      <c r="M1298" s="37"/>
      <c r="N1298" s="37"/>
      <c r="O1298" s="37"/>
      <c r="P1298" s="37"/>
      <c r="Q1298" s="37"/>
      <c r="R1298" s="126"/>
      <c r="S1298" s="127"/>
      <c r="T1298" s="107"/>
    </row>
    <row r="1299" spans="2:23" ht="18.75" customHeight="1">
      <c r="F1299" s="39"/>
      <c r="G1299" s="40"/>
    </row>
    <row r="1300" spans="2:23" ht="18.75" customHeight="1">
      <c r="C1300" s="102" t="s">
        <v>3201</v>
      </c>
      <c r="D1300" s="103"/>
      <c r="E1300" s="106" t="str">
        <f>エンティティ一覧!$O$2</f>
        <v>milscm_2023_009</v>
      </c>
      <c r="G1300" s="41"/>
    </row>
    <row r="1301" spans="2:23" ht="18.75" customHeight="1">
      <c r="C1301" s="104"/>
      <c r="D1301" s="105"/>
      <c r="E1301" s="107"/>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3457</v>
      </c>
      <c r="D1305" s="90"/>
      <c r="W1305" s="35" t="str">
        <f>"-- "&amp;B1305&amp;" : "&amp;C1305</f>
        <v>-- SQL_ID : 01_C4-01</v>
      </c>
    </row>
    <row r="1306" spans="2:23" ht="18.75" customHeight="1">
      <c r="B1306" s="43" t="s">
        <v>158</v>
      </c>
      <c r="C1306" s="108" t="str">
        <f>R1309&amp;"登録"</f>
        <v>バックアップ_患者情報モジュール_患者情報登録</v>
      </c>
      <c r="D1306" s="109"/>
      <c r="E1306" s="109"/>
      <c r="F1306" s="109"/>
      <c r="G1306" s="109"/>
      <c r="H1306" s="109"/>
      <c r="I1306" s="109"/>
      <c r="J1306" s="109"/>
      <c r="K1306" s="109"/>
      <c r="L1306" s="109"/>
      <c r="M1306" s="109"/>
      <c r="N1306" s="109"/>
      <c r="O1306" s="109"/>
      <c r="P1306" s="109"/>
      <c r="Q1306" s="109"/>
      <c r="R1306" s="109"/>
      <c r="S1306" s="109"/>
      <c r="T1306" s="109"/>
      <c r="U1306" s="110"/>
      <c r="W1306" s="35" t="str">
        <f>"-- "&amp;C1306</f>
        <v>-- バックアップ_患者情報モジュール_患者情報登録</v>
      </c>
    </row>
    <row r="1307" spans="2:23" ht="18.75" customHeight="1">
      <c r="B1307" s="43" t="s">
        <v>159</v>
      </c>
      <c r="C1307" s="111" t="str">
        <f>C1309&amp;"テーブルから組入れ条件の第一条件で絞り込んだ結果を"&amp;R1309&amp;"テーブルに格納する。"</f>
        <v>患者情報モジュール_患者情報_結合テーブルから組入れ条件の第一条件で絞り込んだ結果をバックアップ_患者情報モジュール_患者情報テーブルに格納する。</v>
      </c>
      <c r="D1307" s="112"/>
      <c r="E1307" s="112"/>
      <c r="F1307" s="112"/>
      <c r="G1307" s="112"/>
      <c r="H1307" s="112"/>
      <c r="I1307" s="112"/>
      <c r="J1307" s="112"/>
      <c r="K1307" s="112"/>
      <c r="L1307" s="112"/>
      <c r="M1307" s="112"/>
      <c r="N1307" s="112"/>
      <c r="O1307" s="112"/>
      <c r="P1307" s="112"/>
      <c r="Q1307" s="112"/>
      <c r="R1307" s="112"/>
      <c r="S1307" s="112"/>
      <c r="T1307" s="112"/>
      <c r="U1307" s="113"/>
      <c r="W1307" s="35" t="str">
        <f>"-- "&amp;C1307</f>
        <v>-- 患者情報モジュール_患者情報_結合テーブルから組入れ条件の第一条件で絞り込んだ結果をバックアップ_患者情報モジュール_患者情報テーブルに格納する。</v>
      </c>
    </row>
    <row r="1309" spans="2:23" ht="18.75" customHeight="1">
      <c r="C1309" s="102" t="s">
        <v>3458</v>
      </c>
      <c r="D1309" s="103"/>
      <c r="E1309" s="114" t="s">
        <v>162</v>
      </c>
      <c r="H1309" s="36"/>
      <c r="I1309" s="36"/>
      <c r="J1309" s="36"/>
      <c r="K1309" s="36"/>
      <c r="L1309" s="36"/>
      <c r="M1309" s="36"/>
      <c r="N1309" s="36"/>
      <c r="O1309" s="36"/>
      <c r="P1309" s="36"/>
      <c r="Q1309" s="36"/>
      <c r="R1309" s="102" t="str">
        <f>"バックアップ_"&amp;SUBSTITUTE(C1309,"_結合","")</f>
        <v>バックアップ_患者情報モジュール_患者情報</v>
      </c>
      <c r="S1309" s="103"/>
      <c r="T1309" s="106" t="str">
        <f>エンティティ一覧!$O$2</f>
        <v>milscm_2023_009</v>
      </c>
    </row>
    <row r="1310" spans="2:23" ht="18.75" customHeight="1">
      <c r="C1310" s="104"/>
      <c r="D1310" s="105"/>
      <c r="E1310" s="115"/>
      <c r="F1310" s="37"/>
      <c r="G1310" s="38"/>
      <c r="H1310" s="37"/>
      <c r="I1310" s="37"/>
      <c r="J1310" s="37"/>
      <c r="K1310" s="37"/>
      <c r="L1310" s="37"/>
      <c r="M1310" s="37"/>
      <c r="N1310" s="37"/>
      <c r="O1310" s="37"/>
      <c r="P1310" s="37"/>
      <c r="Q1310" s="37"/>
      <c r="R1310" s="104"/>
      <c r="S1310" s="105"/>
      <c r="T1310" s="107"/>
    </row>
    <row r="1311" spans="2:23" ht="18.75" customHeight="1">
      <c r="F1311" s="39"/>
      <c r="G1311" s="40"/>
    </row>
    <row r="1312" spans="2:23" ht="18.75" customHeight="1">
      <c r="C1312" s="102" t="s">
        <v>3201</v>
      </c>
      <c r="D1312" s="103"/>
      <c r="E1312" s="106" t="str">
        <f>エンティティ一覧!$O$2</f>
        <v>milscm_2023_009</v>
      </c>
      <c r="G1312" s="41"/>
    </row>
    <row r="1313" spans="2:23" ht="18.75" customHeight="1">
      <c r="C1313" s="104"/>
      <c r="D1313" s="105"/>
      <c r="E1313" s="107"/>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3459</v>
      </c>
      <c r="D1317" s="90"/>
      <c r="W1317" s="35" t="str">
        <f>"-- "&amp;B1317&amp;" : "&amp;C1317</f>
        <v>-- SQL_ID : 01_C4-03</v>
      </c>
    </row>
    <row r="1318" spans="2:23" ht="18.75" customHeight="1">
      <c r="B1318" s="43" t="s">
        <v>158</v>
      </c>
      <c r="C1318" s="108" t="str">
        <f>R1321&amp;"登録"</f>
        <v>バックアップ_診断履歴情報モジュール_診断履歴情報レコード登録</v>
      </c>
      <c r="D1318" s="109"/>
      <c r="E1318" s="109"/>
      <c r="F1318" s="109"/>
      <c r="G1318" s="109"/>
      <c r="H1318" s="109"/>
      <c r="I1318" s="109"/>
      <c r="J1318" s="109"/>
      <c r="K1318" s="109"/>
      <c r="L1318" s="109"/>
      <c r="M1318" s="109"/>
      <c r="N1318" s="109"/>
      <c r="O1318" s="109"/>
      <c r="P1318" s="109"/>
      <c r="Q1318" s="109"/>
      <c r="R1318" s="109"/>
      <c r="S1318" s="109"/>
      <c r="T1318" s="109"/>
      <c r="U1318" s="110"/>
      <c r="W1318" s="35" t="str">
        <f>"-- "&amp;C1318</f>
        <v>-- バックアップ_診断履歴情報モジュール_診断履歴情報レコード登録</v>
      </c>
    </row>
    <row r="1319" spans="2:23" ht="18.75" customHeight="1">
      <c r="B1319" s="43" t="s">
        <v>159</v>
      </c>
      <c r="C1319" s="111" t="str">
        <f>C1321&amp;"テーブルから組入れ条件の第一条件で絞り込んだ結果を"&amp;R1321&amp;"テーブルに格納する。"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19" s="112"/>
      <c r="E1319" s="112"/>
      <c r="F1319" s="112"/>
      <c r="G1319" s="112"/>
      <c r="H1319" s="112"/>
      <c r="I1319" s="112"/>
      <c r="J1319" s="112"/>
      <c r="K1319" s="112"/>
      <c r="L1319" s="112"/>
      <c r="M1319" s="112"/>
      <c r="N1319" s="112"/>
      <c r="O1319" s="112"/>
      <c r="P1319" s="112"/>
      <c r="Q1319" s="112"/>
      <c r="R1319" s="112"/>
      <c r="S1319" s="112"/>
      <c r="T1319" s="112"/>
      <c r="U1319" s="113"/>
      <c r="W1319" s="35" t="str">
        <f>"-- "&amp;C1319</f>
        <v>-- 診断履歴情報モジュール_診断履歴情報レコード_結合テーブルから組入れ条件の第一条件で絞り込んだ結果をバックアップ_診断履歴情報モジュール_診断履歴情報レコードテーブルに格納する。</v>
      </c>
    </row>
    <row r="1321" spans="2:23" ht="18.75" customHeight="1">
      <c r="C1321" s="102" t="s">
        <v>3460</v>
      </c>
      <c r="D1321" s="103"/>
      <c r="E1321" s="114" t="s">
        <v>162</v>
      </c>
      <c r="H1321" s="36"/>
      <c r="I1321" s="36"/>
      <c r="J1321" s="36"/>
      <c r="K1321" s="36"/>
      <c r="L1321" s="36"/>
      <c r="M1321" s="36"/>
      <c r="N1321" s="36"/>
      <c r="O1321" s="36"/>
      <c r="P1321" s="36"/>
      <c r="Q1321" s="36"/>
      <c r="R1321" s="124" t="str">
        <f>"バックアップ_"&amp;SUBSTITUTE(C1321,"_結合","")</f>
        <v>バックアップ_診断履歴情報モジュール_診断履歴情報レコード</v>
      </c>
      <c r="S1321" s="125"/>
      <c r="T1321" s="106" t="str">
        <f>エンティティ一覧!$O$2</f>
        <v>milscm_2023_009</v>
      </c>
    </row>
    <row r="1322" spans="2:23" ht="18.75" customHeight="1">
      <c r="C1322" s="104"/>
      <c r="D1322" s="105"/>
      <c r="E1322" s="115"/>
      <c r="F1322" s="37"/>
      <c r="G1322" s="38"/>
      <c r="H1322" s="37"/>
      <c r="I1322" s="37"/>
      <c r="J1322" s="37"/>
      <c r="K1322" s="37"/>
      <c r="L1322" s="37"/>
      <c r="M1322" s="37"/>
      <c r="N1322" s="37"/>
      <c r="O1322" s="37"/>
      <c r="P1322" s="37"/>
      <c r="Q1322" s="37"/>
      <c r="R1322" s="126"/>
      <c r="S1322" s="127"/>
      <c r="T1322" s="107"/>
    </row>
    <row r="1323" spans="2:23" ht="18.75" customHeight="1">
      <c r="F1323" s="39"/>
      <c r="G1323" s="40"/>
    </row>
    <row r="1324" spans="2:23" ht="18.75" customHeight="1">
      <c r="C1324" s="102" t="s">
        <v>3201</v>
      </c>
      <c r="D1324" s="103"/>
      <c r="E1324" s="106" t="str">
        <f>エンティティ一覧!$O$2</f>
        <v>milscm_2023_009</v>
      </c>
      <c r="G1324" s="41"/>
    </row>
    <row r="1325" spans="2:23" ht="18.75" customHeight="1">
      <c r="C1325" s="104"/>
      <c r="D1325" s="105"/>
      <c r="E1325" s="107"/>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3461</v>
      </c>
      <c r="D1329" s="90"/>
      <c r="W1329" s="35" t="str">
        <f>"-- "&amp;B1329&amp;" : "&amp;C1329</f>
        <v>-- SQL_ID : 01_C4-04</v>
      </c>
    </row>
    <row r="1330" spans="2:23" ht="18.75" customHeight="1">
      <c r="B1330" s="43" t="s">
        <v>158</v>
      </c>
      <c r="C1330" s="108" t="str">
        <f>R1333&amp;"登録"</f>
        <v>バックアップ_診断履歴情報モジュール_診断病名レコード登録</v>
      </c>
      <c r="D1330" s="109"/>
      <c r="E1330" s="109"/>
      <c r="F1330" s="109"/>
      <c r="G1330" s="109"/>
      <c r="H1330" s="109"/>
      <c r="I1330" s="109"/>
      <c r="J1330" s="109"/>
      <c r="K1330" s="109"/>
      <c r="L1330" s="109"/>
      <c r="M1330" s="109"/>
      <c r="N1330" s="109"/>
      <c r="O1330" s="109"/>
      <c r="P1330" s="109"/>
      <c r="Q1330" s="109"/>
      <c r="R1330" s="109"/>
      <c r="S1330" s="109"/>
      <c r="T1330" s="109"/>
      <c r="U1330" s="110"/>
      <c r="W1330" s="35" t="str">
        <f>"-- "&amp;C1330</f>
        <v>-- バックアップ_診断履歴情報モジュール_診断病名レコード登録</v>
      </c>
    </row>
    <row r="1331" spans="2:23" ht="18.75" customHeight="1">
      <c r="B1331" s="43" t="s">
        <v>159</v>
      </c>
      <c r="C1331" s="111" t="str">
        <f>C1333&amp;"テーブルから組入れ条件の第一条件で絞り込んだ結果を"&amp;R1333&amp;"テーブルに格納する。"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31" s="112"/>
      <c r="E1331" s="112"/>
      <c r="F1331" s="112"/>
      <c r="G1331" s="112"/>
      <c r="H1331" s="112"/>
      <c r="I1331" s="112"/>
      <c r="J1331" s="112"/>
      <c r="K1331" s="112"/>
      <c r="L1331" s="112"/>
      <c r="M1331" s="112"/>
      <c r="N1331" s="112"/>
      <c r="O1331" s="112"/>
      <c r="P1331" s="112"/>
      <c r="Q1331" s="112"/>
      <c r="R1331" s="112"/>
      <c r="S1331" s="112"/>
      <c r="T1331" s="112"/>
      <c r="U1331" s="113"/>
      <c r="W1331" s="35" t="str">
        <f>"-- "&amp;C1331</f>
        <v>-- 診断履歴情報モジュール_診断病名レコード_結合テーブルから組入れ条件の第一条件で絞り込んだ結果をバックアップ_診断履歴情報モジュール_診断病名レコードテーブルに格納する。</v>
      </c>
    </row>
    <row r="1333" spans="2:23" ht="18.75" customHeight="1">
      <c r="C1333" s="102" t="s">
        <v>3462</v>
      </c>
      <c r="D1333" s="103"/>
      <c r="E1333" s="114" t="s">
        <v>162</v>
      </c>
      <c r="H1333" s="36"/>
      <c r="I1333" s="36"/>
      <c r="J1333" s="36"/>
      <c r="K1333" s="36"/>
      <c r="L1333" s="36"/>
      <c r="M1333" s="36"/>
      <c r="N1333" s="36"/>
      <c r="O1333" s="36"/>
      <c r="P1333" s="36"/>
      <c r="Q1333" s="36"/>
      <c r="R1333" s="124" t="str">
        <f>"バックアップ_"&amp;SUBSTITUTE(C1333,"_結合","")</f>
        <v>バックアップ_診断履歴情報モジュール_診断病名レコード</v>
      </c>
      <c r="S1333" s="125"/>
      <c r="T1333" s="106" t="str">
        <f>エンティティ一覧!$O$2</f>
        <v>milscm_2023_009</v>
      </c>
    </row>
    <row r="1334" spans="2:23" ht="18.75" customHeight="1">
      <c r="C1334" s="104"/>
      <c r="D1334" s="105"/>
      <c r="E1334" s="115"/>
      <c r="F1334" s="37"/>
      <c r="G1334" s="38"/>
      <c r="H1334" s="37"/>
      <c r="I1334" s="37"/>
      <c r="J1334" s="37"/>
      <c r="K1334" s="37"/>
      <c r="L1334" s="37"/>
      <c r="M1334" s="37"/>
      <c r="N1334" s="37"/>
      <c r="O1334" s="37"/>
      <c r="P1334" s="37"/>
      <c r="Q1334" s="37"/>
      <c r="R1334" s="126"/>
      <c r="S1334" s="127"/>
      <c r="T1334" s="107"/>
    </row>
    <row r="1335" spans="2:23" ht="18.75" customHeight="1">
      <c r="F1335" s="39"/>
      <c r="G1335" s="40"/>
    </row>
    <row r="1336" spans="2:23" ht="18.75" customHeight="1">
      <c r="C1336" s="102" t="s">
        <v>3201</v>
      </c>
      <c r="D1336" s="103"/>
      <c r="E1336" s="106" t="str">
        <f>エンティティ一覧!$O$2</f>
        <v>milscm_2023_009</v>
      </c>
      <c r="G1336" s="41"/>
    </row>
    <row r="1337" spans="2:23" ht="18.75" customHeight="1">
      <c r="C1337" s="104"/>
      <c r="D1337" s="105"/>
      <c r="E1337" s="107"/>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3463</v>
      </c>
      <c r="D1341" s="90"/>
      <c r="W1341" s="35" t="str">
        <f>"-- "&amp;B1341&amp;" : "&amp;C1341</f>
        <v>-- SQL_ID : 01_C4-05</v>
      </c>
    </row>
    <row r="1342" spans="2:23" ht="18.75" customHeight="1">
      <c r="B1342" s="43" t="s">
        <v>158</v>
      </c>
      <c r="C1342" s="108" t="str">
        <f>R1345&amp;"登録"</f>
        <v>バックアップ_診断履歴情報モジュール_診断分類レコード登録</v>
      </c>
      <c r="D1342" s="109"/>
      <c r="E1342" s="109"/>
      <c r="F1342" s="109"/>
      <c r="G1342" s="109"/>
      <c r="H1342" s="109"/>
      <c r="I1342" s="109"/>
      <c r="J1342" s="109"/>
      <c r="K1342" s="109"/>
      <c r="L1342" s="109"/>
      <c r="M1342" s="109"/>
      <c r="N1342" s="109"/>
      <c r="O1342" s="109"/>
      <c r="P1342" s="109"/>
      <c r="Q1342" s="109"/>
      <c r="R1342" s="109"/>
      <c r="S1342" s="109"/>
      <c r="T1342" s="109"/>
      <c r="U1342" s="110"/>
      <c r="W1342" s="35" t="str">
        <f>"-- "&amp;C1342</f>
        <v>-- バックアップ_診断履歴情報モジュール_診断分類レコード登録</v>
      </c>
    </row>
    <row r="1343" spans="2:23" ht="18.75" customHeight="1">
      <c r="B1343" s="43" t="s">
        <v>159</v>
      </c>
      <c r="C1343" s="111" t="str">
        <f>C1345&amp;"テーブルから組入れ条件の第一条件で絞り込んだ結果を"&amp;R1345&amp;"テーブルに格納する。"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43" s="112"/>
      <c r="E1343" s="112"/>
      <c r="F1343" s="112"/>
      <c r="G1343" s="112"/>
      <c r="H1343" s="112"/>
      <c r="I1343" s="112"/>
      <c r="J1343" s="112"/>
      <c r="K1343" s="112"/>
      <c r="L1343" s="112"/>
      <c r="M1343" s="112"/>
      <c r="N1343" s="112"/>
      <c r="O1343" s="112"/>
      <c r="P1343" s="112"/>
      <c r="Q1343" s="112"/>
      <c r="R1343" s="112"/>
      <c r="S1343" s="112"/>
      <c r="T1343" s="112"/>
      <c r="U1343" s="113"/>
      <c r="W1343" s="35" t="str">
        <f>"-- "&amp;C1343</f>
        <v>-- 診断履歴情報モジュール_診断分類レコード_結合テーブルから組入れ条件の第一条件で絞り込んだ結果をバックアップ_診断履歴情報モジュール_診断分類レコードテーブルに格納する。</v>
      </c>
    </row>
    <row r="1345" spans="2:23" ht="18.75" customHeight="1">
      <c r="C1345" s="102" t="s">
        <v>3464</v>
      </c>
      <c r="D1345" s="103"/>
      <c r="E1345" s="114" t="s">
        <v>162</v>
      </c>
      <c r="H1345" s="36"/>
      <c r="I1345" s="36"/>
      <c r="J1345" s="36"/>
      <c r="K1345" s="36"/>
      <c r="L1345" s="36"/>
      <c r="M1345" s="36"/>
      <c r="N1345" s="36"/>
      <c r="O1345" s="36"/>
      <c r="P1345" s="36"/>
      <c r="Q1345" s="36"/>
      <c r="R1345" s="124" t="str">
        <f>"バックアップ_"&amp;SUBSTITUTE(C1345,"_結合","")</f>
        <v>バックアップ_診断履歴情報モジュール_診断分類レコード</v>
      </c>
      <c r="S1345" s="125"/>
      <c r="T1345" s="106" t="str">
        <f>エンティティ一覧!$O$2</f>
        <v>milscm_2023_009</v>
      </c>
    </row>
    <row r="1346" spans="2:23" ht="18.75" customHeight="1">
      <c r="C1346" s="104"/>
      <c r="D1346" s="105"/>
      <c r="E1346" s="115"/>
      <c r="F1346" s="37"/>
      <c r="G1346" s="38"/>
      <c r="H1346" s="37"/>
      <c r="I1346" s="37"/>
      <c r="J1346" s="37"/>
      <c r="K1346" s="37"/>
      <c r="L1346" s="37"/>
      <c r="M1346" s="37"/>
      <c r="N1346" s="37"/>
      <c r="O1346" s="37"/>
      <c r="P1346" s="37"/>
      <c r="Q1346" s="37"/>
      <c r="R1346" s="126"/>
      <c r="S1346" s="127"/>
      <c r="T1346" s="107"/>
    </row>
    <row r="1347" spans="2:23" ht="18.75" customHeight="1">
      <c r="F1347" s="39"/>
      <c r="G1347" s="40"/>
    </row>
    <row r="1348" spans="2:23" ht="18.75" customHeight="1">
      <c r="C1348" s="102" t="s">
        <v>3201</v>
      </c>
      <c r="D1348" s="103"/>
      <c r="E1348" s="106" t="str">
        <f>エンティティ一覧!$O$2</f>
        <v>milscm_2023_009</v>
      </c>
      <c r="G1348" s="41"/>
    </row>
    <row r="1349" spans="2:23" ht="18.75" customHeight="1">
      <c r="C1349" s="104"/>
      <c r="D1349" s="105"/>
      <c r="E1349" s="107"/>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3465</v>
      </c>
      <c r="D1353" s="90"/>
      <c r="W1353" s="35" t="str">
        <f>"-- "&amp;B1353&amp;" : "&amp;C1353</f>
        <v>-- SQL_ID : 01_C4-06</v>
      </c>
    </row>
    <row r="1354" spans="2:23" ht="18.75" customHeight="1">
      <c r="B1354" s="43" t="s">
        <v>158</v>
      </c>
      <c r="C1354" s="108" t="str">
        <f>R1357&amp;"登録"</f>
        <v>バックアップ_経過記録情報モジュール_経過記録情報レコード登録</v>
      </c>
      <c r="D1354" s="109"/>
      <c r="E1354" s="109"/>
      <c r="F1354" s="109"/>
      <c r="G1354" s="109"/>
      <c r="H1354" s="109"/>
      <c r="I1354" s="109"/>
      <c r="J1354" s="109"/>
      <c r="K1354" s="109"/>
      <c r="L1354" s="109"/>
      <c r="M1354" s="109"/>
      <c r="N1354" s="109"/>
      <c r="O1354" s="109"/>
      <c r="P1354" s="109"/>
      <c r="Q1354" s="109"/>
      <c r="R1354" s="109"/>
      <c r="S1354" s="109"/>
      <c r="T1354" s="109"/>
      <c r="U1354" s="110"/>
      <c r="W1354" s="35" t="str">
        <f>"-- "&amp;C1354</f>
        <v>-- バックアップ_経過記録情報モジュール_経過記録情報レコード登録</v>
      </c>
    </row>
    <row r="1355" spans="2:23" ht="18.75" customHeight="1">
      <c r="B1355" s="43" t="s">
        <v>159</v>
      </c>
      <c r="C1355" s="111" t="str">
        <f>C1357&amp;"テーブルから組入れ条件の第一条件で絞り込んだ結果を"&amp;R1357&amp;"テーブルに格納する。"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355" s="112"/>
      <c r="E1355" s="112"/>
      <c r="F1355" s="112"/>
      <c r="G1355" s="112"/>
      <c r="H1355" s="112"/>
      <c r="I1355" s="112"/>
      <c r="J1355" s="112"/>
      <c r="K1355" s="112"/>
      <c r="L1355" s="112"/>
      <c r="M1355" s="112"/>
      <c r="N1355" s="112"/>
      <c r="O1355" s="112"/>
      <c r="P1355" s="112"/>
      <c r="Q1355" s="112"/>
      <c r="R1355" s="112"/>
      <c r="S1355" s="112"/>
      <c r="T1355" s="112"/>
      <c r="U1355" s="113"/>
      <c r="W1355" s="35" t="str">
        <f>"-- "&amp;C1355</f>
        <v>-- 経過記録情報モジュール_経過記録情報レコード_結合テーブルから組入れ条件の第一条件で絞り込んだ結果をバックアップ_経過記録情報モジュール_経過記録情報レコードテーブルに格納する。</v>
      </c>
    </row>
    <row r="1357" spans="2:23" ht="18.75" customHeight="1">
      <c r="C1357" s="102" t="s">
        <v>3466</v>
      </c>
      <c r="D1357" s="103"/>
      <c r="E1357" s="114" t="s">
        <v>162</v>
      </c>
      <c r="H1357" s="36"/>
      <c r="I1357" s="36"/>
      <c r="J1357" s="36"/>
      <c r="K1357" s="36"/>
      <c r="L1357" s="36"/>
      <c r="M1357" s="36"/>
      <c r="N1357" s="36"/>
      <c r="O1357" s="36"/>
      <c r="P1357" s="36"/>
      <c r="Q1357" s="36"/>
      <c r="R1357" s="124" t="str">
        <f>"バックアップ_"&amp;SUBSTITUTE(C1357,"_結合","")</f>
        <v>バックアップ_経過記録情報モジュール_経過記録情報レコード</v>
      </c>
      <c r="S1357" s="125"/>
      <c r="T1357" s="106" t="str">
        <f>エンティティ一覧!$O$2</f>
        <v>milscm_2023_009</v>
      </c>
    </row>
    <row r="1358" spans="2:23" ht="18.75" customHeight="1">
      <c r="C1358" s="104"/>
      <c r="D1358" s="105"/>
      <c r="E1358" s="115"/>
      <c r="F1358" s="37"/>
      <c r="G1358" s="38"/>
      <c r="H1358" s="37"/>
      <c r="I1358" s="37"/>
      <c r="J1358" s="37"/>
      <c r="K1358" s="37"/>
      <c r="L1358" s="37"/>
      <c r="M1358" s="37"/>
      <c r="N1358" s="37"/>
      <c r="O1358" s="37"/>
      <c r="P1358" s="37"/>
      <c r="Q1358" s="37"/>
      <c r="R1358" s="126"/>
      <c r="S1358" s="127"/>
      <c r="T1358" s="107"/>
    </row>
    <row r="1359" spans="2:23" ht="18.75" customHeight="1">
      <c r="F1359" s="39"/>
      <c r="G1359" s="40"/>
    </row>
    <row r="1360" spans="2:23" ht="18.75" customHeight="1">
      <c r="C1360" s="102" t="s">
        <v>3201</v>
      </c>
      <c r="D1360" s="103"/>
      <c r="E1360" s="106" t="str">
        <f>エンティティ一覧!$O$2</f>
        <v>milscm_2023_009</v>
      </c>
      <c r="G1360" s="41"/>
    </row>
    <row r="1361" spans="2:23" ht="18.75" customHeight="1">
      <c r="C1361" s="104"/>
      <c r="D1361" s="105"/>
      <c r="E1361" s="107"/>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3467</v>
      </c>
      <c r="D1365" s="90"/>
      <c r="W1365" s="35" t="str">
        <f>"-- "&amp;B1365&amp;" : "&amp;C1365</f>
        <v>-- SQL_ID : 01_C4-07</v>
      </c>
    </row>
    <row r="1366" spans="2:23" ht="18.75" customHeight="1">
      <c r="B1366" s="43" t="s">
        <v>158</v>
      </c>
      <c r="C1366" s="108" t="str">
        <f>R1369&amp;"登録"</f>
        <v>バックアップ_経過記録情報モジュール_プロブレムレコード登録</v>
      </c>
      <c r="D1366" s="109"/>
      <c r="E1366" s="109"/>
      <c r="F1366" s="109"/>
      <c r="G1366" s="109"/>
      <c r="H1366" s="109"/>
      <c r="I1366" s="109"/>
      <c r="J1366" s="109"/>
      <c r="K1366" s="109"/>
      <c r="L1366" s="109"/>
      <c r="M1366" s="109"/>
      <c r="N1366" s="109"/>
      <c r="O1366" s="109"/>
      <c r="P1366" s="109"/>
      <c r="Q1366" s="109"/>
      <c r="R1366" s="109"/>
      <c r="S1366" s="109"/>
      <c r="T1366" s="109"/>
      <c r="U1366" s="110"/>
      <c r="W1366" s="35" t="str">
        <f>"-- "&amp;C1366</f>
        <v>-- バックアップ_経過記録情報モジュール_プロブレムレコード登録</v>
      </c>
    </row>
    <row r="1367" spans="2:23" ht="18.75" customHeight="1">
      <c r="B1367" s="43" t="s">
        <v>159</v>
      </c>
      <c r="C1367" s="111" t="str">
        <f>C1369&amp;"テーブルから組入れ条件の第一条件で絞り込んだ結果を"&amp;R1369&amp;"テーブルに格納する。"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367" s="112"/>
      <c r="E1367" s="112"/>
      <c r="F1367" s="112"/>
      <c r="G1367" s="112"/>
      <c r="H1367" s="112"/>
      <c r="I1367" s="112"/>
      <c r="J1367" s="112"/>
      <c r="K1367" s="112"/>
      <c r="L1367" s="112"/>
      <c r="M1367" s="112"/>
      <c r="N1367" s="112"/>
      <c r="O1367" s="112"/>
      <c r="P1367" s="112"/>
      <c r="Q1367" s="112"/>
      <c r="R1367" s="112"/>
      <c r="S1367" s="112"/>
      <c r="T1367" s="112"/>
      <c r="U1367" s="113"/>
      <c r="W1367" s="35" t="str">
        <f>"-- "&amp;C1367</f>
        <v>-- 経過記録情報モジュール_プロブレムレコード_結合テーブルから組入れ条件の第一条件で絞り込んだ結果をバックアップ_経過記録情報モジュール_プロブレムレコードテーブルに格納する。</v>
      </c>
    </row>
    <row r="1369" spans="2:23" ht="18.75" customHeight="1">
      <c r="C1369" s="102" t="s">
        <v>3468</v>
      </c>
      <c r="D1369" s="103"/>
      <c r="E1369" s="114" t="s">
        <v>162</v>
      </c>
      <c r="H1369" s="36"/>
      <c r="I1369" s="36"/>
      <c r="J1369" s="36"/>
      <c r="K1369" s="36"/>
      <c r="L1369" s="36"/>
      <c r="M1369" s="36"/>
      <c r="N1369" s="36"/>
      <c r="O1369" s="36"/>
      <c r="P1369" s="36"/>
      <c r="Q1369" s="36"/>
      <c r="R1369" s="124" t="str">
        <f>"バックアップ_"&amp;SUBSTITUTE(C1369,"_結合","")</f>
        <v>バックアップ_経過記録情報モジュール_プロブレムレコード</v>
      </c>
      <c r="S1369" s="125"/>
      <c r="T1369" s="106" t="str">
        <f>エンティティ一覧!$O$2</f>
        <v>milscm_2023_009</v>
      </c>
    </row>
    <row r="1370" spans="2:23" ht="18.75" customHeight="1">
      <c r="C1370" s="104"/>
      <c r="D1370" s="105"/>
      <c r="E1370" s="115"/>
      <c r="F1370" s="37"/>
      <c r="G1370" s="38"/>
      <c r="H1370" s="37"/>
      <c r="I1370" s="37"/>
      <c r="J1370" s="37"/>
      <c r="K1370" s="37"/>
      <c r="L1370" s="37"/>
      <c r="M1370" s="37"/>
      <c r="N1370" s="37"/>
      <c r="O1370" s="37"/>
      <c r="P1370" s="37"/>
      <c r="Q1370" s="37"/>
      <c r="R1370" s="126"/>
      <c r="S1370" s="127"/>
      <c r="T1370" s="107"/>
    </row>
    <row r="1371" spans="2:23" ht="18.75" customHeight="1">
      <c r="F1371" s="39"/>
      <c r="G1371" s="40"/>
    </row>
    <row r="1372" spans="2:23" ht="18.75" customHeight="1">
      <c r="C1372" s="102" t="s">
        <v>3201</v>
      </c>
      <c r="D1372" s="103"/>
      <c r="E1372" s="106" t="str">
        <f>エンティティ一覧!$O$2</f>
        <v>milscm_2023_009</v>
      </c>
      <c r="G1372" s="41"/>
    </row>
    <row r="1373" spans="2:23" ht="18.75" customHeight="1">
      <c r="C1373" s="104"/>
      <c r="D1373" s="105"/>
      <c r="E1373" s="107"/>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3469</v>
      </c>
      <c r="D1377" s="90"/>
      <c r="W1377" s="35" t="str">
        <f>"-- "&amp;B1377&amp;" : "&amp;C1377</f>
        <v>-- SQL_ID : 01_C4-08</v>
      </c>
    </row>
    <row r="1378" spans="2:23" ht="18.75" customHeight="1">
      <c r="B1378" s="43" t="s">
        <v>158</v>
      </c>
      <c r="C1378" s="108" t="str">
        <f>R1381&amp;"登録"</f>
        <v>バックアップ_経過記録情報モジュール_身体所見レコード登録</v>
      </c>
      <c r="D1378" s="109"/>
      <c r="E1378" s="109"/>
      <c r="F1378" s="109"/>
      <c r="G1378" s="109"/>
      <c r="H1378" s="109"/>
      <c r="I1378" s="109"/>
      <c r="J1378" s="109"/>
      <c r="K1378" s="109"/>
      <c r="L1378" s="109"/>
      <c r="M1378" s="109"/>
      <c r="N1378" s="109"/>
      <c r="O1378" s="109"/>
      <c r="P1378" s="109"/>
      <c r="Q1378" s="109"/>
      <c r="R1378" s="109"/>
      <c r="S1378" s="109"/>
      <c r="T1378" s="109"/>
      <c r="U1378" s="110"/>
      <c r="W1378" s="35" t="str">
        <f>"-- "&amp;C1378</f>
        <v>-- バックアップ_経過記録情報モジュール_身体所見レコード登録</v>
      </c>
    </row>
    <row r="1379" spans="2:23" ht="18.75" customHeight="1">
      <c r="B1379" s="43" t="s">
        <v>159</v>
      </c>
      <c r="C1379" s="111" t="str">
        <f>C1381&amp;"テーブルから組入れ条件の第一条件で絞り込んだ結果を"&amp;R1381&amp;"テーブルに格納する。"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379" s="112"/>
      <c r="E1379" s="112"/>
      <c r="F1379" s="112"/>
      <c r="G1379" s="112"/>
      <c r="H1379" s="112"/>
      <c r="I1379" s="112"/>
      <c r="J1379" s="112"/>
      <c r="K1379" s="112"/>
      <c r="L1379" s="112"/>
      <c r="M1379" s="112"/>
      <c r="N1379" s="112"/>
      <c r="O1379" s="112"/>
      <c r="P1379" s="112"/>
      <c r="Q1379" s="112"/>
      <c r="R1379" s="112"/>
      <c r="S1379" s="112"/>
      <c r="T1379" s="112"/>
      <c r="U1379" s="113"/>
      <c r="W1379" s="35" t="str">
        <f>"-- "&amp;C1379</f>
        <v>-- 経過記録情報モジュール_身体所見レコード_結合テーブルから組入れ条件の第一条件で絞り込んだ結果をバックアップ_経過記録情報モジュール_身体所見レコードテーブルに格納する。</v>
      </c>
    </row>
    <row r="1381" spans="2:23" ht="18.75" customHeight="1">
      <c r="C1381" s="102" t="s">
        <v>3470</v>
      </c>
      <c r="D1381" s="103"/>
      <c r="E1381" s="114" t="s">
        <v>162</v>
      </c>
      <c r="H1381" s="36"/>
      <c r="I1381" s="36"/>
      <c r="J1381" s="36"/>
      <c r="K1381" s="36"/>
      <c r="L1381" s="36"/>
      <c r="M1381" s="36"/>
      <c r="N1381" s="36"/>
      <c r="O1381" s="36"/>
      <c r="P1381" s="36"/>
      <c r="Q1381" s="36"/>
      <c r="R1381" s="124" t="str">
        <f>"バックアップ_"&amp;SUBSTITUTE(C1381,"_結合","")</f>
        <v>バックアップ_経過記録情報モジュール_身体所見レコード</v>
      </c>
      <c r="S1381" s="125"/>
      <c r="T1381" s="106" t="str">
        <f>エンティティ一覧!$O$2</f>
        <v>milscm_2023_009</v>
      </c>
    </row>
    <row r="1382" spans="2:23" ht="18.75" customHeight="1">
      <c r="C1382" s="104"/>
      <c r="D1382" s="105"/>
      <c r="E1382" s="115"/>
      <c r="F1382" s="37"/>
      <c r="G1382" s="38"/>
      <c r="H1382" s="37"/>
      <c r="I1382" s="37"/>
      <c r="J1382" s="37"/>
      <c r="K1382" s="37"/>
      <c r="L1382" s="37"/>
      <c r="M1382" s="37"/>
      <c r="N1382" s="37"/>
      <c r="O1382" s="37"/>
      <c r="P1382" s="37"/>
      <c r="Q1382" s="37"/>
      <c r="R1382" s="126"/>
      <c r="S1382" s="127"/>
      <c r="T1382" s="107"/>
    </row>
    <row r="1383" spans="2:23" ht="18.75" customHeight="1">
      <c r="F1383" s="39"/>
      <c r="G1383" s="40"/>
    </row>
    <row r="1384" spans="2:23" ht="18.75" customHeight="1">
      <c r="C1384" s="102" t="s">
        <v>3201</v>
      </c>
      <c r="D1384" s="103"/>
      <c r="E1384" s="106" t="str">
        <f>エンティティ一覧!$O$2</f>
        <v>milscm_2023_009</v>
      </c>
      <c r="G1384" s="41"/>
    </row>
    <row r="1385" spans="2:23" ht="18.75" customHeight="1">
      <c r="C1385" s="104"/>
      <c r="D1385" s="105"/>
      <c r="E1385" s="107"/>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3471</v>
      </c>
      <c r="D1389" s="90"/>
      <c r="W1389" s="35" t="str">
        <f>"-- "&amp;B1389&amp;" : "&amp;C1389</f>
        <v>-- SQL_ID : 01_C4-15</v>
      </c>
    </row>
    <row r="1390" spans="2:23" ht="18.75" customHeight="1">
      <c r="B1390" s="43" t="s">
        <v>158</v>
      </c>
      <c r="C1390" s="108" t="str">
        <f>R1393&amp;"登録"</f>
        <v>バックアップ_経過記録情報モジュール_アセスメントレコード登録</v>
      </c>
      <c r="D1390" s="109"/>
      <c r="E1390" s="109"/>
      <c r="F1390" s="109"/>
      <c r="G1390" s="109"/>
      <c r="H1390" s="109"/>
      <c r="I1390" s="109"/>
      <c r="J1390" s="109"/>
      <c r="K1390" s="109"/>
      <c r="L1390" s="109"/>
      <c r="M1390" s="109"/>
      <c r="N1390" s="109"/>
      <c r="O1390" s="109"/>
      <c r="P1390" s="109"/>
      <c r="Q1390" s="109"/>
      <c r="R1390" s="109"/>
      <c r="S1390" s="109"/>
      <c r="T1390" s="109"/>
      <c r="U1390" s="110"/>
      <c r="W1390" s="35" t="str">
        <f>"-- "&amp;C1390</f>
        <v>-- バックアップ_経過記録情報モジュール_アセスメントレコード登録</v>
      </c>
    </row>
    <row r="1391" spans="2:23" ht="18.75" customHeight="1">
      <c r="B1391" s="43" t="s">
        <v>159</v>
      </c>
      <c r="C1391" s="111" t="str">
        <f>C1393&amp;"テーブルから組入れ条件の第一条件で絞り込んだ結果を"&amp;R1393&amp;"テーブルに格納する。"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391" s="112"/>
      <c r="E1391" s="112"/>
      <c r="F1391" s="112"/>
      <c r="G1391" s="112"/>
      <c r="H1391" s="112"/>
      <c r="I1391" s="112"/>
      <c r="J1391" s="112"/>
      <c r="K1391" s="112"/>
      <c r="L1391" s="112"/>
      <c r="M1391" s="112"/>
      <c r="N1391" s="112"/>
      <c r="O1391" s="112"/>
      <c r="P1391" s="112"/>
      <c r="Q1391" s="112"/>
      <c r="R1391" s="112"/>
      <c r="S1391" s="112"/>
      <c r="T1391" s="112"/>
      <c r="U1391" s="113"/>
      <c r="W1391" s="35" t="str">
        <f>"-- "&amp;C1391</f>
        <v>-- 経過記録情報モジュール_アセスメントレコード_結合テーブルから組入れ条件の第一条件で絞り込んだ結果をバックアップ_経過記録情報モジュール_アセスメントレコードテーブルに格納する。</v>
      </c>
    </row>
    <row r="1393" spans="2:23" ht="18.75" customHeight="1">
      <c r="C1393" s="102" t="s">
        <v>3472</v>
      </c>
      <c r="D1393" s="103"/>
      <c r="E1393" s="114" t="s">
        <v>162</v>
      </c>
      <c r="H1393" s="36"/>
      <c r="I1393" s="36"/>
      <c r="J1393" s="36"/>
      <c r="K1393" s="36"/>
      <c r="L1393" s="36"/>
      <c r="M1393" s="36"/>
      <c r="N1393" s="36"/>
      <c r="O1393" s="36"/>
      <c r="P1393" s="36"/>
      <c r="Q1393" s="36"/>
      <c r="R1393" s="124" t="str">
        <f>"バックアップ_"&amp;SUBSTITUTE(C1393,"_結合","")</f>
        <v>バックアップ_経過記録情報モジュール_アセスメントレコード</v>
      </c>
      <c r="S1393" s="125"/>
      <c r="T1393" s="106" t="str">
        <f>エンティティ一覧!$O$2</f>
        <v>milscm_2023_009</v>
      </c>
    </row>
    <row r="1394" spans="2:23" ht="18.75" customHeight="1">
      <c r="C1394" s="104"/>
      <c r="D1394" s="105"/>
      <c r="E1394" s="115"/>
      <c r="F1394" s="37"/>
      <c r="G1394" s="38"/>
      <c r="H1394" s="37"/>
      <c r="I1394" s="37"/>
      <c r="J1394" s="37"/>
      <c r="K1394" s="37"/>
      <c r="L1394" s="37"/>
      <c r="M1394" s="37"/>
      <c r="N1394" s="37"/>
      <c r="O1394" s="37"/>
      <c r="P1394" s="37"/>
      <c r="Q1394" s="37"/>
      <c r="R1394" s="126"/>
      <c r="S1394" s="127"/>
      <c r="T1394" s="107"/>
    </row>
    <row r="1395" spans="2:23" ht="18.75" customHeight="1">
      <c r="F1395" s="39"/>
      <c r="G1395" s="40"/>
    </row>
    <row r="1396" spans="2:23" ht="18.75" customHeight="1">
      <c r="C1396" s="102" t="s">
        <v>3201</v>
      </c>
      <c r="D1396" s="103"/>
      <c r="E1396" s="106" t="str">
        <f>エンティティ一覧!$O$2</f>
        <v>milscm_2023_009</v>
      </c>
      <c r="G1396" s="41"/>
    </row>
    <row r="1397" spans="2:23" ht="18.75" customHeight="1">
      <c r="C1397" s="104"/>
      <c r="D1397" s="105"/>
      <c r="E1397" s="107"/>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3473</v>
      </c>
      <c r="D1401" s="90"/>
      <c r="W1401" s="35" t="str">
        <f>"-- "&amp;B1401&amp;" : "&amp;C1401</f>
        <v>-- SQL_ID : 01_C4-22</v>
      </c>
    </row>
    <row r="1402" spans="2:23" ht="18.75" customHeight="1">
      <c r="B1402" s="43" t="s">
        <v>158</v>
      </c>
      <c r="C1402" s="108" t="str">
        <f>R1405&amp;"登録"</f>
        <v>バックアップ_経過記録情報モジュール_外部参照レコード登録</v>
      </c>
      <c r="D1402" s="109"/>
      <c r="E1402" s="109"/>
      <c r="F1402" s="109"/>
      <c r="G1402" s="109"/>
      <c r="H1402" s="109"/>
      <c r="I1402" s="109"/>
      <c r="J1402" s="109"/>
      <c r="K1402" s="109"/>
      <c r="L1402" s="109"/>
      <c r="M1402" s="109"/>
      <c r="N1402" s="109"/>
      <c r="O1402" s="109"/>
      <c r="P1402" s="109"/>
      <c r="Q1402" s="109"/>
      <c r="R1402" s="109"/>
      <c r="S1402" s="109"/>
      <c r="T1402" s="109"/>
      <c r="U1402" s="110"/>
      <c r="W1402" s="35" t="str">
        <f>"-- "&amp;C1402</f>
        <v>-- バックアップ_経過記録情報モジュール_外部参照レコード登録</v>
      </c>
    </row>
    <row r="1403" spans="2:23" ht="18.75" customHeight="1">
      <c r="B1403" s="43" t="s">
        <v>159</v>
      </c>
      <c r="C1403" s="111" t="str">
        <f>C1405&amp;"テーブルから組入れ条件の第一条件で絞り込んだ結果を"&amp;R1405&amp;"テーブルに格納する。"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03" s="112"/>
      <c r="E1403" s="112"/>
      <c r="F1403" s="112"/>
      <c r="G1403" s="112"/>
      <c r="H1403" s="112"/>
      <c r="I1403" s="112"/>
      <c r="J1403" s="112"/>
      <c r="K1403" s="112"/>
      <c r="L1403" s="112"/>
      <c r="M1403" s="112"/>
      <c r="N1403" s="112"/>
      <c r="O1403" s="112"/>
      <c r="P1403" s="112"/>
      <c r="Q1403" s="112"/>
      <c r="R1403" s="112"/>
      <c r="S1403" s="112"/>
      <c r="T1403" s="112"/>
      <c r="U1403" s="113"/>
      <c r="W1403" s="35" t="str">
        <f>"-- "&amp;C1403</f>
        <v>-- 経過記録情報モジュール_外部参照レコード_結合テーブルから組入れ条件の第一条件で絞り込んだ結果をバックアップ_経過記録情報モジュール_外部参照レコードテーブルに格納する。</v>
      </c>
    </row>
    <row r="1405" spans="2:23" ht="18.75" customHeight="1">
      <c r="C1405" s="102" t="s">
        <v>3474</v>
      </c>
      <c r="D1405" s="103"/>
      <c r="E1405" s="114" t="s">
        <v>162</v>
      </c>
      <c r="H1405" s="36"/>
      <c r="I1405" s="36"/>
      <c r="J1405" s="36"/>
      <c r="K1405" s="36"/>
      <c r="L1405" s="36"/>
      <c r="M1405" s="36"/>
      <c r="N1405" s="36"/>
      <c r="O1405" s="36"/>
      <c r="P1405" s="36"/>
      <c r="Q1405" s="36"/>
      <c r="R1405" s="124" t="str">
        <f>"バックアップ_"&amp;SUBSTITUTE(C1405,"_結合","")</f>
        <v>バックアップ_経過記録情報モジュール_外部参照レコード</v>
      </c>
      <c r="S1405" s="125"/>
      <c r="T1405" s="106" t="str">
        <f>エンティティ一覧!$O$2</f>
        <v>milscm_2023_009</v>
      </c>
    </row>
    <row r="1406" spans="2:23" ht="18.75" customHeight="1">
      <c r="C1406" s="104"/>
      <c r="D1406" s="105"/>
      <c r="E1406" s="115"/>
      <c r="F1406" s="37"/>
      <c r="G1406" s="38"/>
      <c r="H1406" s="37"/>
      <c r="I1406" s="37"/>
      <c r="J1406" s="37"/>
      <c r="K1406" s="37"/>
      <c r="L1406" s="37"/>
      <c r="M1406" s="37"/>
      <c r="N1406" s="37"/>
      <c r="O1406" s="37"/>
      <c r="P1406" s="37"/>
      <c r="Q1406" s="37"/>
      <c r="R1406" s="126"/>
      <c r="S1406" s="127"/>
      <c r="T1406" s="107"/>
    </row>
    <row r="1407" spans="2:23" ht="18.75" customHeight="1">
      <c r="F1407" s="39"/>
      <c r="G1407" s="40"/>
    </row>
    <row r="1408" spans="2:23" ht="18.75" customHeight="1">
      <c r="C1408" s="102" t="s">
        <v>3201</v>
      </c>
      <c r="D1408" s="103"/>
      <c r="E1408" s="106" t="str">
        <f>エンティティ一覧!$O$2</f>
        <v>milscm_2023_009</v>
      </c>
      <c r="G1408" s="41"/>
    </row>
    <row r="1409" spans="2:23" ht="18.75" customHeight="1">
      <c r="C1409" s="104"/>
      <c r="D1409" s="105"/>
      <c r="E1409" s="107"/>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3475</v>
      </c>
      <c r="D1413" s="90"/>
      <c r="W1413" s="35" t="str">
        <f>"-- "&amp;B1413&amp;" : "&amp;C1413</f>
        <v>-- SQL_ID : 01_C4-23</v>
      </c>
    </row>
    <row r="1414" spans="2:23" ht="18.75" customHeight="1">
      <c r="B1414" s="43" t="s">
        <v>158</v>
      </c>
      <c r="C1414" s="108" t="str">
        <f>R1417&amp;"登録"</f>
        <v>バックアップ_臨床サマリーモジュール_臨床サマリー情報レコード登録</v>
      </c>
      <c r="D1414" s="109"/>
      <c r="E1414" s="109"/>
      <c r="F1414" s="109"/>
      <c r="G1414" s="109"/>
      <c r="H1414" s="109"/>
      <c r="I1414" s="109"/>
      <c r="J1414" s="109"/>
      <c r="K1414" s="109"/>
      <c r="L1414" s="109"/>
      <c r="M1414" s="109"/>
      <c r="N1414" s="109"/>
      <c r="O1414" s="109"/>
      <c r="P1414" s="109"/>
      <c r="Q1414" s="109"/>
      <c r="R1414" s="109"/>
      <c r="S1414" s="109"/>
      <c r="T1414" s="109"/>
      <c r="U1414" s="110"/>
      <c r="W1414" s="35" t="str">
        <f>"-- "&amp;C1414</f>
        <v>-- バックアップ_臨床サマリーモジュール_臨床サマリー情報レコード登録</v>
      </c>
    </row>
    <row r="1415" spans="2:23" ht="18.75" customHeight="1">
      <c r="B1415" s="43" t="s">
        <v>159</v>
      </c>
      <c r="C1415" s="111" t="str">
        <f>C1417&amp;"テーブルから組入れ条件の第一条件で絞り込んだ結果を"&amp;R1417&amp;"テーブルに格納する。"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15" s="112"/>
      <c r="E1415" s="112"/>
      <c r="F1415" s="112"/>
      <c r="G1415" s="112"/>
      <c r="H1415" s="112"/>
      <c r="I1415" s="112"/>
      <c r="J1415" s="112"/>
      <c r="K1415" s="112"/>
      <c r="L1415" s="112"/>
      <c r="M1415" s="112"/>
      <c r="N1415" s="112"/>
      <c r="O1415" s="112"/>
      <c r="P1415" s="112"/>
      <c r="Q1415" s="112"/>
      <c r="R1415" s="112"/>
      <c r="S1415" s="112"/>
      <c r="T1415" s="112"/>
      <c r="U1415" s="113"/>
      <c r="W1415" s="35" t="str">
        <f>"-- "&amp;C1415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17" spans="2:23" ht="18.75" customHeight="1">
      <c r="C1417" s="120" t="s">
        <v>3476</v>
      </c>
      <c r="D1417" s="121"/>
      <c r="E1417" s="114" t="s">
        <v>162</v>
      </c>
      <c r="H1417" s="36"/>
      <c r="I1417" s="36"/>
      <c r="J1417" s="36"/>
      <c r="K1417" s="36"/>
      <c r="L1417" s="36"/>
      <c r="M1417" s="36"/>
      <c r="N1417" s="36"/>
      <c r="O1417" s="36"/>
      <c r="P1417" s="36"/>
      <c r="Q1417" s="36"/>
      <c r="R1417" s="116" t="str">
        <f>"バックアップ_"&amp;SUBSTITUTE(C1417,"_結合","")</f>
        <v>バックアップ_臨床サマリーモジュール_臨床サマリー情報レコード</v>
      </c>
      <c r="S1417" s="117"/>
      <c r="T1417" s="106" t="str">
        <f>エンティティ一覧!$O$2</f>
        <v>milscm_2023_009</v>
      </c>
    </row>
    <row r="1418" spans="2:23" ht="18.75" customHeight="1">
      <c r="C1418" s="122"/>
      <c r="D1418" s="123"/>
      <c r="E1418" s="115"/>
      <c r="F1418" s="37"/>
      <c r="G1418" s="38"/>
      <c r="H1418" s="37"/>
      <c r="I1418" s="37"/>
      <c r="J1418" s="37"/>
      <c r="K1418" s="37"/>
      <c r="L1418" s="37"/>
      <c r="M1418" s="37"/>
      <c r="N1418" s="37"/>
      <c r="O1418" s="37"/>
      <c r="P1418" s="37"/>
      <c r="Q1418" s="37"/>
      <c r="R1418" s="118"/>
      <c r="S1418" s="119"/>
      <c r="T1418" s="107"/>
    </row>
    <row r="1419" spans="2:23" ht="18.75" customHeight="1">
      <c r="F1419" s="39"/>
      <c r="G1419" s="40"/>
    </row>
    <row r="1420" spans="2:23" ht="18.75" customHeight="1">
      <c r="C1420" s="102" t="s">
        <v>3201</v>
      </c>
      <c r="D1420" s="103"/>
      <c r="E1420" s="106" t="str">
        <f>エンティティ一覧!$O$2</f>
        <v>milscm_2023_009</v>
      </c>
      <c r="G1420" s="41"/>
    </row>
    <row r="1421" spans="2:23" ht="18.75" customHeight="1">
      <c r="C1421" s="104"/>
      <c r="D1421" s="105"/>
      <c r="E1421" s="107"/>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3477</v>
      </c>
      <c r="D1425" s="90"/>
      <c r="W1425" s="35" t="str">
        <f>"-- "&amp;B1425&amp;" : "&amp;C1425</f>
        <v>-- SQL_ID : 01_C4-24</v>
      </c>
    </row>
    <row r="1426" spans="2:23" ht="18.75" customHeight="1">
      <c r="B1426" s="43" t="s">
        <v>158</v>
      </c>
      <c r="C1426" s="108" t="str">
        <f>R1429&amp;"登録"</f>
        <v>バックアップ_臨床サマリーモジュール_外来受診レコード登録</v>
      </c>
      <c r="D1426" s="109"/>
      <c r="E1426" s="109"/>
      <c r="F1426" s="109"/>
      <c r="G1426" s="109"/>
      <c r="H1426" s="109"/>
      <c r="I1426" s="109"/>
      <c r="J1426" s="109"/>
      <c r="K1426" s="109"/>
      <c r="L1426" s="109"/>
      <c r="M1426" s="109"/>
      <c r="N1426" s="109"/>
      <c r="O1426" s="109"/>
      <c r="P1426" s="109"/>
      <c r="Q1426" s="109"/>
      <c r="R1426" s="109"/>
      <c r="S1426" s="109"/>
      <c r="T1426" s="109"/>
      <c r="U1426" s="110"/>
      <c r="W1426" s="35" t="str">
        <f>"-- "&amp;C1426</f>
        <v>-- バックアップ_臨床サマリーモジュール_外来受診レコード登録</v>
      </c>
    </row>
    <row r="1427" spans="2:23" ht="18.75" customHeight="1">
      <c r="B1427" s="43" t="s">
        <v>159</v>
      </c>
      <c r="C1427" s="111" t="str">
        <f>C1429&amp;"テーブルから組入れ条件の第一条件で絞り込んだ結果を"&amp;R1429&amp;"テーブルに格納する。"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27" s="112"/>
      <c r="E1427" s="112"/>
      <c r="F1427" s="112"/>
      <c r="G1427" s="112"/>
      <c r="H1427" s="112"/>
      <c r="I1427" s="112"/>
      <c r="J1427" s="112"/>
      <c r="K1427" s="112"/>
      <c r="L1427" s="112"/>
      <c r="M1427" s="112"/>
      <c r="N1427" s="112"/>
      <c r="O1427" s="112"/>
      <c r="P1427" s="112"/>
      <c r="Q1427" s="112"/>
      <c r="R1427" s="112"/>
      <c r="S1427" s="112"/>
      <c r="T1427" s="112"/>
      <c r="U1427" s="113"/>
      <c r="W1427" s="35" t="str">
        <f>"-- "&amp;C1427</f>
        <v>-- 臨床サマリーモジュール_外来受診レコード_結合テーブルから組入れ条件の第一条件で絞り込んだ結果をバックアップ_臨床サマリーモジュール_外来受診レコードテーブルに格納する。</v>
      </c>
    </row>
    <row r="1429" spans="2:23" ht="18.75" customHeight="1">
      <c r="C1429" s="102" t="s">
        <v>3478</v>
      </c>
      <c r="D1429" s="103"/>
      <c r="E1429" s="114" t="s">
        <v>162</v>
      </c>
      <c r="H1429" s="36"/>
      <c r="I1429" s="36"/>
      <c r="J1429" s="36"/>
      <c r="K1429" s="36"/>
      <c r="L1429" s="36"/>
      <c r="M1429" s="36"/>
      <c r="N1429" s="36"/>
      <c r="O1429" s="36"/>
      <c r="P1429" s="36"/>
      <c r="Q1429" s="36"/>
      <c r="R1429" s="124" t="str">
        <f>"バックアップ_"&amp;SUBSTITUTE(C1429,"_結合","")</f>
        <v>バックアップ_臨床サマリーモジュール_外来受診レコード</v>
      </c>
      <c r="S1429" s="125"/>
      <c r="T1429" s="106" t="str">
        <f>エンティティ一覧!$O$2</f>
        <v>milscm_2023_009</v>
      </c>
    </row>
    <row r="1430" spans="2:23" ht="18.75" customHeight="1">
      <c r="C1430" s="104"/>
      <c r="D1430" s="105"/>
      <c r="E1430" s="115"/>
      <c r="F1430" s="37"/>
      <c r="G1430" s="38"/>
      <c r="H1430" s="37"/>
      <c r="I1430" s="37"/>
      <c r="J1430" s="37"/>
      <c r="K1430" s="37"/>
      <c r="L1430" s="37"/>
      <c r="M1430" s="37"/>
      <c r="N1430" s="37"/>
      <c r="O1430" s="37"/>
      <c r="P1430" s="37"/>
      <c r="Q1430" s="37"/>
      <c r="R1430" s="126"/>
      <c r="S1430" s="127"/>
      <c r="T1430" s="107"/>
    </row>
    <row r="1431" spans="2:23" ht="18.75" customHeight="1">
      <c r="F1431" s="39"/>
      <c r="G1431" s="40"/>
    </row>
    <row r="1432" spans="2:23" ht="18.75" customHeight="1">
      <c r="C1432" s="102" t="s">
        <v>3201</v>
      </c>
      <c r="D1432" s="103"/>
      <c r="E1432" s="106" t="str">
        <f>エンティティ一覧!$O$2</f>
        <v>milscm_2023_009</v>
      </c>
      <c r="G1432" s="41"/>
    </row>
    <row r="1433" spans="2:23" ht="18.75" customHeight="1">
      <c r="C1433" s="104"/>
      <c r="D1433" s="105"/>
      <c r="E1433" s="107"/>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3479</v>
      </c>
      <c r="D1437" s="90"/>
      <c r="W1437" s="35" t="str">
        <f>"-- "&amp;B1437&amp;" : "&amp;C1437</f>
        <v>-- SQL_ID : 01_C4-25</v>
      </c>
    </row>
    <row r="1438" spans="2:23" ht="18.75" customHeight="1">
      <c r="B1438" s="43" t="s">
        <v>158</v>
      </c>
      <c r="C1438" s="108" t="str">
        <f>R1441&amp;"登録"</f>
        <v>バックアップ_臨床サマリーモジュール_入院レコード登録</v>
      </c>
      <c r="D1438" s="109"/>
      <c r="E1438" s="109"/>
      <c r="F1438" s="109"/>
      <c r="G1438" s="109"/>
      <c r="H1438" s="109"/>
      <c r="I1438" s="109"/>
      <c r="J1438" s="109"/>
      <c r="K1438" s="109"/>
      <c r="L1438" s="109"/>
      <c r="M1438" s="109"/>
      <c r="N1438" s="109"/>
      <c r="O1438" s="109"/>
      <c r="P1438" s="109"/>
      <c r="Q1438" s="109"/>
      <c r="R1438" s="109"/>
      <c r="S1438" s="109"/>
      <c r="T1438" s="109"/>
      <c r="U1438" s="110"/>
      <c r="W1438" s="35" t="str">
        <f>"-- "&amp;C1438</f>
        <v>-- バックアップ_臨床サマリーモジュール_入院レコード登録</v>
      </c>
    </row>
    <row r="1439" spans="2:23" ht="18.75" customHeight="1">
      <c r="B1439" s="43" t="s">
        <v>159</v>
      </c>
      <c r="C1439" s="111" t="str">
        <f>C1441&amp;"テーブルから組入れ条件の第一条件で絞り込んだ結果を"&amp;R1441&amp;"テーブルに格納する。"</f>
        <v>臨床サマリーモジュール_入院レコード_結合テーブルから組入れ条件の第一条件で絞り込んだ結果をバックアップ_臨床サマリーモジュール_入院レコードテーブルに格納する。</v>
      </c>
      <c r="D1439" s="112"/>
      <c r="E1439" s="112"/>
      <c r="F1439" s="112"/>
      <c r="G1439" s="112"/>
      <c r="H1439" s="112"/>
      <c r="I1439" s="112"/>
      <c r="J1439" s="112"/>
      <c r="K1439" s="112"/>
      <c r="L1439" s="112"/>
      <c r="M1439" s="112"/>
      <c r="N1439" s="112"/>
      <c r="O1439" s="112"/>
      <c r="P1439" s="112"/>
      <c r="Q1439" s="112"/>
      <c r="R1439" s="112"/>
      <c r="S1439" s="112"/>
      <c r="T1439" s="112"/>
      <c r="U1439" s="113"/>
      <c r="W1439" s="35" t="str">
        <f>"-- "&amp;C1439</f>
        <v>-- 臨床サマリーモジュール_入院レコード_結合テーブルから組入れ条件の第一条件で絞り込んだ結果をバックアップ_臨床サマリーモジュール_入院レコードテーブルに格納する。</v>
      </c>
    </row>
    <row r="1441" spans="2:23" ht="18.75" customHeight="1">
      <c r="C1441" s="102" t="s">
        <v>3480</v>
      </c>
      <c r="D1441" s="103"/>
      <c r="E1441" s="114" t="s">
        <v>162</v>
      </c>
      <c r="H1441" s="36"/>
      <c r="I1441" s="36"/>
      <c r="J1441" s="36"/>
      <c r="K1441" s="36"/>
      <c r="L1441" s="36"/>
      <c r="M1441" s="36"/>
      <c r="N1441" s="36"/>
      <c r="O1441" s="36"/>
      <c r="P1441" s="36"/>
      <c r="Q1441" s="36"/>
      <c r="R1441" s="124" t="str">
        <f>"バックアップ_"&amp;SUBSTITUTE(C1441,"_結合","")</f>
        <v>バックアップ_臨床サマリーモジュール_入院レコード</v>
      </c>
      <c r="S1441" s="125"/>
      <c r="T1441" s="106" t="str">
        <f>エンティティ一覧!$O$2</f>
        <v>milscm_2023_009</v>
      </c>
    </row>
    <row r="1442" spans="2:23" ht="18.75" customHeight="1">
      <c r="C1442" s="104"/>
      <c r="D1442" s="105"/>
      <c r="E1442" s="115"/>
      <c r="F1442" s="37"/>
      <c r="G1442" s="38"/>
      <c r="H1442" s="37"/>
      <c r="I1442" s="37"/>
      <c r="J1442" s="37"/>
      <c r="K1442" s="37"/>
      <c r="L1442" s="37"/>
      <c r="M1442" s="37"/>
      <c r="N1442" s="37"/>
      <c r="O1442" s="37"/>
      <c r="P1442" s="37"/>
      <c r="Q1442" s="37"/>
      <c r="R1442" s="126"/>
      <c r="S1442" s="127"/>
      <c r="T1442" s="107"/>
    </row>
    <row r="1443" spans="2:23" ht="18.75" customHeight="1">
      <c r="F1443" s="39"/>
      <c r="G1443" s="40"/>
    </row>
    <row r="1444" spans="2:23" ht="18.75" customHeight="1">
      <c r="C1444" s="102" t="s">
        <v>3201</v>
      </c>
      <c r="D1444" s="103"/>
      <c r="E1444" s="106" t="str">
        <f>エンティティ一覧!$O$2</f>
        <v>milscm_2023_009</v>
      </c>
      <c r="G1444" s="41"/>
    </row>
    <row r="1445" spans="2:23" ht="18.75" customHeight="1">
      <c r="C1445" s="104"/>
      <c r="D1445" s="105"/>
      <c r="E1445" s="107"/>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3481</v>
      </c>
      <c r="D1449" s="90"/>
      <c r="W1449" s="35" t="str">
        <f>"-- "&amp;B1449&amp;" : "&amp;C1449</f>
        <v>-- SQL_ID : 01_C4-29</v>
      </c>
    </row>
    <row r="1450" spans="2:23" ht="18.75" customHeight="1">
      <c r="B1450" s="43" t="s">
        <v>158</v>
      </c>
      <c r="C1450" s="108" t="str">
        <f>R1453&amp;"登録"</f>
        <v>バックアップ_臨床サマリーモジュール_経過記録レコード登録</v>
      </c>
      <c r="D1450" s="109"/>
      <c r="E1450" s="109"/>
      <c r="F1450" s="109"/>
      <c r="G1450" s="109"/>
      <c r="H1450" s="109"/>
      <c r="I1450" s="109"/>
      <c r="J1450" s="109"/>
      <c r="K1450" s="109"/>
      <c r="L1450" s="109"/>
      <c r="M1450" s="109"/>
      <c r="N1450" s="109"/>
      <c r="O1450" s="109"/>
      <c r="P1450" s="109"/>
      <c r="Q1450" s="109"/>
      <c r="R1450" s="109"/>
      <c r="S1450" s="109"/>
      <c r="T1450" s="109"/>
      <c r="U1450" s="110"/>
      <c r="W1450" s="35" t="str">
        <f>"-- "&amp;C1450</f>
        <v>-- バックアップ_臨床サマリーモジュール_経過記録レコード登録</v>
      </c>
    </row>
    <row r="1451" spans="2:23" ht="18.75" customHeight="1">
      <c r="B1451" s="43" t="s">
        <v>159</v>
      </c>
      <c r="C1451" s="111" t="str">
        <f>C1453&amp;"テーブルから組入れ条件の第一条件で絞り込んだ結果を"&amp;R1453&amp;"テーブルに格納する。"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451" s="112"/>
      <c r="E1451" s="112"/>
      <c r="F1451" s="112"/>
      <c r="G1451" s="112"/>
      <c r="H1451" s="112"/>
      <c r="I1451" s="112"/>
      <c r="J1451" s="112"/>
      <c r="K1451" s="112"/>
      <c r="L1451" s="112"/>
      <c r="M1451" s="112"/>
      <c r="N1451" s="112"/>
      <c r="O1451" s="112"/>
      <c r="P1451" s="112"/>
      <c r="Q1451" s="112"/>
      <c r="R1451" s="112"/>
      <c r="S1451" s="112"/>
      <c r="T1451" s="112"/>
      <c r="U1451" s="113"/>
      <c r="W1451" s="35" t="str">
        <f>"-- "&amp;C1451</f>
        <v>-- 臨床サマリーモジュール_経過記録レコード_結合テーブルから組入れ条件の第一条件で絞り込んだ結果をバックアップ_臨床サマリーモジュール_経過記録レコードテーブルに格納する。</v>
      </c>
    </row>
    <row r="1453" spans="2:23" ht="18.75" customHeight="1">
      <c r="C1453" s="102" t="s">
        <v>3482</v>
      </c>
      <c r="D1453" s="103"/>
      <c r="E1453" s="114" t="s">
        <v>162</v>
      </c>
      <c r="H1453" s="36"/>
      <c r="I1453" s="36"/>
      <c r="J1453" s="36"/>
      <c r="K1453" s="36"/>
      <c r="L1453" s="36"/>
      <c r="M1453" s="36"/>
      <c r="N1453" s="36"/>
      <c r="O1453" s="36"/>
      <c r="P1453" s="36"/>
      <c r="Q1453" s="36"/>
      <c r="R1453" s="124" t="str">
        <f>"バックアップ_"&amp;SUBSTITUTE(C1453,"_結合","")</f>
        <v>バックアップ_臨床サマリーモジュール_経過記録レコード</v>
      </c>
      <c r="S1453" s="125"/>
      <c r="T1453" s="106" t="str">
        <f>エンティティ一覧!$O$2</f>
        <v>milscm_2023_009</v>
      </c>
    </row>
    <row r="1454" spans="2:23" ht="18.75" customHeight="1">
      <c r="C1454" s="104"/>
      <c r="D1454" s="105"/>
      <c r="E1454" s="115"/>
      <c r="F1454" s="37"/>
      <c r="G1454" s="38"/>
      <c r="H1454" s="37"/>
      <c r="I1454" s="37"/>
      <c r="J1454" s="37"/>
      <c r="K1454" s="37"/>
      <c r="L1454" s="37"/>
      <c r="M1454" s="37"/>
      <c r="N1454" s="37"/>
      <c r="O1454" s="37"/>
      <c r="P1454" s="37"/>
      <c r="Q1454" s="37"/>
      <c r="R1454" s="126"/>
      <c r="S1454" s="127"/>
      <c r="T1454" s="107"/>
    </row>
    <row r="1455" spans="2:23" ht="18.75" customHeight="1">
      <c r="F1455" s="39"/>
      <c r="G1455" s="40"/>
    </row>
    <row r="1456" spans="2:23" ht="18.75" customHeight="1">
      <c r="C1456" s="102" t="s">
        <v>3201</v>
      </c>
      <c r="D1456" s="103"/>
      <c r="E1456" s="106" t="str">
        <f>エンティティ一覧!$O$2</f>
        <v>milscm_2023_009</v>
      </c>
      <c r="G1456" s="41"/>
    </row>
    <row r="1457" spans="2:23" ht="18.75" customHeight="1">
      <c r="C1457" s="104"/>
      <c r="D1457" s="105"/>
      <c r="E1457" s="107"/>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3483</v>
      </c>
      <c r="D1461" s="90"/>
      <c r="W1461" s="35" t="str">
        <f>"-- "&amp;B1461&amp;" : "&amp;C1461</f>
        <v>-- SQL_ID : 01_C4-30</v>
      </c>
    </row>
    <row r="1462" spans="2:23" ht="18.75" customHeight="1">
      <c r="B1462" s="43" t="s">
        <v>158</v>
      </c>
      <c r="C1462" s="108" t="str">
        <f>R1465&amp;"登録"</f>
        <v>バックアップ_臨床サマリーモジュール_検査結果レコード登録</v>
      </c>
      <c r="D1462" s="109"/>
      <c r="E1462" s="109"/>
      <c r="F1462" s="109"/>
      <c r="G1462" s="109"/>
      <c r="H1462" s="109"/>
      <c r="I1462" s="109"/>
      <c r="J1462" s="109"/>
      <c r="K1462" s="109"/>
      <c r="L1462" s="109"/>
      <c r="M1462" s="109"/>
      <c r="N1462" s="109"/>
      <c r="O1462" s="109"/>
      <c r="P1462" s="109"/>
      <c r="Q1462" s="109"/>
      <c r="R1462" s="109"/>
      <c r="S1462" s="109"/>
      <c r="T1462" s="109"/>
      <c r="U1462" s="110"/>
      <c r="W1462" s="35" t="str">
        <f>"-- "&amp;C1462</f>
        <v>-- バックアップ_臨床サマリーモジュール_検査結果レコード登録</v>
      </c>
    </row>
    <row r="1463" spans="2:23" ht="18.75" customHeight="1">
      <c r="B1463" s="43" t="s">
        <v>159</v>
      </c>
      <c r="C1463" s="111" t="str">
        <f>C1465&amp;"テーブルから組入れ条件の第一条件で絞り込んだ結果を"&amp;R1465&amp;"テーブルに格納する。"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463" s="112"/>
      <c r="E1463" s="112"/>
      <c r="F1463" s="112"/>
      <c r="G1463" s="112"/>
      <c r="H1463" s="112"/>
      <c r="I1463" s="112"/>
      <c r="J1463" s="112"/>
      <c r="K1463" s="112"/>
      <c r="L1463" s="112"/>
      <c r="M1463" s="112"/>
      <c r="N1463" s="112"/>
      <c r="O1463" s="112"/>
      <c r="P1463" s="112"/>
      <c r="Q1463" s="112"/>
      <c r="R1463" s="112"/>
      <c r="S1463" s="112"/>
      <c r="T1463" s="112"/>
      <c r="U1463" s="113"/>
      <c r="W1463" s="35" t="str">
        <f>"-- "&amp;C1463</f>
        <v>-- 臨床サマリーモジュール_検査結果レコード_結合テーブルから組入れ条件の第一条件で絞り込んだ結果をバックアップ_臨床サマリーモジュール_検査結果レコードテーブルに格納する。</v>
      </c>
    </row>
    <row r="1465" spans="2:23" ht="18.75" customHeight="1">
      <c r="C1465" s="102" t="s">
        <v>3484</v>
      </c>
      <c r="D1465" s="103"/>
      <c r="E1465" s="114" t="s">
        <v>162</v>
      </c>
      <c r="H1465" s="36"/>
      <c r="I1465" s="36"/>
      <c r="J1465" s="36"/>
      <c r="K1465" s="36"/>
      <c r="L1465" s="36"/>
      <c r="M1465" s="36"/>
      <c r="N1465" s="36"/>
      <c r="O1465" s="36"/>
      <c r="P1465" s="36"/>
      <c r="Q1465" s="36"/>
      <c r="R1465" s="124" t="str">
        <f>"バックアップ_"&amp;SUBSTITUTE(C1465,"_結合","")</f>
        <v>バックアップ_臨床サマリーモジュール_検査結果レコード</v>
      </c>
      <c r="S1465" s="125"/>
      <c r="T1465" s="106" t="str">
        <f>エンティティ一覧!$O$2</f>
        <v>milscm_2023_009</v>
      </c>
    </row>
    <row r="1466" spans="2:23" ht="18.75" customHeight="1">
      <c r="C1466" s="104"/>
      <c r="D1466" s="105"/>
      <c r="E1466" s="115"/>
      <c r="F1466" s="37"/>
      <c r="G1466" s="38"/>
      <c r="H1466" s="37"/>
      <c r="I1466" s="37"/>
      <c r="J1466" s="37"/>
      <c r="K1466" s="37"/>
      <c r="L1466" s="37"/>
      <c r="M1466" s="37"/>
      <c r="N1466" s="37"/>
      <c r="O1466" s="37"/>
      <c r="P1466" s="37"/>
      <c r="Q1466" s="37"/>
      <c r="R1466" s="126"/>
      <c r="S1466" s="127"/>
      <c r="T1466" s="107"/>
    </row>
    <row r="1467" spans="2:23" ht="18.75" customHeight="1">
      <c r="F1467" s="39"/>
      <c r="G1467" s="40"/>
    </row>
    <row r="1468" spans="2:23" ht="18.75" customHeight="1">
      <c r="C1468" s="102" t="s">
        <v>3201</v>
      </c>
      <c r="D1468" s="103"/>
      <c r="E1468" s="106" t="str">
        <f>エンティティ一覧!$O$2</f>
        <v>milscm_2023_009</v>
      </c>
      <c r="G1468" s="41"/>
    </row>
    <row r="1469" spans="2:23" ht="18.75" customHeight="1">
      <c r="C1469" s="104"/>
      <c r="D1469" s="105"/>
      <c r="E1469" s="107"/>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3485</v>
      </c>
      <c r="D1473" s="90"/>
      <c r="W1473" s="35" t="str">
        <f>"-- "&amp;B1473&amp;" : "&amp;C1473</f>
        <v>-- SQL_ID : 01_C4-31</v>
      </c>
    </row>
    <row r="1474" spans="2:23" ht="18.75" customHeight="1">
      <c r="B1474" s="43" t="s">
        <v>158</v>
      </c>
      <c r="C1474" s="108" t="str">
        <f>R1477&amp;"登録"</f>
        <v>バックアップ_検歴情報モジュール_検歴情報登録</v>
      </c>
      <c r="D1474" s="109"/>
      <c r="E1474" s="109"/>
      <c r="F1474" s="109"/>
      <c r="G1474" s="109"/>
      <c r="H1474" s="109"/>
      <c r="I1474" s="109"/>
      <c r="J1474" s="109"/>
      <c r="K1474" s="109"/>
      <c r="L1474" s="109"/>
      <c r="M1474" s="109"/>
      <c r="N1474" s="109"/>
      <c r="O1474" s="109"/>
      <c r="P1474" s="109"/>
      <c r="Q1474" s="109"/>
      <c r="R1474" s="109"/>
      <c r="S1474" s="109"/>
      <c r="T1474" s="109"/>
      <c r="U1474" s="110"/>
      <c r="W1474" s="35" t="str">
        <f>"-- "&amp;C1474</f>
        <v>-- バックアップ_検歴情報モジュール_検歴情報登録</v>
      </c>
    </row>
    <row r="1475" spans="2:23" ht="18.75" customHeight="1">
      <c r="B1475" s="43" t="s">
        <v>159</v>
      </c>
      <c r="C1475" s="111" t="str">
        <f>C1477&amp;"テーブルから組入れ条件の第一条件で絞り込んだ結果を"&amp;R1477&amp;"テーブルに格納する。"</f>
        <v>検歴情報モジュール_検歴情報_結合テーブルから組入れ条件の第一条件で絞り込んだ結果をバックアップ_検歴情報モジュール_検歴情報テーブルに格納する。</v>
      </c>
      <c r="D1475" s="112"/>
      <c r="E1475" s="112"/>
      <c r="F1475" s="112"/>
      <c r="G1475" s="112"/>
      <c r="H1475" s="112"/>
      <c r="I1475" s="112"/>
      <c r="J1475" s="112"/>
      <c r="K1475" s="112"/>
      <c r="L1475" s="112"/>
      <c r="M1475" s="112"/>
      <c r="N1475" s="112"/>
      <c r="O1475" s="112"/>
      <c r="P1475" s="112"/>
      <c r="Q1475" s="112"/>
      <c r="R1475" s="112"/>
      <c r="S1475" s="112"/>
      <c r="T1475" s="112"/>
      <c r="U1475" s="113"/>
      <c r="W1475" s="35" t="str">
        <f>"-- "&amp;C1475</f>
        <v>-- 検歴情報モジュール_検歴情報_結合テーブルから組入れ条件の第一条件で絞り込んだ結果をバックアップ_検歴情報モジュール_検歴情報テーブルに格納する。</v>
      </c>
    </row>
    <row r="1477" spans="2:23" ht="18.75" customHeight="1">
      <c r="C1477" s="102" t="s">
        <v>3486</v>
      </c>
      <c r="D1477" s="103"/>
      <c r="E1477" s="114" t="s">
        <v>162</v>
      </c>
      <c r="H1477" s="36"/>
      <c r="I1477" s="36"/>
      <c r="J1477" s="36"/>
      <c r="K1477" s="36"/>
      <c r="L1477" s="36"/>
      <c r="M1477" s="36"/>
      <c r="N1477" s="36"/>
      <c r="O1477" s="36"/>
      <c r="P1477" s="36"/>
      <c r="Q1477" s="36"/>
      <c r="R1477" s="102" t="str">
        <f>"バックアップ_"&amp;SUBSTITUTE(C1477,"_結合","")</f>
        <v>バックアップ_検歴情報モジュール_検歴情報</v>
      </c>
      <c r="S1477" s="103"/>
      <c r="T1477" s="106" t="str">
        <f>エンティティ一覧!$O$2</f>
        <v>milscm_2023_009</v>
      </c>
    </row>
    <row r="1478" spans="2:23" ht="18.75" customHeight="1">
      <c r="C1478" s="104"/>
      <c r="D1478" s="105"/>
      <c r="E1478" s="115"/>
      <c r="F1478" s="37"/>
      <c r="G1478" s="38"/>
      <c r="H1478" s="37"/>
      <c r="I1478" s="37"/>
      <c r="J1478" s="37"/>
      <c r="K1478" s="37"/>
      <c r="L1478" s="37"/>
      <c r="M1478" s="37"/>
      <c r="N1478" s="37"/>
      <c r="O1478" s="37"/>
      <c r="P1478" s="37"/>
      <c r="Q1478" s="37"/>
      <c r="R1478" s="104"/>
      <c r="S1478" s="105"/>
      <c r="T1478" s="107"/>
    </row>
    <row r="1479" spans="2:23" ht="18.75" customHeight="1">
      <c r="F1479" s="39"/>
      <c r="G1479" s="40"/>
    </row>
    <row r="1480" spans="2:23" ht="18.75" customHeight="1">
      <c r="C1480" s="102" t="s">
        <v>3201</v>
      </c>
      <c r="D1480" s="103"/>
      <c r="E1480" s="106" t="str">
        <f>エンティティ一覧!$O$2</f>
        <v>milscm_2023_009</v>
      </c>
      <c r="G1480" s="41"/>
    </row>
    <row r="1481" spans="2:23" ht="18.75" customHeight="1">
      <c r="C1481" s="104"/>
      <c r="D1481" s="105"/>
      <c r="E1481" s="107"/>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3487</v>
      </c>
      <c r="D1485" s="90"/>
      <c r="W1485" s="35" t="str">
        <f>"-- "&amp;B1485&amp;" : "&amp;C1485</f>
        <v>-- SQL_ID : 01_C4-33</v>
      </c>
    </row>
    <row r="1486" spans="2:23" ht="18.75" customHeight="1">
      <c r="B1486" s="43" t="s">
        <v>158</v>
      </c>
      <c r="C1486" s="108" t="str">
        <f>R1489&amp;"登録"</f>
        <v>バックアップ_検歴情報モジュール_検歴検体材料登録</v>
      </c>
      <c r="D1486" s="109"/>
      <c r="E1486" s="109"/>
      <c r="F1486" s="109"/>
      <c r="G1486" s="109"/>
      <c r="H1486" s="109"/>
      <c r="I1486" s="109"/>
      <c r="J1486" s="109"/>
      <c r="K1486" s="109"/>
      <c r="L1486" s="109"/>
      <c r="M1486" s="109"/>
      <c r="N1486" s="109"/>
      <c r="O1486" s="109"/>
      <c r="P1486" s="109"/>
      <c r="Q1486" s="109"/>
      <c r="R1486" s="109"/>
      <c r="S1486" s="109"/>
      <c r="T1486" s="109"/>
      <c r="U1486" s="110"/>
      <c r="W1486" s="35" t="str">
        <f>"-- "&amp;C1486</f>
        <v>-- バックアップ_検歴情報モジュール_検歴検体材料登録</v>
      </c>
    </row>
    <row r="1487" spans="2:23" ht="18.75" customHeight="1">
      <c r="B1487" s="43" t="s">
        <v>159</v>
      </c>
      <c r="C1487" s="111" t="str">
        <f>C1489&amp;"テーブルから組入れ条件の第一条件で絞り込んだ結果を"&amp;R1489&amp;"テーブルに格納する。"</f>
        <v>検歴情報モジュール_検歴検体材料_結合テーブルから組入れ条件の第一条件で絞り込んだ結果をバックアップ_検歴情報モジュール_検歴検体材料テーブルに格納する。</v>
      </c>
      <c r="D1487" s="112"/>
      <c r="E1487" s="112"/>
      <c r="F1487" s="112"/>
      <c r="G1487" s="112"/>
      <c r="H1487" s="112"/>
      <c r="I1487" s="112"/>
      <c r="J1487" s="112"/>
      <c r="K1487" s="112"/>
      <c r="L1487" s="112"/>
      <c r="M1487" s="112"/>
      <c r="N1487" s="112"/>
      <c r="O1487" s="112"/>
      <c r="P1487" s="112"/>
      <c r="Q1487" s="112"/>
      <c r="R1487" s="112"/>
      <c r="S1487" s="112"/>
      <c r="T1487" s="112"/>
      <c r="U1487" s="113"/>
      <c r="W1487" s="35" t="str">
        <f>"-- "&amp;C1487</f>
        <v>-- 検歴情報モジュール_検歴検体材料_結合テーブルから組入れ条件の第一条件で絞り込んだ結果をバックアップ_検歴情報モジュール_検歴検体材料テーブルに格納する。</v>
      </c>
    </row>
    <row r="1489" spans="2:23" ht="18.75" customHeight="1">
      <c r="C1489" s="102" t="s">
        <v>3488</v>
      </c>
      <c r="D1489" s="103"/>
      <c r="E1489" s="114" t="s">
        <v>162</v>
      </c>
      <c r="H1489" s="36"/>
      <c r="I1489" s="36"/>
      <c r="J1489" s="36"/>
      <c r="K1489" s="36"/>
      <c r="L1489" s="36"/>
      <c r="M1489" s="36"/>
      <c r="N1489" s="36"/>
      <c r="O1489" s="36"/>
      <c r="P1489" s="36"/>
      <c r="Q1489" s="36"/>
      <c r="R1489" s="102" t="str">
        <f>"バックアップ_"&amp;SUBSTITUTE(C1489,"_結合","")</f>
        <v>バックアップ_検歴情報モジュール_検歴検体材料</v>
      </c>
      <c r="S1489" s="103"/>
      <c r="T1489" s="106" t="str">
        <f>エンティティ一覧!$O$2</f>
        <v>milscm_2023_009</v>
      </c>
    </row>
    <row r="1490" spans="2:23" ht="18.75" customHeight="1">
      <c r="C1490" s="104"/>
      <c r="D1490" s="105"/>
      <c r="E1490" s="115"/>
      <c r="F1490" s="37"/>
      <c r="G1490" s="38"/>
      <c r="H1490" s="37"/>
      <c r="I1490" s="37"/>
      <c r="J1490" s="37"/>
      <c r="K1490" s="37"/>
      <c r="L1490" s="37"/>
      <c r="M1490" s="37"/>
      <c r="N1490" s="37"/>
      <c r="O1490" s="37"/>
      <c r="P1490" s="37"/>
      <c r="Q1490" s="37"/>
      <c r="R1490" s="104"/>
      <c r="S1490" s="105"/>
      <c r="T1490" s="107"/>
    </row>
    <row r="1491" spans="2:23" ht="18.75" customHeight="1">
      <c r="F1491" s="39"/>
      <c r="G1491" s="40"/>
    </row>
    <row r="1492" spans="2:23" ht="18.75" customHeight="1">
      <c r="C1492" s="102" t="s">
        <v>3201</v>
      </c>
      <c r="D1492" s="103"/>
      <c r="E1492" s="106" t="str">
        <f>エンティティ一覧!$O$2</f>
        <v>milscm_2023_009</v>
      </c>
      <c r="G1492" s="41"/>
    </row>
    <row r="1493" spans="2:23" ht="18.75" customHeight="1">
      <c r="C1493" s="104"/>
      <c r="D1493" s="105"/>
      <c r="E1493" s="107"/>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3489</v>
      </c>
      <c r="D1497" s="90"/>
      <c r="W1497" s="35" t="str">
        <f>"-- "&amp;B1497&amp;" : "&amp;C1497</f>
        <v>-- SQL_ID : 01_C4-35</v>
      </c>
    </row>
    <row r="1498" spans="2:23" ht="18.75" customHeight="1">
      <c r="B1498" s="43" t="s">
        <v>158</v>
      </c>
      <c r="C1498" s="108" t="str">
        <f>R1501&amp;"登録"</f>
        <v>バックアップ_検歴情報モジュール_検歴項目情報登録</v>
      </c>
      <c r="D1498" s="109"/>
      <c r="E1498" s="109"/>
      <c r="F1498" s="109"/>
      <c r="G1498" s="109"/>
      <c r="H1498" s="109"/>
      <c r="I1498" s="109"/>
      <c r="J1498" s="109"/>
      <c r="K1498" s="109"/>
      <c r="L1498" s="109"/>
      <c r="M1498" s="109"/>
      <c r="N1498" s="109"/>
      <c r="O1498" s="109"/>
      <c r="P1498" s="109"/>
      <c r="Q1498" s="109"/>
      <c r="R1498" s="109"/>
      <c r="S1498" s="109"/>
      <c r="T1498" s="109"/>
      <c r="U1498" s="110"/>
      <c r="W1498" s="35" t="str">
        <f>"-- "&amp;C1498</f>
        <v>-- バックアップ_検歴情報モジュール_検歴項目情報登録</v>
      </c>
    </row>
    <row r="1499" spans="2:23" ht="18.75" customHeight="1">
      <c r="B1499" s="43" t="s">
        <v>159</v>
      </c>
      <c r="C1499" s="111" t="str">
        <f>C1501&amp;"テーブルから組入れ条件の第一条件で絞り込んだ結果を"&amp;R1501&amp;"テーブルに格納する。"</f>
        <v>検歴情報モジュール_検歴項目情報_結合テーブルから組入れ条件の第一条件で絞り込んだ結果をバックアップ_検歴情報モジュール_検歴項目情報テーブルに格納する。</v>
      </c>
      <c r="D1499" s="112"/>
      <c r="E1499" s="112"/>
      <c r="F1499" s="112"/>
      <c r="G1499" s="112"/>
      <c r="H1499" s="112"/>
      <c r="I1499" s="112"/>
      <c r="J1499" s="112"/>
      <c r="K1499" s="112"/>
      <c r="L1499" s="112"/>
      <c r="M1499" s="112"/>
      <c r="N1499" s="112"/>
      <c r="O1499" s="112"/>
      <c r="P1499" s="112"/>
      <c r="Q1499" s="112"/>
      <c r="R1499" s="112"/>
      <c r="S1499" s="112"/>
      <c r="T1499" s="112"/>
      <c r="U1499" s="113"/>
      <c r="W1499" s="35" t="str">
        <f>"-- "&amp;C1499</f>
        <v>-- 検歴情報モジュール_検歴項目情報_結合テーブルから組入れ条件の第一条件で絞り込んだ結果をバックアップ_検歴情報モジュール_検歴項目情報テーブルに格納する。</v>
      </c>
    </row>
    <row r="1501" spans="2:23" ht="18.75" customHeight="1">
      <c r="C1501" s="102" t="s">
        <v>3490</v>
      </c>
      <c r="D1501" s="103"/>
      <c r="E1501" s="114" t="s">
        <v>162</v>
      </c>
      <c r="H1501" s="36"/>
      <c r="I1501" s="36"/>
      <c r="J1501" s="36"/>
      <c r="K1501" s="36"/>
      <c r="L1501" s="36"/>
      <c r="M1501" s="36"/>
      <c r="N1501" s="36"/>
      <c r="O1501" s="36"/>
      <c r="P1501" s="36"/>
      <c r="Q1501" s="36"/>
      <c r="R1501" s="102" t="str">
        <f>"バックアップ_"&amp;SUBSTITUTE(C1501,"_結合","")</f>
        <v>バックアップ_検歴情報モジュール_検歴項目情報</v>
      </c>
      <c r="S1501" s="103"/>
      <c r="T1501" s="106" t="str">
        <f>エンティティ一覧!$O$2</f>
        <v>milscm_2023_009</v>
      </c>
    </row>
    <row r="1502" spans="2:23" ht="18.75" customHeight="1">
      <c r="C1502" s="104"/>
      <c r="D1502" s="105"/>
      <c r="E1502" s="115"/>
      <c r="F1502" s="37"/>
      <c r="G1502" s="38"/>
      <c r="H1502" s="37"/>
      <c r="I1502" s="37"/>
      <c r="J1502" s="37"/>
      <c r="K1502" s="37"/>
      <c r="L1502" s="37"/>
      <c r="M1502" s="37"/>
      <c r="N1502" s="37"/>
      <c r="O1502" s="37"/>
      <c r="P1502" s="37"/>
      <c r="Q1502" s="37"/>
      <c r="R1502" s="104"/>
      <c r="S1502" s="105"/>
      <c r="T1502" s="107"/>
    </row>
    <row r="1503" spans="2:23" ht="18.75" customHeight="1">
      <c r="F1503" s="39"/>
      <c r="G1503" s="40"/>
    </row>
    <row r="1504" spans="2:23" ht="18.75" customHeight="1">
      <c r="C1504" s="102" t="s">
        <v>3201</v>
      </c>
      <c r="D1504" s="103"/>
      <c r="E1504" s="106" t="str">
        <f>エンティティ一覧!$O$2</f>
        <v>milscm_2023_009</v>
      </c>
      <c r="G1504" s="41"/>
    </row>
    <row r="1505" spans="2:23" ht="18.75" customHeight="1">
      <c r="C1505" s="104"/>
      <c r="D1505" s="105"/>
      <c r="E1505" s="107"/>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3491</v>
      </c>
      <c r="D1509" s="90"/>
      <c r="W1509" s="35" t="str">
        <f>"-- "&amp;B1509&amp;" : "&amp;C1509</f>
        <v>-- SQL_ID : 01_C4-37</v>
      </c>
    </row>
    <row r="1510" spans="2:23" ht="18.75" customHeight="1">
      <c r="B1510" s="43" t="s">
        <v>158</v>
      </c>
      <c r="C1510" s="108" t="str">
        <f>R1513&amp;"登録"</f>
        <v>バックアップ_バイタルサインモジュール_バイタルサイン登録</v>
      </c>
      <c r="D1510" s="109"/>
      <c r="E1510" s="109"/>
      <c r="F1510" s="109"/>
      <c r="G1510" s="109"/>
      <c r="H1510" s="109"/>
      <c r="I1510" s="109"/>
      <c r="J1510" s="109"/>
      <c r="K1510" s="109"/>
      <c r="L1510" s="109"/>
      <c r="M1510" s="109"/>
      <c r="N1510" s="109"/>
      <c r="O1510" s="109"/>
      <c r="P1510" s="109"/>
      <c r="Q1510" s="109"/>
      <c r="R1510" s="109"/>
      <c r="S1510" s="109"/>
      <c r="T1510" s="109"/>
      <c r="U1510" s="110"/>
      <c r="W1510" s="35" t="str">
        <f>"-- "&amp;C1510</f>
        <v>-- バックアップ_バイタルサインモジュール_バイタルサイン登録</v>
      </c>
    </row>
    <row r="1511" spans="2:23" ht="18.75" customHeight="1">
      <c r="B1511" s="43" t="s">
        <v>159</v>
      </c>
      <c r="C1511" s="111" t="str">
        <f>C1513&amp;"テーブルから組入れ条件の第一条件で絞り込んだ結果を"&amp;R1513&amp;"テーブルに格納する。"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11" s="112"/>
      <c r="E1511" s="112"/>
      <c r="F1511" s="112"/>
      <c r="G1511" s="112"/>
      <c r="H1511" s="112"/>
      <c r="I1511" s="112"/>
      <c r="J1511" s="112"/>
      <c r="K1511" s="112"/>
      <c r="L1511" s="112"/>
      <c r="M1511" s="112"/>
      <c r="N1511" s="112"/>
      <c r="O1511" s="112"/>
      <c r="P1511" s="112"/>
      <c r="Q1511" s="112"/>
      <c r="R1511" s="112"/>
      <c r="S1511" s="112"/>
      <c r="T1511" s="112"/>
      <c r="U1511" s="113"/>
      <c r="W1511" s="35" t="str">
        <f>"-- "&amp;C1511</f>
        <v>-- バイタルサインモジュール_バイタルサイン_結合テーブルから組入れ条件の第一条件で絞り込んだ結果をバックアップ_バイタルサインモジュール_バイタルサインテーブルに格納する。</v>
      </c>
    </row>
    <row r="1513" spans="2:23" ht="18.75" customHeight="1">
      <c r="C1513" s="102" t="s">
        <v>3492</v>
      </c>
      <c r="D1513" s="103"/>
      <c r="E1513" s="114" t="s">
        <v>162</v>
      </c>
      <c r="H1513" s="36"/>
      <c r="I1513" s="36"/>
      <c r="J1513" s="36"/>
      <c r="K1513" s="36"/>
      <c r="L1513" s="36"/>
      <c r="M1513" s="36"/>
      <c r="N1513" s="36"/>
      <c r="O1513" s="36"/>
      <c r="P1513" s="36"/>
      <c r="Q1513" s="36"/>
      <c r="R1513" s="120" t="str">
        <f>"バックアップ_"&amp;SUBSTITUTE(C1513,"_結合","")</f>
        <v>バックアップ_バイタルサインモジュール_バイタルサイン</v>
      </c>
      <c r="S1513" s="121"/>
      <c r="T1513" s="106" t="str">
        <f>エンティティ一覧!$O$2</f>
        <v>milscm_2023_009</v>
      </c>
    </row>
    <row r="1514" spans="2:23" ht="18.75" customHeight="1">
      <c r="C1514" s="104"/>
      <c r="D1514" s="105"/>
      <c r="E1514" s="115"/>
      <c r="F1514" s="37"/>
      <c r="G1514" s="38"/>
      <c r="H1514" s="37"/>
      <c r="I1514" s="37"/>
      <c r="J1514" s="37"/>
      <c r="K1514" s="37"/>
      <c r="L1514" s="37"/>
      <c r="M1514" s="37"/>
      <c r="N1514" s="37"/>
      <c r="O1514" s="37"/>
      <c r="P1514" s="37"/>
      <c r="Q1514" s="37"/>
      <c r="R1514" s="122"/>
      <c r="S1514" s="123"/>
      <c r="T1514" s="107"/>
    </row>
    <row r="1515" spans="2:23" ht="18.75" customHeight="1">
      <c r="F1515" s="39"/>
      <c r="G1515" s="40"/>
    </row>
    <row r="1516" spans="2:23" ht="18.75" customHeight="1">
      <c r="C1516" s="102" t="s">
        <v>3201</v>
      </c>
      <c r="D1516" s="103"/>
      <c r="E1516" s="106" t="str">
        <f>エンティティ一覧!$O$2</f>
        <v>milscm_2023_009</v>
      </c>
      <c r="G1516" s="41"/>
    </row>
    <row r="1517" spans="2:23" ht="18.75" customHeight="1">
      <c r="C1517" s="104"/>
      <c r="D1517" s="105"/>
      <c r="E1517" s="107"/>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3493</v>
      </c>
      <c r="D1521" s="90"/>
      <c r="W1521" s="35" t="str">
        <f>"-- "&amp;B1521&amp;" : "&amp;C1521</f>
        <v>-- SQL_ID : 01_C4-38</v>
      </c>
    </row>
    <row r="1522" spans="2:23" ht="18.75" customHeight="1">
      <c r="B1522" s="43" t="s">
        <v>158</v>
      </c>
      <c r="C1522" s="108" t="str">
        <f>R1525&amp;"登録"</f>
        <v>バックアップ_バイタルサインモジュール_記録項目登録</v>
      </c>
      <c r="D1522" s="109"/>
      <c r="E1522" s="109"/>
      <c r="F1522" s="109"/>
      <c r="G1522" s="109"/>
      <c r="H1522" s="109"/>
      <c r="I1522" s="109"/>
      <c r="J1522" s="109"/>
      <c r="K1522" s="109"/>
      <c r="L1522" s="109"/>
      <c r="M1522" s="109"/>
      <c r="N1522" s="109"/>
      <c r="O1522" s="109"/>
      <c r="P1522" s="109"/>
      <c r="Q1522" s="109"/>
      <c r="R1522" s="109"/>
      <c r="S1522" s="109"/>
      <c r="T1522" s="109"/>
      <c r="U1522" s="110"/>
      <c r="W1522" s="35" t="str">
        <f>"-- "&amp;C1522</f>
        <v>-- バックアップ_バイタルサインモジュール_記録項目登録</v>
      </c>
    </row>
    <row r="1523" spans="2:23" ht="18.75" customHeight="1">
      <c r="B1523" s="43" t="s">
        <v>159</v>
      </c>
      <c r="C1523" s="111" t="str">
        <f>C1525&amp;"テーブルから組入れ条件の第一条件で絞り込んだ結果を"&amp;R1525&amp;"テーブルに格納する。"</f>
        <v>バイタルサインモジュール_記録項目_結合テーブルから組入れ条件の第一条件で絞り込んだ結果をバックアップ_バイタルサインモジュール_記録項目テーブルに格納する。</v>
      </c>
      <c r="D1523" s="112"/>
      <c r="E1523" s="112"/>
      <c r="F1523" s="112"/>
      <c r="G1523" s="112"/>
      <c r="H1523" s="112"/>
      <c r="I1523" s="112"/>
      <c r="J1523" s="112"/>
      <c r="K1523" s="112"/>
      <c r="L1523" s="112"/>
      <c r="M1523" s="112"/>
      <c r="N1523" s="112"/>
      <c r="O1523" s="112"/>
      <c r="P1523" s="112"/>
      <c r="Q1523" s="112"/>
      <c r="R1523" s="112"/>
      <c r="S1523" s="112"/>
      <c r="T1523" s="112"/>
      <c r="U1523" s="113"/>
      <c r="W1523" s="35" t="str">
        <f>"-- "&amp;C1523</f>
        <v>-- バイタルサインモジュール_記録項目_結合テーブルから組入れ条件の第一条件で絞り込んだ結果をバックアップ_バイタルサインモジュール_記録項目テーブルに格納する。</v>
      </c>
    </row>
    <row r="1525" spans="2:23" ht="18.75" customHeight="1">
      <c r="C1525" s="102" t="s">
        <v>3494</v>
      </c>
      <c r="D1525" s="103"/>
      <c r="E1525" s="114" t="s">
        <v>162</v>
      </c>
      <c r="H1525" s="36"/>
      <c r="I1525" s="36"/>
      <c r="J1525" s="36"/>
      <c r="K1525" s="36"/>
      <c r="L1525" s="36"/>
      <c r="M1525" s="36"/>
      <c r="N1525" s="36"/>
      <c r="O1525" s="36"/>
      <c r="P1525" s="36"/>
      <c r="Q1525" s="36"/>
      <c r="R1525" s="120" t="str">
        <f>"バックアップ_"&amp;SUBSTITUTE(C1525,"_結合","")</f>
        <v>バックアップ_バイタルサインモジュール_記録項目</v>
      </c>
      <c r="S1525" s="121"/>
      <c r="T1525" s="106" t="str">
        <f>エンティティ一覧!$O$2</f>
        <v>milscm_2023_009</v>
      </c>
    </row>
    <row r="1526" spans="2:23" ht="18.75" customHeight="1">
      <c r="C1526" s="104"/>
      <c r="D1526" s="105"/>
      <c r="E1526" s="115"/>
      <c r="F1526" s="37"/>
      <c r="G1526" s="38"/>
      <c r="H1526" s="37"/>
      <c r="I1526" s="37"/>
      <c r="J1526" s="37"/>
      <c r="K1526" s="37"/>
      <c r="L1526" s="37"/>
      <c r="M1526" s="37"/>
      <c r="N1526" s="37"/>
      <c r="O1526" s="37"/>
      <c r="P1526" s="37"/>
      <c r="Q1526" s="37"/>
      <c r="R1526" s="122"/>
      <c r="S1526" s="123"/>
      <c r="T1526" s="107"/>
    </row>
    <row r="1527" spans="2:23" ht="18.75" customHeight="1">
      <c r="F1527" s="39"/>
      <c r="G1527" s="40"/>
    </row>
    <row r="1528" spans="2:23" ht="18.75" customHeight="1">
      <c r="C1528" s="102" t="s">
        <v>3201</v>
      </c>
      <c r="D1528" s="103"/>
      <c r="E1528" s="106" t="str">
        <f>エンティティ一覧!$O$2</f>
        <v>milscm_2023_009</v>
      </c>
      <c r="G1528" s="41"/>
    </row>
    <row r="1529" spans="2:23" ht="18.75" customHeight="1">
      <c r="C1529" s="104"/>
      <c r="D1529" s="105"/>
      <c r="E1529" s="107"/>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3495</v>
      </c>
      <c r="D1533" s="90"/>
      <c r="W1533" s="35" t="str">
        <f>"-- "&amp;B1533&amp;" : "&amp;C1533</f>
        <v>-- SQL_ID : 01_C4-40</v>
      </c>
    </row>
    <row r="1534" spans="2:23" ht="18.75" customHeight="1">
      <c r="B1534" s="43" t="s">
        <v>158</v>
      </c>
      <c r="C1534" s="108" t="str">
        <f>R1537&amp;"登録"</f>
        <v>バックアップ_体温表モジュール_バイタルサイン登録</v>
      </c>
      <c r="D1534" s="109"/>
      <c r="E1534" s="109"/>
      <c r="F1534" s="109"/>
      <c r="G1534" s="109"/>
      <c r="H1534" s="109"/>
      <c r="I1534" s="109"/>
      <c r="J1534" s="109"/>
      <c r="K1534" s="109"/>
      <c r="L1534" s="109"/>
      <c r="M1534" s="109"/>
      <c r="N1534" s="109"/>
      <c r="O1534" s="109"/>
      <c r="P1534" s="109"/>
      <c r="Q1534" s="109"/>
      <c r="R1534" s="109"/>
      <c r="S1534" s="109"/>
      <c r="T1534" s="109"/>
      <c r="U1534" s="110"/>
      <c r="W1534" s="35" t="str">
        <f>"-- "&amp;C1534</f>
        <v>-- バックアップ_体温表モジュール_バイタルサイン登録</v>
      </c>
    </row>
    <row r="1535" spans="2:23" ht="18.75" customHeight="1">
      <c r="B1535" s="43" t="s">
        <v>159</v>
      </c>
      <c r="C1535" s="111" t="str">
        <f>C1537&amp;"テーブルから組入れ条件の第一条件で絞り込んだ結果を"&amp;R1537&amp;"テーブルに格納する。"</f>
        <v>体温表モジュール_バイタルサイン_結合テーブルから組入れ条件の第一条件で絞り込んだ結果をバックアップ_体温表モジュール_バイタルサインテーブルに格納する。</v>
      </c>
      <c r="D1535" s="112"/>
      <c r="E1535" s="112"/>
      <c r="F1535" s="112"/>
      <c r="G1535" s="112"/>
      <c r="H1535" s="112"/>
      <c r="I1535" s="112"/>
      <c r="J1535" s="112"/>
      <c r="K1535" s="112"/>
      <c r="L1535" s="112"/>
      <c r="M1535" s="112"/>
      <c r="N1535" s="112"/>
      <c r="O1535" s="112"/>
      <c r="P1535" s="112"/>
      <c r="Q1535" s="112"/>
      <c r="R1535" s="112"/>
      <c r="S1535" s="112"/>
      <c r="T1535" s="112"/>
      <c r="U1535" s="113"/>
      <c r="W1535" s="35" t="str">
        <f>"-- "&amp;C1535</f>
        <v>-- 体温表モジュール_バイタルサイン_結合テーブルから組入れ条件の第一条件で絞り込んだ結果をバックアップ_体温表モジュール_バイタルサインテーブルに格納する。</v>
      </c>
    </row>
    <row r="1537" spans="2:23" ht="18.75" customHeight="1">
      <c r="C1537" s="102" t="s">
        <v>3496</v>
      </c>
      <c r="D1537" s="103"/>
      <c r="E1537" s="114" t="s">
        <v>162</v>
      </c>
      <c r="H1537" s="36"/>
      <c r="I1537" s="36"/>
      <c r="J1537" s="36"/>
      <c r="K1537" s="36"/>
      <c r="L1537" s="36"/>
      <c r="M1537" s="36"/>
      <c r="N1537" s="36"/>
      <c r="O1537" s="36"/>
      <c r="P1537" s="36"/>
      <c r="Q1537" s="36"/>
      <c r="R1537" s="120" t="str">
        <f>"バックアップ_"&amp;SUBSTITUTE(C1537,"_結合","")</f>
        <v>バックアップ_体温表モジュール_バイタルサイン</v>
      </c>
      <c r="S1537" s="121"/>
      <c r="T1537" s="106" t="str">
        <f>エンティティ一覧!$O$2</f>
        <v>milscm_2023_009</v>
      </c>
    </row>
    <row r="1538" spans="2:23" ht="18.75" customHeight="1">
      <c r="C1538" s="104"/>
      <c r="D1538" s="105"/>
      <c r="E1538" s="115"/>
      <c r="F1538" s="37"/>
      <c r="G1538" s="38"/>
      <c r="H1538" s="37"/>
      <c r="I1538" s="37"/>
      <c r="J1538" s="37"/>
      <c r="K1538" s="37"/>
      <c r="L1538" s="37"/>
      <c r="M1538" s="37"/>
      <c r="N1538" s="37"/>
      <c r="O1538" s="37"/>
      <c r="P1538" s="37"/>
      <c r="Q1538" s="37"/>
      <c r="R1538" s="122"/>
      <c r="S1538" s="123"/>
      <c r="T1538" s="107"/>
    </row>
    <row r="1539" spans="2:23" ht="18.75" customHeight="1">
      <c r="F1539" s="39"/>
      <c r="G1539" s="40"/>
    </row>
    <row r="1540" spans="2:23" ht="18.75" customHeight="1">
      <c r="C1540" s="102" t="s">
        <v>3201</v>
      </c>
      <c r="D1540" s="103"/>
      <c r="E1540" s="106" t="str">
        <f>エンティティ一覧!$O$2</f>
        <v>milscm_2023_009</v>
      </c>
      <c r="G1540" s="41"/>
    </row>
    <row r="1541" spans="2:23" ht="18.75" customHeight="1">
      <c r="C1541" s="104"/>
      <c r="D1541" s="105"/>
      <c r="E1541" s="107"/>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3497</v>
      </c>
      <c r="D1545" s="90"/>
      <c r="W1545" s="35" t="str">
        <f>"-- "&amp;B1545&amp;" : "&amp;C1545</f>
        <v>-- SQL_ID : 01_C4-41</v>
      </c>
    </row>
    <row r="1546" spans="2:23" ht="18.75" customHeight="1">
      <c r="B1546" s="43" t="s">
        <v>158</v>
      </c>
      <c r="C1546" s="108" t="str">
        <f>R1549&amp;"登録"</f>
        <v>バックアップ_体温表モジュール_記録項目登録</v>
      </c>
      <c r="D1546" s="109"/>
      <c r="E1546" s="109"/>
      <c r="F1546" s="109"/>
      <c r="G1546" s="109"/>
      <c r="H1546" s="109"/>
      <c r="I1546" s="109"/>
      <c r="J1546" s="109"/>
      <c r="K1546" s="109"/>
      <c r="L1546" s="109"/>
      <c r="M1546" s="109"/>
      <c r="N1546" s="109"/>
      <c r="O1546" s="109"/>
      <c r="P1546" s="109"/>
      <c r="Q1546" s="109"/>
      <c r="R1546" s="109"/>
      <c r="S1546" s="109"/>
      <c r="T1546" s="109"/>
      <c r="U1546" s="110"/>
      <c r="W1546" s="35" t="str">
        <f>"-- "&amp;C1546</f>
        <v>-- バックアップ_体温表モジュール_記録項目登録</v>
      </c>
    </row>
    <row r="1547" spans="2:23" ht="18.75" customHeight="1">
      <c r="B1547" s="43" t="s">
        <v>159</v>
      </c>
      <c r="C1547" s="111" t="str">
        <f>C1549&amp;"テーブルから組入れ条件の第一条件で絞り込んだ結果を"&amp;R1549&amp;"テーブルに格納する。"</f>
        <v>体温表モジュール_記録項目_結合テーブルから組入れ条件の第一条件で絞り込んだ結果をバックアップ_体温表モジュール_記録項目テーブルに格納する。</v>
      </c>
      <c r="D1547" s="112"/>
      <c r="E1547" s="112"/>
      <c r="F1547" s="112"/>
      <c r="G1547" s="112"/>
      <c r="H1547" s="112"/>
      <c r="I1547" s="112"/>
      <c r="J1547" s="112"/>
      <c r="K1547" s="112"/>
      <c r="L1547" s="112"/>
      <c r="M1547" s="112"/>
      <c r="N1547" s="112"/>
      <c r="O1547" s="112"/>
      <c r="P1547" s="112"/>
      <c r="Q1547" s="112"/>
      <c r="R1547" s="112"/>
      <c r="S1547" s="112"/>
      <c r="T1547" s="112"/>
      <c r="U1547" s="113"/>
      <c r="W1547" s="35" t="str">
        <f>"-- "&amp;C1547</f>
        <v>-- 体温表モジュール_記録項目_結合テーブルから組入れ条件の第一条件で絞り込んだ結果をバックアップ_体温表モジュール_記録項目テーブルに格納する。</v>
      </c>
    </row>
    <row r="1549" spans="2:23" ht="18.75" customHeight="1">
      <c r="C1549" s="102" t="s">
        <v>3498</v>
      </c>
      <c r="D1549" s="103"/>
      <c r="E1549" s="114" t="s">
        <v>162</v>
      </c>
      <c r="H1549" s="36"/>
      <c r="I1549" s="36"/>
      <c r="J1549" s="36"/>
      <c r="K1549" s="36"/>
      <c r="L1549" s="36"/>
      <c r="M1549" s="36"/>
      <c r="N1549" s="36"/>
      <c r="O1549" s="36"/>
      <c r="P1549" s="36"/>
      <c r="Q1549" s="36"/>
      <c r="R1549" s="120" t="str">
        <f>"バックアップ_"&amp;SUBSTITUTE(C1549,"_結合","")</f>
        <v>バックアップ_体温表モジュール_記録項目</v>
      </c>
      <c r="S1549" s="121"/>
      <c r="T1549" s="106" t="str">
        <f>エンティティ一覧!$O$2</f>
        <v>milscm_2023_009</v>
      </c>
    </row>
    <row r="1550" spans="2:23" ht="18.75" customHeight="1">
      <c r="C1550" s="104"/>
      <c r="D1550" s="105"/>
      <c r="E1550" s="115"/>
      <c r="F1550" s="37"/>
      <c r="G1550" s="38"/>
      <c r="H1550" s="37"/>
      <c r="I1550" s="37"/>
      <c r="J1550" s="37"/>
      <c r="K1550" s="37"/>
      <c r="L1550" s="37"/>
      <c r="M1550" s="37"/>
      <c r="N1550" s="37"/>
      <c r="O1550" s="37"/>
      <c r="P1550" s="37"/>
      <c r="Q1550" s="37"/>
      <c r="R1550" s="122"/>
      <c r="S1550" s="123"/>
      <c r="T1550" s="107"/>
    </row>
    <row r="1551" spans="2:23" ht="18.75" customHeight="1">
      <c r="F1551" s="39"/>
      <c r="G1551" s="40"/>
    </row>
    <row r="1552" spans="2:23" ht="18.75" customHeight="1">
      <c r="C1552" s="102" t="s">
        <v>3201</v>
      </c>
      <c r="D1552" s="103"/>
      <c r="E1552" s="106" t="str">
        <f>エンティティ一覧!$O$2</f>
        <v>milscm_2023_009</v>
      </c>
      <c r="G1552" s="41"/>
    </row>
    <row r="1553" spans="2:21" ht="18.75" customHeight="1">
      <c r="C1553" s="104"/>
      <c r="D1553" s="105"/>
      <c r="E1553" s="107"/>
      <c r="F1553" s="37"/>
    </row>
    <row r="1555" spans="2:21"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sheetData>
  <mergeCells count="1034">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 ref="R1045:S1046"/>
    <mergeCell ref="T1045:T1046"/>
    <mergeCell ref="C1018:U1018"/>
    <mergeCell ref="C1019:U1019"/>
    <mergeCell ref="C1006:U1006"/>
    <mergeCell ref="C1007:U1007"/>
    <mergeCell ref="C1009:D1010"/>
    <mergeCell ref="E1009:E1010"/>
    <mergeCell ref="R1009:S1010"/>
    <mergeCell ref="T1009:T1010"/>
    <mergeCell ref="C1012:D1013"/>
    <mergeCell ref="E1012:E1013"/>
    <mergeCell ref="R1033:S1034"/>
    <mergeCell ref="T1033:T1034"/>
    <mergeCell ref="C1042:U1042"/>
    <mergeCell ref="C1043:U1043"/>
    <mergeCell ref="C1036:D1037"/>
    <mergeCell ref="E1036:E1037"/>
    <mergeCell ref="C1030:U1030"/>
    <mergeCell ref="C1031:U1031"/>
    <mergeCell ref="C1033:D1034"/>
    <mergeCell ref="E1033:E1034"/>
    <mergeCell ref="C1021:D1022"/>
    <mergeCell ref="E1021:E1022"/>
    <mergeCell ref="R1021:S1022"/>
    <mergeCell ref="T1021:T1022"/>
    <mergeCell ref="C1024:D1025"/>
    <mergeCell ref="E1024:E1025"/>
    <mergeCell ref="C1045:D1046"/>
    <mergeCell ref="E1045:E1046"/>
    <mergeCell ref="C1084:D1085"/>
    <mergeCell ref="E1084:E1085"/>
    <mergeCell ref="C1048:D1049"/>
    <mergeCell ref="E1048:E1049"/>
    <mergeCell ref="C1060:D1061"/>
    <mergeCell ref="E1060:E1061"/>
    <mergeCell ref="C1072:D1073"/>
    <mergeCell ref="E1072:E1073"/>
    <mergeCell ref="C1078:U1078"/>
    <mergeCell ref="C1079:U1079"/>
    <mergeCell ref="C1081:D1082"/>
    <mergeCell ref="E1081:E1082"/>
    <mergeCell ref="R1081:S1082"/>
    <mergeCell ref="T1081:T1082"/>
    <mergeCell ref="C1069:D1070"/>
    <mergeCell ref="E1069:E1070"/>
    <mergeCell ref="R1069:S1070"/>
    <mergeCell ref="T1069:T1070"/>
    <mergeCell ref="C1054:U1054"/>
    <mergeCell ref="C1055:U1055"/>
    <mergeCell ref="C1057:D1058"/>
    <mergeCell ref="E1057:E1058"/>
    <mergeCell ref="R1057:S1058"/>
    <mergeCell ref="T1057:T1058"/>
    <mergeCell ref="C1066:U1066"/>
    <mergeCell ref="C1067:U1067"/>
    <mergeCell ref="C1108:D1109"/>
    <mergeCell ref="E1108:E1109"/>
    <mergeCell ref="C1114:U1114"/>
    <mergeCell ref="C1115:U1115"/>
    <mergeCell ref="C1117:D1118"/>
    <mergeCell ref="E1117:E1118"/>
    <mergeCell ref="R1117:S1118"/>
    <mergeCell ref="T1117:T1118"/>
    <mergeCell ref="C1096:D1097"/>
    <mergeCell ref="E1096:E1097"/>
    <mergeCell ref="C1102:U1102"/>
    <mergeCell ref="C1103:U1103"/>
    <mergeCell ref="C1105:D1106"/>
    <mergeCell ref="E1105:E1106"/>
    <mergeCell ref="R1105:S1106"/>
    <mergeCell ref="T1105:T1106"/>
    <mergeCell ref="C1090:U1090"/>
    <mergeCell ref="C1091:U1091"/>
    <mergeCell ref="C1093:D1094"/>
    <mergeCell ref="E1093:E1094"/>
    <mergeCell ref="R1093:S1094"/>
    <mergeCell ref="T1093:T1094"/>
    <mergeCell ref="C1144:D1145"/>
    <mergeCell ref="E1144:E1145"/>
    <mergeCell ref="C1150:U1150"/>
    <mergeCell ref="C1151:U1151"/>
    <mergeCell ref="C1153:D1154"/>
    <mergeCell ref="E1153:E1154"/>
    <mergeCell ref="R1153:S1154"/>
    <mergeCell ref="T1153:T1154"/>
    <mergeCell ref="C1132:D1133"/>
    <mergeCell ref="E1132:E1133"/>
    <mergeCell ref="C1138:U1138"/>
    <mergeCell ref="C1139:U1139"/>
    <mergeCell ref="C1141:D1142"/>
    <mergeCell ref="E1141:E1142"/>
    <mergeCell ref="R1141:S1142"/>
    <mergeCell ref="T1141:T1142"/>
    <mergeCell ref="C1120:D1121"/>
    <mergeCell ref="E1120:E1121"/>
    <mergeCell ref="C1126:U1126"/>
    <mergeCell ref="C1127:U1127"/>
    <mergeCell ref="C1129:D1130"/>
    <mergeCell ref="E1129:E1130"/>
    <mergeCell ref="R1129:S1130"/>
    <mergeCell ref="T1129:T1130"/>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552:D1553"/>
    <mergeCell ref="E1552:E1553"/>
    <mergeCell ref="C40:U40"/>
    <mergeCell ref="C41:U41"/>
    <mergeCell ref="C43:D44"/>
    <mergeCell ref="E43:E44"/>
    <mergeCell ref="R43:S44"/>
    <mergeCell ref="T43:T44"/>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640:D641"/>
    <mergeCell ref="E640:E641"/>
    <mergeCell ref="C646:U646"/>
    <mergeCell ref="C647:U647"/>
    <mergeCell ref="C649:D650"/>
    <mergeCell ref="E649:E650"/>
    <mergeCell ref="R649:S650"/>
    <mergeCell ref="T649:T650"/>
    <mergeCell ref="C628:D629"/>
    <mergeCell ref="E628:E629"/>
    <mergeCell ref="C634:U634"/>
    <mergeCell ref="C635:U635"/>
    <mergeCell ref="C637:D638"/>
    <mergeCell ref="E637:E638"/>
    <mergeCell ref="R637:S638"/>
    <mergeCell ref="T637:T638"/>
    <mergeCell ref="C622:U622"/>
    <mergeCell ref="C623:U623"/>
    <mergeCell ref="C625:D626"/>
    <mergeCell ref="E625:E626"/>
    <mergeCell ref="R625:S626"/>
    <mergeCell ref="T625:T626"/>
    <mergeCell ref="C676:D677"/>
    <mergeCell ref="E676:E677"/>
    <mergeCell ref="C682:U682"/>
    <mergeCell ref="C683:U683"/>
    <mergeCell ref="C685:D686"/>
    <mergeCell ref="E685:E686"/>
    <mergeCell ref="R685:S686"/>
    <mergeCell ref="T685:T686"/>
    <mergeCell ref="C664:D665"/>
    <mergeCell ref="E664:E665"/>
    <mergeCell ref="C670:U670"/>
    <mergeCell ref="C671:U671"/>
    <mergeCell ref="C673:D674"/>
    <mergeCell ref="E673:E674"/>
    <mergeCell ref="R673:S674"/>
    <mergeCell ref="T673:T674"/>
    <mergeCell ref="C652:D653"/>
    <mergeCell ref="E652:E653"/>
    <mergeCell ref="C658:U658"/>
    <mergeCell ref="C659:U659"/>
    <mergeCell ref="C661:D662"/>
    <mergeCell ref="E661:E662"/>
    <mergeCell ref="R661:S662"/>
    <mergeCell ref="T661:T662"/>
    <mergeCell ref="C712:D713"/>
    <mergeCell ref="E712:E713"/>
    <mergeCell ref="C718:U718"/>
    <mergeCell ref="C719:U719"/>
    <mergeCell ref="C721:D722"/>
    <mergeCell ref="E721:E722"/>
    <mergeCell ref="R721:S722"/>
    <mergeCell ref="T721:T722"/>
    <mergeCell ref="C700:D701"/>
    <mergeCell ref="E700:E701"/>
    <mergeCell ref="C706:U706"/>
    <mergeCell ref="C707:U707"/>
    <mergeCell ref="C709:D710"/>
    <mergeCell ref="E709:E710"/>
    <mergeCell ref="R709:S710"/>
    <mergeCell ref="T709:T710"/>
    <mergeCell ref="C688:D689"/>
    <mergeCell ref="E688:E689"/>
    <mergeCell ref="C694:U694"/>
    <mergeCell ref="C695:U695"/>
    <mergeCell ref="C697:D698"/>
    <mergeCell ref="E697:E698"/>
    <mergeCell ref="R697:S698"/>
    <mergeCell ref="T697:T698"/>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724:D725"/>
    <mergeCell ref="E724:E725"/>
    <mergeCell ref="C730:U730"/>
    <mergeCell ref="C731:U731"/>
    <mergeCell ref="C733:D734"/>
    <mergeCell ref="E733:E734"/>
    <mergeCell ref="R733:S734"/>
    <mergeCell ref="T733:T734"/>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1000:D1001"/>
    <mergeCell ref="E1000:E1001"/>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10"/>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9"/>
      <c r="B3" s="43" t="s">
        <v>163</v>
      </c>
      <c r="C3" s="51" t="s">
        <v>174</v>
      </c>
      <c r="D3" s="91"/>
      <c r="W3" s="35" t="str">
        <f>"-- "&amp;B3&amp;" : "&amp;C3</f>
        <v>-- SQL_ID : 11_01</v>
      </c>
    </row>
    <row r="4" spans="1:23" ht="18.75" customHeight="1">
      <c r="B4" s="43" t="s">
        <v>158</v>
      </c>
      <c r="C4" s="108" t="str">
        <f>R7&amp;"登録"</f>
        <v>組入れ_対象施設登録</v>
      </c>
      <c r="D4" s="109"/>
      <c r="E4" s="109"/>
      <c r="F4" s="109"/>
      <c r="G4" s="109"/>
      <c r="H4" s="109"/>
      <c r="I4" s="109"/>
      <c r="J4" s="109"/>
      <c r="K4" s="109"/>
      <c r="L4" s="109"/>
      <c r="M4" s="109"/>
      <c r="N4" s="109"/>
      <c r="O4" s="109"/>
      <c r="P4" s="109"/>
      <c r="Q4" s="109"/>
      <c r="R4" s="109"/>
      <c r="S4" s="109"/>
      <c r="T4" s="109"/>
      <c r="U4" s="110"/>
      <c r="W4" s="35" t="str">
        <f>"-- "&amp;C4</f>
        <v>-- 組入れ_対象施設登録</v>
      </c>
    </row>
    <row r="5" spans="1:23" ht="18.75" customHeight="1">
      <c r="B5" s="43" t="s">
        <v>159</v>
      </c>
      <c r="C5" s="111" t="str">
        <f>C7&amp;"テーブルから組入れ条件で絞り込んだ結果を"&amp;R7&amp;"テーブルに格納する。"</f>
        <v>バックアップ_処理対象施設マスタテーブルから組入れ条件で絞り込んだ結果を組入れ_対象施設テーブルに格納する。</v>
      </c>
      <c r="D5" s="112"/>
      <c r="E5" s="112"/>
      <c r="F5" s="112"/>
      <c r="G5" s="112"/>
      <c r="H5" s="112"/>
      <c r="I5" s="112"/>
      <c r="J5" s="112"/>
      <c r="K5" s="112"/>
      <c r="L5" s="112"/>
      <c r="M5" s="112"/>
      <c r="N5" s="112"/>
      <c r="O5" s="112"/>
      <c r="P5" s="112"/>
      <c r="Q5" s="112"/>
      <c r="R5" s="112"/>
      <c r="S5" s="112"/>
      <c r="T5" s="112"/>
      <c r="U5" s="113"/>
      <c r="W5" s="35" t="str">
        <f>"-- "&amp;C5</f>
        <v>-- バックアップ_処理対象施設マスタテーブルから組入れ条件で絞り込んだ結果を組入れ_対象施設テーブルに格納する。</v>
      </c>
    </row>
    <row r="7" spans="1:23" ht="18.75" customHeight="1">
      <c r="C7" s="102" t="s">
        <v>3891</v>
      </c>
      <c r="D7" s="103"/>
      <c r="E7" s="106" t="str">
        <f>エンティティ一覧!$O$2</f>
        <v>milscm_2023_009</v>
      </c>
      <c r="F7" s="36"/>
      <c r="G7" s="36"/>
      <c r="H7" s="36"/>
      <c r="I7" s="36"/>
      <c r="J7" s="36"/>
      <c r="M7" s="36"/>
      <c r="N7" s="36"/>
      <c r="O7" s="36"/>
      <c r="P7" s="36"/>
      <c r="Q7" s="36"/>
      <c r="R7" s="102" t="s">
        <v>3687</v>
      </c>
      <c r="S7" s="103"/>
      <c r="T7" s="106" t="str">
        <f>エンティティ一覧!$O$2</f>
        <v>milscm_2023_009</v>
      </c>
      <c r="W7" s="35" t="s">
        <v>3688</v>
      </c>
    </row>
    <row r="8" spans="1:23" ht="18.75" customHeight="1">
      <c r="C8" s="104"/>
      <c r="D8" s="105"/>
      <c r="E8" s="107"/>
      <c r="F8" s="37"/>
      <c r="G8" s="37"/>
      <c r="H8" s="37"/>
      <c r="I8" s="37"/>
      <c r="J8" s="37"/>
      <c r="K8" s="37"/>
      <c r="L8" s="38"/>
      <c r="M8" s="37"/>
      <c r="N8" s="37"/>
      <c r="O8" s="37"/>
      <c r="P8" s="37"/>
      <c r="Q8" s="37"/>
      <c r="R8" s="104"/>
      <c r="S8" s="105"/>
      <c r="T8" s="107"/>
    </row>
    <row r="9" spans="1:23" ht="18.75" customHeight="1">
      <c r="K9" s="39"/>
      <c r="L9" s="40"/>
    </row>
    <row r="10" spans="1:23" ht="18.75" customHeight="1">
      <c r="C10" s="102" t="s">
        <v>3686</v>
      </c>
      <c r="D10" s="103"/>
      <c r="E10" s="114" t="s">
        <v>162</v>
      </c>
      <c r="F10" s="36"/>
      <c r="G10" s="36"/>
      <c r="H10" s="36"/>
      <c r="I10" s="36"/>
      <c r="J10" s="36"/>
      <c r="L10" s="41"/>
    </row>
    <row r="11" spans="1:23" ht="18.75" customHeight="1">
      <c r="C11" s="104"/>
      <c r="D11" s="105"/>
      <c r="E11" s="115"/>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9"/>
      <c r="B15" s="43" t="s">
        <v>163</v>
      </c>
      <c r="C15" s="51" t="s">
        <v>189</v>
      </c>
      <c r="D15" s="50"/>
      <c r="W15" s="35" t="str">
        <f>"-- "&amp;B15&amp;" : "&amp;C15</f>
        <v>-- SQL_ID : 11_02</v>
      </c>
    </row>
    <row r="16" spans="1:23" ht="18.75" customHeight="1">
      <c r="B16" s="43" t="s">
        <v>158</v>
      </c>
      <c r="C16" s="108" t="str">
        <f>R19&amp;"登録"</f>
        <v>組入れ_対象疾患登録</v>
      </c>
      <c r="D16" s="109"/>
      <c r="E16" s="109"/>
      <c r="F16" s="109"/>
      <c r="G16" s="109"/>
      <c r="H16" s="109"/>
      <c r="I16" s="109"/>
      <c r="J16" s="109"/>
      <c r="K16" s="109"/>
      <c r="L16" s="109"/>
      <c r="M16" s="109"/>
      <c r="N16" s="109"/>
      <c r="O16" s="109"/>
      <c r="P16" s="109"/>
      <c r="Q16" s="109"/>
      <c r="R16" s="109"/>
      <c r="S16" s="109"/>
      <c r="T16" s="109"/>
      <c r="U16" s="110"/>
      <c r="W16" s="35" t="str">
        <f>"-- "&amp;C16</f>
        <v>-- 組入れ_対象疾患登録</v>
      </c>
    </row>
    <row r="17" spans="2:23" ht="18.75" customHeight="1">
      <c r="B17" s="43" t="s">
        <v>159</v>
      </c>
      <c r="C17" s="111" t="str">
        <f>C19&amp;"テーブルから組入れ条件で絞り込んだ結果を"&amp;R19&amp;"テーブルに格納する。"</f>
        <v>バックアップ_疾患データ_組み入れ第一条件テーブルから組入れ条件で絞り込んだ結果を組入れ_対象疾患テーブルに格納する。</v>
      </c>
      <c r="D17" s="112"/>
      <c r="E17" s="112"/>
      <c r="F17" s="112"/>
      <c r="G17" s="112"/>
      <c r="H17" s="112"/>
      <c r="I17" s="112"/>
      <c r="J17" s="112"/>
      <c r="K17" s="112"/>
      <c r="L17" s="112"/>
      <c r="M17" s="112"/>
      <c r="N17" s="112"/>
      <c r="O17" s="112"/>
      <c r="P17" s="112"/>
      <c r="Q17" s="112"/>
      <c r="R17" s="112"/>
      <c r="S17" s="112"/>
      <c r="T17" s="112"/>
      <c r="U17" s="113"/>
      <c r="W17" s="35" t="str">
        <f>"-- "&amp;C17</f>
        <v>-- バックアップ_疾患データ_組み入れ第一条件テーブルから組入れ条件で絞り込んだ結果を組入れ_対象疾患テーブルに格納する。</v>
      </c>
    </row>
    <row r="19" spans="2:23" ht="18.75" customHeight="1">
      <c r="C19" s="102" t="s">
        <v>3808</v>
      </c>
      <c r="D19" s="103"/>
      <c r="E19" s="106" t="str">
        <f>エンティティ一覧!$O$2</f>
        <v>milscm_2023_009</v>
      </c>
      <c r="F19" s="36"/>
      <c r="G19" s="36"/>
      <c r="H19" s="36"/>
      <c r="I19" s="36"/>
      <c r="J19" s="36"/>
      <c r="M19" s="36"/>
      <c r="N19" s="36"/>
      <c r="O19" s="36"/>
      <c r="P19" s="36"/>
      <c r="Q19" s="36"/>
      <c r="R19" s="102" t="s">
        <v>3689</v>
      </c>
      <c r="S19" s="103"/>
      <c r="T19" s="106" t="str">
        <f>エンティティ一覧!$O$2</f>
        <v>milscm_2023_009</v>
      </c>
    </row>
    <row r="20" spans="2:23" ht="18.75" customHeight="1">
      <c r="C20" s="104"/>
      <c r="D20" s="105"/>
      <c r="E20" s="107"/>
      <c r="F20" s="37"/>
      <c r="G20" s="37"/>
      <c r="H20" s="37"/>
      <c r="I20" s="37"/>
      <c r="J20" s="37"/>
      <c r="K20" s="37"/>
      <c r="L20" s="38"/>
      <c r="M20" s="37"/>
      <c r="N20" s="37"/>
      <c r="O20" s="37"/>
      <c r="P20" s="37"/>
      <c r="Q20" s="37"/>
      <c r="R20" s="104"/>
      <c r="S20" s="105"/>
      <c r="T20" s="107"/>
    </row>
    <row r="21" spans="2:23" ht="18.75" customHeight="1">
      <c r="K21" s="39"/>
      <c r="L21" s="40"/>
    </row>
    <row r="22" spans="2:23" ht="18.75" customHeight="1">
      <c r="H22" s="102" t="s">
        <v>3687</v>
      </c>
      <c r="I22" s="103"/>
      <c r="J22" s="106" t="str">
        <f>エンティティ一覧!$O$2</f>
        <v>milscm_2023_009</v>
      </c>
      <c r="L22" s="41"/>
    </row>
    <row r="23" spans="2:23" ht="18.75" customHeight="1">
      <c r="H23" s="104"/>
      <c r="I23" s="105"/>
      <c r="J23" s="107"/>
      <c r="K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190</v>
      </c>
      <c r="D27" s="50"/>
      <c r="W27" s="35" t="str">
        <f>"-- "&amp;B27&amp;" : "&amp;C27</f>
        <v>-- SQL_ID : 11_03</v>
      </c>
    </row>
    <row r="28" spans="2:23" ht="18.75" customHeight="1">
      <c r="B28" s="43" t="s">
        <v>158</v>
      </c>
      <c r="C28" s="108" t="str">
        <f>R31&amp;"登録"</f>
        <v>組入れ_対象診療行為登録</v>
      </c>
      <c r="D28" s="109"/>
      <c r="E28" s="109"/>
      <c r="F28" s="109"/>
      <c r="G28" s="109"/>
      <c r="H28" s="109"/>
      <c r="I28" s="109"/>
      <c r="J28" s="109"/>
      <c r="K28" s="109"/>
      <c r="L28" s="109"/>
      <c r="M28" s="109"/>
      <c r="N28" s="109"/>
      <c r="O28" s="109"/>
      <c r="P28" s="109"/>
      <c r="Q28" s="109"/>
      <c r="R28" s="109"/>
      <c r="S28" s="109"/>
      <c r="T28" s="109"/>
      <c r="U28" s="110"/>
      <c r="W28" s="35" t="str">
        <f>"-- "&amp;C28</f>
        <v>-- 組入れ_対象診療行為登録</v>
      </c>
    </row>
    <row r="29" spans="2:23" ht="18.75" customHeight="1">
      <c r="B29" s="43" t="s">
        <v>159</v>
      </c>
      <c r="C29" s="111" t="str">
        <f>C31&amp;"テーブルから組入れ条件で絞り込んだ結果を"&amp;R31&amp;"テーブルに格納する。"</f>
        <v>バックアップ_診療行為データテーブルから組入れ条件で絞り込んだ結果を組入れ_対象診療行為テーブルに格納する。</v>
      </c>
      <c r="D29" s="112"/>
      <c r="E29" s="112"/>
      <c r="F29" s="112"/>
      <c r="G29" s="112"/>
      <c r="H29" s="112"/>
      <c r="I29" s="112"/>
      <c r="J29" s="112"/>
      <c r="K29" s="112"/>
      <c r="L29" s="112"/>
      <c r="M29" s="112"/>
      <c r="N29" s="112"/>
      <c r="O29" s="112"/>
      <c r="P29" s="112"/>
      <c r="Q29" s="112"/>
      <c r="R29" s="112"/>
      <c r="S29" s="112"/>
      <c r="T29" s="112"/>
      <c r="U29" s="113"/>
      <c r="W29" s="35" t="str">
        <f>"-- "&amp;C29</f>
        <v>-- バックアップ_診療行為データテーブルから組入れ条件で絞り込んだ結果を組入れ_対象診療行為テーブルに格納する。</v>
      </c>
    </row>
    <row r="31" spans="2:23" ht="18.75" customHeight="1">
      <c r="C31" s="102" t="s">
        <v>3824</v>
      </c>
      <c r="D31" s="103"/>
      <c r="E31" s="106" t="str">
        <f>エンティティ一覧!$O$2</f>
        <v>milscm_2023_009</v>
      </c>
      <c r="F31" s="36"/>
      <c r="G31" s="36"/>
      <c r="H31" s="36"/>
      <c r="I31" s="36"/>
      <c r="J31" s="36"/>
      <c r="K31" s="36"/>
      <c r="L31" s="36"/>
      <c r="M31" s="36"/>
      <c r="N31" s="36"/>
      <c r="O31" s="36"/>
      <c r="R31" s="102" t="s">
        <v>3823</v>
      </c>
      <c r="S31" s="103"/>
      <c r="T31" s="106" t="str">
        <f>エンティティ一覧!$O$2</f>
        <v>milscm_2023_009</v>
      </c>
    </row>
    <row r="32" spans="2:23" ht="18.75" customHeight="1">
      <c r="C32" s="104"/>
      <c r="D32" s="105"/>
      <c r="E32" s="107"/>
      <c r="F32" s="37"/>
      <c r="G32" s="37"/>
      <c r="H32" s="37"/>
      <c r="I32" s="37"/>
      <c r="J32" s="37"/>
      <c r="K32" s="37"/>
      <c r="L32" s="37"/>
      <c r="M32" s="37"/>
      <c r="N32" s="37"/>
      <c r="O32" s="37"/>
      <c r="P32" s="37"/>
      <c r="Q32" s="38"/>
      <c r="R32" s="104"/>
      <c r="S32" s="105"/>
      <c r="T32" s="107"/>
    </row>
    <row r="33" spans="2:23" ht="18.75" customHeight="1">
      <c r="P33" s="39"/>
      <c r="Q33" s="40"/>
    </row>
    <row r="34" spans="2:23" ht="18.75" customHeight="1">
      <c r="H34" s="35" t="s">
        <v>3825</v>
      </c>
      <c r="J34" s="35">
        <v>160231010</v>
      </c>
      <c r="M34" s="102" t="s">
        <v>3687</v>
      </c>
      <c r="N34" s="103"/>
      <c r="O34" s="106" t="str">
        <f>エンティティ一覧!$O$2</f>
        <v>milscm_2023_009</v>
      </c>
      <c r="Q34" s="41"/>
    </row>
    <row r="35" spans="2:23" ht="18.75" customHeight="1">
      <c r="H35" s="35" t="s">
        <v>3826</v>
      </c>
      <c r="J35" s="35">
        <v>160233010</v>
      </c>
      <c r="M35" s="104"/>
      <c r="N35" s="105"/>
      <c r="O35" s="107"/>
      <c r="P35" s="37"/>
    </row>
    <row r="36" spans="2:23" ht="18.75" customHeight="1">
      <c r="H36" s="35" t="s">
        <v>3827</v>
      </c>
      <c r="J36" s="35">
        <v>160060870</v>
      </c>
    </row>
    <row r="38" spans="2:23" ht="18.75" customHeight="1" thickBot="1">
      <c r="B38" s="42"/>
      <c r="C38" s="42"/>
      <c r="D38" s="42"/>
      <c r="E38" s="42"/>
      <c r="F38" s="42"/>
      <c r="G38" s="42"/>
      <c r="H38" s="42"/>
      <c r="I38" s="42"/>
      <c r="J38" s="42"/>
      <c r="K38" s="42"/>
      <c r="L38" s="42"/>
      <c r="M38" s="42"/>
      <c r="N38" s="42"/>
      <c r="O38" s="42"/>
      <c r="P38" s="42"/>
      <c r="Q38" s="42"/>
      <c r="R38" s="42"/>
      <c r="S38" s="42"/>
      <c r="T38" s="42"/>
      <c r="U38" s="42"/>
    </row>
    <row r="40" spans="2:23" ht="18.75" customHeight="1">
      <c r="B40" s="63" t="s">
        <v>920</v>
      </c>
      <c r="C40" s="51" t="s">
        <v>3691</v>
      </c>
      <c r="D40" s="97"/>
      <c r="W40" s="35" t="str">
        <f>"-- "&amp;B40&amp;" : "&amp;C40</f>
        <v>-- 処理ID : 11_04</v>
      </c>
    </row>
    <row r="41" spans="2:23" ht="18.75" customHeight="1">
      <c r="B41" s="63" t="s">
        <v>558</v>
      </c>
      <c r="C41" s="108" t="str">
        <f>R44&amp;"登録"</f>
        <v>組入れ_検査マスタ登録</v>
      </c>
      <c r="D41" s="109"/>
      <c r="E41" s="109"/>
      <c r="F41" s="109"/>
      <c r="G41" s="109"/>
      <c r="H41" s="109"/>
      <c r="I41" s="109"/>
      <c r="J41" s="109"/>
      <c r="K41" s="109"/>
      <c r="L41" s="109"/>
      <c r="M41" s="109"/>
      <c r="N41" s="109"/>
      <c r="O41" s="109"/>
      <c r="P41" s="109"/>
      <c r="Q41" s="109"/>
      <c r="R41" s="109"/>
      <c r="S41" s="109"/>
      <c r="T41" s="109"/>
      <c r="U41" s="110"/>
      <c r="W41" s="35" t="str">
        <f>"-- "&amp;C41</f>
        <v>-- 組入れ_検査マスタ登録</v>
      </c>
    </row>
    <row r="42" spans="2:23" ht="18.75" customHeight="1">
      <c r="B42" s="63" t="s">
        <v>159</v>
      </c>
      <c r="C42" s="111" t="s">
        <v>3690</v>
      </c>
      <c r="D42" s="112"/>
      <c r="E42" s="112"/>
      <c r="F42" s="112"/>
      <c r="G42" s="112"/>
      <c r="H42" s="112"/>
      <c r="I42" s="112"/>
      <c r="J42" s="112"/>
      <c r="K42" s="112"/>
      <c r="L42" s="112"/>
      <c r="M42" s="112"/>
      <c r="N42" s="112"/>
      <c r="O42" s="112"/>
      <c r="P42" s="112"/>
      <c r="Q42" s="112"/>
      <c r="R42" s="112"/>
      <c r="S42" s="112"/>
      <c r="T42" s="112"/>
      <c r="U42" s="113"/>
      <c r="W42" s="35" t="str">
        <f>"-- "&amp;C42</f>
        <v>-- バックアップ_処方データ_組み入れ第一条件から診療年月が契約開始以降の対象処方を登録する。</v>
      </c>
    </row>
    <row r="44" spans="2:23" ht="18.75" customHeight="1">
      <c r="C44" s="102" t="s">
        <v>3830</v>
      </c>
      <c r="D44" s="103"/>
      <c r="E44" s="106" t="s">
        <v>3831</v>
      </c>
      <c r="F44" s="36"/>
      <c r="G44" s="36"/>
      <c r="H44" s="36"/>
      <c r="I44" s="36"/>
      <c r="J44" s="36"/>
      <c r="K44" s="36"/>
      <c r="L44" s="36"/>
      <c r="M44" s="36"/>
      <c r="N44" s="36"/>
      <c r="O44" s="36"/>
      <c r="P44" s="36"/>
      <c r="Q44" s="36"/>
      <c r="R44" s="102" t="s">
        <v>3828</v>
      </c>
      <c r="S44" s="103"/>
      <c r="T44" s="106" t="str">
        <f>エンティティ一覧!$O$2</f>
        <v>milscm_2023_009</v>
      </c>
    </row>
    <row r="45" spans="2:23" ht="18.75" customHeight="1">
      <c r="C45" s="104"/>
      <c r="D45" s="105"/>
      <c r="E45" s="107"/>
      <c r="F45" s="37"/>
      <c r="G45" s="37"/>
      <c r="H45" s="37"/>
      <c r="I45" s="37"/>
      <c r="J45" s="37"/>
      <c r="K45" s="37"/>
      <c r="L45" s="37"/>
      <c r="M45" s="37"/>
      <c r="N45" s="37"/>
      <c r="O45" s="37"/>
      <c r="P45" s="37"/>
      <c r="Q45" s="37"/>
      <c r="R45" s="104"/>
      <c r="S45" s="105"/>
      <c r="T45" s="107"/>
    </row>
    <row r="46" spans="2:23" ht="18.75" customHeight="1">
      <c r="C46" s="35" t="s">
        <v>3829</v>
      </c>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3692</v>
      </c>
      <c r="D52" s="91"/>
      <c r="W52" s="35" t="str">
        <f>"-- "&amp;B52&amp;" : "&amp;C52</f>
        <v>-- SQL_ID : 11_05</v>
      </c>
    </row>
    <row r="53" spans="2:23" ht="18.75" customHeight="1">
      <c r="B53" s="43" t="s">
        <v>158</v>
      </c>
      <c r="C53" s="108" t="str">
        <f>R56&amp;"登録"</f>
        <v>組入れ_対象検体検査登録</v>
      </c>
      <c r="D53" s="109"/>
      <c r="E53" s="109"/>
      <c r="F53" s="109"/>
      <c r="G53" s="109"/>
      <c r="H53" s="109"/>
      <c r="I53" s="109"/>
      <c r="J53" s="109"/>
      <c r="K53" s="109"/>
      <c r="L53" s="109"/>
      <c r="M53" s="109"/>
      <c r="N53" s="109"/>
      <c r="O53" s="109"/>
      <c r="P53" s="109"/>
      <c r="Q53" s="109"/>
      <c r="R53" s="109"/>
      <c r="S53" s="109"/>
      <c r="T53" s="109"/>
      <c r="U53" s="110"/>
      <c r="W53" s="35" t="str">
        <f>"-- "&amp;C53</f>
        <v>-- 組入れ_対象検体検査登録</v>
      </c>
    </row>
    <row r="54" spans="2:23" ht="18.75" customHeight="1">
      <c r="B54" s="43" t="s">
        <v>159</v>
      </c>
      <c r="C54" s="111" t="str">
        <f>"検査データのテーブルから組入れ条件で絞り込んだ結果を"&amp;R56&amp;"テーブルに格納する。"</f>
        <v>検査データのテーブルから組入れ条件で絞り込んだ結果を組入れ_対象検体検査テーブルに格納する。</v>
      </c>
      <c r="D54" s="112"/>
      <c r="E54" s="112"/>
      <c r="F54" s="112"/>
      <c r="G54" s="112"/>
      <c r="H54" s="112"/>
      <c r="I54" s="112"/>
      <c r="J54" s="112"/>
      <c r="K54" s="112"/>
      <c r="L54" s="112"/>
      <c r="M54" s="112"/>
      <c r="N54" s="112"/>
      <c r="O54" s="112"/>
      <c r="P54" s="112"/>
      <c r="Q54" s="112"/>
      <c r="R54" s="112"/>
      <c r="S54" s="112"/>
      <c r="T54" s="112"/>
      <c r="U54" s="113"/>
      <c r="W54" s="35" t="str">
        <f>"-- "&amp;C54</f>
        <v>-- 検査データのテーブルから組入れ条件で絞り込んだ結果を組入れ_対象検体検査テーブルに格納する。</v>
      </c>
    </row>
    <row r="56" spans="2:23" ht="18.75" customHeight="1">
      <c r="C56" s="102" t="s">
        <v>3834</v>
      </c>
      <c r="D56" s="103"/>
      <c r="E56" s="106" t="str">
        <f>エンティティ一覧!$O$2</f>
        <v>milscm_2023_009</v>
      </c>
      <c r="H56" s="36"/>
      <c r="I56" s="36"/>
      <c r="J56" s="36"/>
      <c r="M56" s="36"/>
      <c r="R56" s="102" t="s">
        <v>3833</v>
      </c>
      <c r="S56" s="103"/>
      <c r="T56" s="106" t="str">
        <f>エンティティ一覧!$O$2</f>
        <v>milscm_2023_009</v>
      </c>
    </row>
    <row r="57" spans="2:23" ht="18.75" customHeight="1">
      <c r="C57" s="104"/>
      <c r="D57" s="105"/>
      <c r="E57" s="107"/>
      <c r="F57" s="37"/>
      <c r="G57" s="38"/>
      <c r="H57" s="37"/>
      <c r="I57" s="37"/>
      <c r="J57" s="37"/>
      <c r="K57" s="37"/>
      <c r="L57" s="38"/>
      <c r="M57" s="37"/>
      <c r="N57" s="37"/>
      <c r="O57" s="38"/>
      <c r="P57" s="37"/>
      <c r="Q57" s="38"/>
      <c r="R57" s="104"/>
      <c r="S57" s="105"/>
      <c r="T57" s="107"/>
    </row>
    <row r="58" spans="2:23" ht="18.75" customHeight="1">
      <c r="F58" s="39"/>
      <c r="G58" s="40"/>
      <c r="K58" s="39"/>
      <c r="L58" s="40"/>
      <c r="N58" s="39"/>
      <c r="O58" s="40"/>
      <c r="P58" s="39"/>
      <c r="Q58" s="40"/>
    </row>
    <row r="59" spans="2:23" ht="18.75" customHeight="1">
      <c r="C59" s="102" t="s">
        <v>3687</v>
      </c>
      <c r="D59" s="103"/>
      <c r="E59" s="106" t="str">
        <f>エンティティ一覧!$O$2</f>
        <v>milscm_2023_009</v>
      </c>
      <c r="G59" s="41"/>
      <c r="K59" s="39"/>
      <c r="L59" s="40"/>
      <c r="N59" s="39"/>
      <c r="O59" s="40"/>
      <c r="P59" s="39"/>
      <c r="Q59" s="40"/>
    </row>
    <row r="60" spans="2:23" ht="18.75" customHeight="1">
      <c r="C60" s="104"/>
      <c r="D60" s="105"/>
      <c r="E60" s="107"/>
      <c r="F60" s="37"/>
      <c r="K60" s="39"/>
      <c r="L60" s="40"/>
      <c r="N60" s="39"/>
      <c r="O60" s="40"/>
      <c r="P60" s="39"/>
      <c r="Q60" s="40"/>
    </row>
    <row r="61" spans="2:23" ht="18.75" customHeight="1">
      <c r="K61" s="39"/>
      <c r="L61" s="40"/>
      <c r="N61" s="39"/>
      <c r="O61" s="40"/>
      <c r="P61" s="39"/>
      <c r="Q61" s="40"/>
    </row>
    <row r="62" spans="2:23" ht="18.75" customHeight="1">
      <c r="H62" s="102" t="s">
        <v>3835</v>
      </c>
      <c r="I62" s="103"/>
      <c r="J62" s="106" t="str">
        <f>エンティティ一覧!$O$2</f>
        <v>milscm_2023_009</v>
      </c>
      <c r="L62" s="41"/>
      <c r="N62" s="39"/>
      <c r="O62" s="40"/>
      <c r="P62" s="39"/>
      <c r="Q62" s="40"/>
    </row>
    <row r="63" spans="2:23" ht="18.75" customHeight="1">
      <c r="H63" s="104"/>
      <c r="I63" s="105"/>
      <c r="J63" s="107"/>
      <c r="K63" s="98"/>
      <c r="N63" s="39"/>
      <c r="O63" s="40"/>
      <c r="P63" s="39"/>
      <c r="Q63" s="40"/>
    </row>
    <row r="64" spans="2:23" ht="18.75" customHeight="1">
      <c r="K64" s="39"/>
      <c r="L64" s="40"/>
      <c r="N64" s="39"/>
      <c r="O64" s="40"/>
      <c r="P64" s="39"/>
      <c r="Q64" s="40"/>
    </row>
    <row r="65" spans="1:23" ht="18.75" customHeight="1">
      <c r="H65" s="102" t="s">
        <v>3828</v>
      </c>
      <c r="I65" s="103"/>
      <c r="J65" s="106" t="str">
        <f>エンティティ一覧!$O$2</f>
        <v>milscm_2023_009</v>
      </c>
      <c r="L65" s="41"/>
      <c r="N65" s="39"/>
      <c r="O65" s="40"/>
      <c r="P65" s="39"/>
      <c r="Q65" s="40"/>
    </row>
    <row r="66" spans="1:23" ht="18.75" customHeight="1">
      <c r="H66" s="104"/>
      <c r="I66" s="105"/>
      <c r="J66" s="107"/>
      <c r="K66" s="37"/>
      <c r="N66" s="39"/>
      <c r="O66" s="40"/>
      <c r="P66" s="39"/>
      <c r="Q66" s="40"/>
    </row>
    <row r="67" spans="1:23" ht="18.75" customHeight="1">
      <c r="N67" s="39"/>
      <c r="O67" s="40"/>
      <c r="P67" s="39"/>
      <c r="Q67" s="40"/>
    </row>
    <row r="68" spans="1:23" ht="18.75" customHeight="1">
      <c r="H68" s="102" t="s">
        <v>3836</v>
      </c>
      <c r="I68" s="103"/>
      <c r="J68" s="106" t="str">
        <f>エンティティ一覧!$O$2</f>
        <v>milscm_2023_009</v>
      </c>
      <c r="M68" s="36"/>
      <c r="O68" s="41"/>
      <c r="P68" s="39"/>
      <c r="Q68" s="40"/>
    </row>
    <row r="69" spans="1:23" ht="18.75" customHeight="1">
      <c r="H69" s="104"/>
      <c r="I69" s="105"/>
      <c r="J69" s="107"/>
      <c r="K69" s="37"/>
      <c r="L69" s="38"/>
      <c r="M69" s="37"/>
      <c r="N69" s="37"/>
      <c r="P69" s="39"/>
      <c r="Q69" s="40"/>
    </row>
    <row r="70" spans="1:23" ht="18.75" customHeight="1">
      <c r="K70" s="39"/>
      <c r="L70" s="40"/>
      <c r="P70" s="39"/>
      <c r="Q70" s="40"/>
    </row>
    <row r="71" spans="1:23" ht="18.75" customHeight="1">
      <c r="H71" s="102" t="s">
        <v>3828</v>
      </c>
      <c r="I71" s="103"/>
      <c r="J71" s="106" t="str">
        <f>エンティティ一覧!$O$2</f>
        <v>milscm_2023_009</v>
      </c>
      <c r="L71" s="41"/>
      <c r="P71" s="39"/>
      <c r="Q71" s="40"/>
    </row>
    <row r="72" spans="1:23" ht="18.75" customHeight="1">
      <c r="H72" s="104"/>
      <c r="I72" s="105"/>
      <c r="J72" s="107"/>
      <c r="K72" s="37"/>
      <c r="P72" s="39"/>
      <c r="Q72" s="40"/>
    </row>
    <row r="73" spans="1:23" ht="18.75" customHeight="1">
      <c r="P73" s="39"/>
      <c r="Q73" s="40"/>
    </row>
    <row r="74" spans="1:23" ht="18.75" customHeight="1">
      <c r="M74" s="102" t="s">
        <v>3828</v>
      </c>
      <c r="N74" s="103"/>
      <c r="O74" s="106" t="str">
        <f>エンティティ一覧!$O$2</f>
        <v>milscm_2023_009</v>
      </c>
      <c r="Q74" s="41"/>
    </row>
    <row r="75" spans="1:23" ht="18.75" customHeight="1">
      <c r="M75" s="104"/>
      <c r="N75" s="105"/>
      <c r="O75" s="107"/>
      <c r="P75" s="37"/>
    </row>
    <row r="77" spans="1:23" ht="18.75" customHeight="1" thickBot="1">
      <c r="B77" s="42"/>
      <c r="C77" s="42"/>
      <c r="D77" s="42"/>
      <c r="E77" s="42"/>
      <c r="F77" s="42"/>
      <c r="G77" s="42"/>
      <c r="H77" s="42"/>
      <c r="I77" s="42"/>
      <c r="J77" s="42"/>
      <c r="K77" s="42"/>
      <c r="L77" s="42"/>
      <c r="M77" s="42"/>
      <c r="N77" s="42"/>
      <c r="O77" s="42"/>
      <c r="P77" s="42"/>
      <c r="Q77" s="42"/>
      <c r="R77" s="42"/>
      <c r="S77" s="42"/>
      <c r="T77" s="42"/>
      <c r="U77" s="42"/>
    </row>
    <row r="79" spans="1:23" ht="18.75" customHeight="1">
      <c r="A79" s="79"/>
      <c r="B79" s="43" t="s">
        <v>163</v>
      </c>
      <c r="C79" s="51" t="s">
        <v>3837</v>
      </c>
      <c r="D79" s="97"/>
      <c r="W79" s="35" t="str">
        <f>"-- "&amp;B79&amp;" : "&amp;C79</f>
        <v>-- SQL_ID : 11_06</v>
      </c>
    </row>
    <row r="80" spans="1:23" ht="18.75" customHeight="1">
      <c r="B80" s="43" t="s">
        <v>158</v>
      </c>
      <c r="C80" s="108" t="str">
        <f>R83&amp;"登録"</f>
        <v>組入れ_対象患者登録</v>
      </c>
      <c r="D80" s="109"/>
      <c r="E80" s="109"/>
      <c r="F80" s="109"/>
      <c r="G80" s="109"/>
      <c r="H80" s="109"/>
      <c r="I80" s="109"/>
      <c r="J80" s="109"/>
      <c r="K80" s="109"/>
      <c r="L80" s="109"/>
      <c r="M80" s="109"/>
      <c r="N80" s="109"/>
      <c r="O80" s="109"/>
      <c r="P80" s="109"/>
      <c r="Q80" s="109"/>
      <c r="R80" s="109"/>
      <c r="S80" s="109"/>
      <c r="T80" s="109"/>
      <c r="U80" s="110"/>
      <c r="W80" s="35" t="str">
        <f>"-- "&amp;C80</f>
        <v>-- 組入れ_対象患者登録</v>
      </c>
    </row>
    <row r="81" spans="2:23" ht="18.75" customHeight="1">
      <c r="B81" s="43" t="s">
        <v>159</v>
      </c>
      <c r="C81" s="111" t="str">
        <f>C83&amp;"テーブルから組入れ条件で絞り込んだ結果を"&amp;R83&amp;"テーブルに格納する。"</f>
        <v>組入れ_対象疾患テーブルから組入れ条件で絞り込んだ結果を組入れ_対象患者テーブルに格納する。</v>
      </c>
      <c r="D81" s="112"/>
      <c r="E81" s="112"/>
      <c r="F81" s="112"/>
      <c r="G81" s="112"/>
      <c r="H81" s="112"/>
      <c r="I81" s="112"/>
      <c r="J81" s="112"/>
      <c r="K81" s="112"/>
      <c r="L81" s="112"/>
      <c r="M81" s="112"/>
      <c r="N81" s="112"/>
      <c r="O81" s="112"/>
      <c r="P81" s="112"/>
      <c r="Q81" s="112"/>
      <c r="R81" s="112"/>
      <c r="S81" s="112"/>
      <c r="T81" s="112"/>
      <c r="U81" s="113"/>
      <c r="W81" s="35" t="str">
        <f>"-- "&amp;C81</f>
        <v>-- 組入れ_対象疾患テーブルから組入れ条件で絞り込んだ結果を組入れ_対象患者テーブルに格納する。</v>
      </c>
    </row>
    <row r="83" spans="2:23" ht="18.75" customHeight="1">
      <c r="C83" s="102" t="s">
        <v>3689</v>
      </c>
      <c r="D83" s="103"/>
      <c r="E83" s="106" t="str">
        <f>エンティティ一覧!$O$2</f>
        <v>milscm_2023_009</v>
      </c>
      <c r="H83" s="36"/>
      <c r="I83" s="36"/>
      <c r="J83" s="36"/>
      <c r="M83" s="36"/>
      <c r="N83" s="36"/>
      <c r="O83" s="36"/>
      <c r="P83" s="36"/>
      <c r="Q83" s="36"/>
      <c r="R83" s="102" t="s">
        <v>175</v>
      </c>
      <c r="S83" s="103"/>
      <c r="T83" s="106" t="str">
        <f>エンティティ一覧!$O$2</f>
        <v>milscm_2023_009</v>
      </c>
    </row>
    <row r="84" spans="2:23" ht="18.75" customHeight="1">
      <c r="C84" s="104"/>
      <c r="D84" s="105"/>
      <c r="E84" s="107"/>
      <c r="F84" s="37"/>
      <c r="G84" s="38"/>
      <c r="H84" s="37"/>
      <c r="I84" s="37"/>
      <c r="J84" s="37"/>
      <c r="K84" s="37"/>
      <c r="L84" s="38"/>
      <c r="M84" s="37"/>
      <c r="N84" s="37"/>
      <c r="O84" s="37"/>
      <c r="P84" s="37"/>
      <c r="Q84" s="37"/>
      <c r="R84" s="104"/>
      <c r="S84" s="105"/>
      <c r="T84" s="107"/>
    </row>
    <row r="85" spans="2:23" ht="18.75" customHeight="1">
      <c r="F85" s="39"/>
      <c r="G85" s="40"/>
      <c r="K85" s="39"/>
      <c r="L85" s="40"/>
    </row>
    <row r="86" spans="2:23" ht="18.75" customHeight="1">
      <c r="C86" s="102" t="s">
        <v>3201</v>
      </c>
      <c r="D86" s="103"/>
      <c r="E86" s="106" t="str">
        <f>エンティティ一覧!$O$2</f>
        <v>milscm_2023_009</v>
      </c>
      <c r="G86" s="41"/>
      <c r="K86" s="39"/>
      <c r="L86" s="40"/>
    </row>
    <row r="87" spans="2:23" ht="18.75" customHeight="1">
      <c r="C87" s="104"/>
      <c r="D87" s="105"/>
      <c r="E87" s="107"/>
      <c r="F87" s="37"/>
      <c r="K87" s="39"/>
      <c r="L87" s="40"/>
    </row>
    <row r="88" spans="2:23" ht="18.75" customHeight="1">
      <c r="K88" s="39"/>
      <c r="L88" s="40"/>
    </row>
    <row r="89" spans="2:23" ht="18.75" customHeight="1">
      <c r="C89" s="102" t="s">
        <v>3823</v>
      </c>
      <c r="D89" s="103"/>
      <c r="E89" s="106" t="str">
        <f>エンティティ一覧!$O$2</f>
        <v>milscm_2023_009</v>
      </c>
      <c r="H89" s="36"/>
      <c r="I89" s="36"/>
      <c r="J89" s="36"/>
      <c r="K89" s="36"/>
      <c r="L89" s="41"/>
    </row>
    <row r="90" spans="2:23" ht="18.75" customHeight="1">
      <c r="C90" s="104"/>
      <c r="D90" s="105"/>
      <c r="E90" s="107"/>
      <c r="F90" s="37"/>
      <c r="G90" s="38"/>
      <c r="H90" s="37"/>
      <c r="I90" s="37"/>
      <c r="J90" s="37"/>
      <c r="K90" s="99"/>
    </row>
    <row r="91" spans="2:23" ht="18.75" customHeight="1">
      <c r="F91" s="39"/>
      <c r="G91" s="40"/>
      <c r="K91" s="39"/>
      <c r="L91" s="40"/>
    </row>
    <row r="92" spans="2:23" ht="18.75" customHeight="1">
      <c r="C92" s="102" t="s">
        <v>3201</v>
      </c>
      <c r="D92" s="103"/>
      <c r="E92" s="106" t="str">
        <f>エンティティ一覧!$O$2</f>
        <v>milscm_2023_009</v>
      </c>
      <c r="G92" s="41"/>
      <c r="K92" s="39"/>
      <c r="L92" s="40"/>
    </row>
    <row r="93" spans="2:23" ht="18.75" customHeight="1">
      <c r="C93" s="104"/>
      <c r="D93" s="105"/>
      <c r="E93" s="107"/>
      <c r="F93" s="37"/>
      <c r="K93" s="39"/>
      <c r="L93" s="40"/>
    </row>
    <row r="94" spans="2:23" ht="18.75" customHeight="1">
      <c r="K94" s="39"/>
      <c r="L94" s="40"/>
    </row>
    <row r="95" spans="2:23" ht="18.75" customHeight="1">
      <c r="C95" s="102" t="s">
        <v>3833</v>
      </c>
      <c r="D95" s="103"/>
      <c r="E95" s="106" t="str">
        <f>エンティティ一覧!$O$2</f>
        <v>milscm_2023_009</v>
      </c>
      <c r="H95" s="36"/>
      <c r="I95" s="36"/>
      <c r="J95" s="36"/>
      <c r="L95" s="41"/>
    </row>
    <row r="96" spans="2:23" ht="18.75" customHeight="1">
      <c r="C96" s="104"/>
      <c r="D96" s="105"/>
      <c r="E96" s="107"/>
      <c r="F96" s="37"/>
      <c r="G96" s="38"/>
      <c r="H96" s="37"/>
      <c r="I96" s="37"/>
      <c r="J96" s="37"/>
      <c r="K96" s="37"/>
    </row>
    <row r="97" spans="2:23" ht="18.75" customHeight="1">
      <c r="F97" s="39"/>
      <c r="G97" s="40"/>
    </row>
    <row r="98" spans="2:23" ht="18.75" customHeight="1">
      <c r="C98" s="102" t="s">
        <v>3201</v>
      </c>
      <c r="D98" s="103"/>
      <c r="E98" s="106" t="str">
        <f>エンティティ一覧!$O$2</f>
        <v>milscm_2023_009</v>
      </c>
      <c r="G98" s="41"/>
    </row>
    <row r="99" spans="2:23" ht="18.75" customHeight="1">
      <c r="C99" s="104"/>
      <c r="D99" s="105"/>
      <c r="E99" s="107"/>
      <c r="F99" s="37"/>
    </row>
    <row r="101" spans="2:23" ht="18.75" customHeight="1" thickBot="1">
      <c r="B101" s="42"/>
      <c r="C101" s="42"/>
      <c r="D101" s="42"/>
      <c r="E101" s="42"/>
      <c r="F101" s="42"/>
      <c r="G101" s="42"/>
      <c r="H101" s="42"/>
      <c r="I101" s="42"/>
      <c r="J101" s="42"/>
      <c r="K101" s="42"/>
      <c r="L101" s="42"/>
      <c r="M101" s="42"/>
      <c r="N101" s="42"/>
      <c r="O101" s="42"/>
      <c r="P101" s="42"/>
      <c r="Q101" s="42"/>
      <c r="R101" s="42"/>
      <c r="S101" s="42"/>
      <c r="T101" s="42"/>
      <c r="U101" s="42"/>
    </row>
    <row r="103" spans="2:23" ht="18.75" customHeight="1">
      <c r="B103" s="43" t="s">
        <v>163</v>
      </c>
      <c r="C103" s="51" t="s">
        <v>3838</v>
      </c>
      <c r="D103" s="52"/>
      <c r="W103" s="35" t="str">
        <f>"-- "&amp;B103&amp;" : "&amp;C103</f>
        <v>-- SQL_ID : 11_07</v>
      </c>
    </row>
    <row r="104" spans="2:23" ht="18.75" customHeight="1">
      <c r="B104" s="43" t="s">
        <v>158</v>
      </c>
      <c r="C104" s="108" t="s">
        <v>922</v>
      </c>
      <c r="D104" s="109"/>
      <c r="E104" s="109"/>
      <c r="F104" s="109"/>
      <c r="G104" s="109"/>
      <c r="H104" s="109"/>
      <c r="I104" s="109"/>
      <c r="J104" s="109"/>
      <c r="K104" s="109"/>
      <c r="L104" s="109"/>
      <c r="M104" s="109"/>
      <c r="N104" s="109"/>
      <c r="O104" s="109"/>
      <c r="P104" s="109"/>
      <c r="Q104" s="109"/>
      <c r="R104" s="109"/>
      <c r="S104" s="109"/>
      <c r="T104" s="109"/>
      <c r="U104" s="110"/>
      <c r="W104" s="35" t="str">
        <f>"-- "&amp;C104</f>
        <v>-- 組入れ_施設別患者数_取得</v>
      </c>
    </row>
    <row r="105" spans="2:23" ht="18.75" customHeight="1">
      <c r="B105" s="43" t="s">
        <v>159</v>
      </c>
      <c r="C105" s="111" t="s">
        <v>3839</v>
      </c>
      <c r="D105" s="112"/>
      <c r="E105" s="112"/>
      <c r="F105" s="112"/>
      <c r="G105" s="112"/>
      <c r="H105" s="112"/>
      <c r="I105" s="112"/>
      <c r="J105" s="112"/>
      <c r="K105" s="112"/>
      <c r="L105" s="112"/>
      <c r="M105" s="112"/>
      <c r="N105" s="112"/>
      <c r="O105" s="112"/>
      <c r="P105" s="112"/>
      <c r="Q105" s="112"/>
      <c r="R105" s="112"/>
      <c r="S105" s="112"/>
      <c r="T105" s="112"/>
      <c r="U105" s="113"/>
      <c r="W105" s="35" t="str">
        <f>"-- "&amp;C105</f>
        <v>-- 施設別の患者数の集計結果を取得する。　※事前調査時点の544名と比較して同程度であるか確認する。</v>
      </c>
    </row>
    <row r="107" spans="2:23" ht="18.75" customHeight="1">
      <c r="C107" s="102" t="s">
        <v>175</v>
      </c>
      <c r="D107" s="103"/>
      <c r="E107" s="106" t="s">
        <v>167</v>
      </c>
      <c r="F107" s="36"/>
      <c r="G107" s="36"/>
      <c r="H107" s="36"/>
      <c r="I107" s="36"/>
      <c r="J107" s="36"/>
      <c r="K107" s="36"/>
      <c r="L107" s="36"/>
      <c r="M107" s="36"/>
      <c r="N107" s="36"/>
      <c r="O107" s="36"/>
      <c r="P107" s="36"/>
      <c r="Q107" s="36"/>
      <c r="R107" s="102" t="s">
        <v>188</v>
      </c>
      <c r="S107" s="103"/>
      <c r="T107" s="106" t="s">
        <v>177</v>
      </c>
    </row>
    <row r="108" spans="2:23" ht="18.75" customHeight="1">
      <c r="C108" s="104"/>
      <c r="D108" s="105"/>
      <c r="E108" s="107"/>
      <c r="F108" s="37"/>
      <c r="G108" s="37"/>
      <c r="H108" s="37"/>
      <c r="I108" s="37"/>
      <c r="J108" s="37"/>
      <c r="K108" s="37"/>
      <c r="L108" s="37"/>
      <c r="M108" s="37"/>
      <c r="N108" s="37"/>
      <c r="O108" s="37"/>
      <c r="P108" s="37"/>
      <c r="Q108" s="37"/>
      <c r="R108" s="104"/>
      <c r="S108" s="105"/>
      <c r="T108" s="10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sheetData>
  <mergeCells count="70">
    <mergeCell ref="C28:U28"/>
    <mergeCell ref="C29:U29"/>
    <mergeCell ref="C31:D32"/>
    <mergeCell ref="E31:E32"/>
    <mergeCell ref="R31:S32"/>
    <mergeCell ref="T31:T32"/>
    <mergeCell ref="E19:E20"/>
    <mergeCell ref="R19:S20"/>
    <mergeCell ref="T19:T20"/>
    <mergeCell ref="H22:I23"/>
    <mergeCell ref="J22:J23"/>
    <mergeCell ref="C107:D108"/>
    <mergeCell ref="E107:E108"/>
    <mergeCell ref="R107:S108"/>
    <mergeCell ref="T107:T108"/>
    <mergeCell ref="C4:U4"/>
    <mergeCell ref="C5:U5"/>
    <mergeCell ref="C7:D8"/>
    <mergeCell ref="E7:E8"/>
    <mergeCell ref="R7:S8"/>
    <mergeCell ref="T7:T8"/>
    <mergeCell ref="C10:D11"/>
    <mergeCell ref="E10:E11"/>
    <mergeCell ref="C53:U53"/>
    <mergeCell ref="C16:U16"/>
    <mergeCell ref="C17:U17"/>
    <mergeCell ref="C19:D20"/>
    <mergeCell ref="C104:U104"/>
    <mergeCell ref="C105:U105"/>
    <mergeCell ref="H68:I69"/>
    <mergeCell ref="J68:J69"/>
    <mergeCell ref="C54:U54"/>
    <mergeCell ref="C56:D57"/>
    <mergeCell ref="E56:E57"/>
    <mergeCell ref="R56:S57"/>
    <mergeCell ref="T56:T57"/>
    <mergeCell ref="H71:I72"/>
    <mergeCell ref="J71:J72"/>
    <mergeCell ref="H65:I66"/>
    <mergeCell ref="J65:J66"/>
    <mergeCell ref="M74:N75"/>
    <mergeCell ref="M34:N35"/>
    <mergeCell ref="O34:O35"/>
    <mergeCell ref="H62:I63"/>
    <mergeCell ref="J62:J63"/>
    <mergeCell ref="C41:U41"/>
    <mergeCell ref="C42:U42"/>
    <mergeCell ref="C44:D45"/>
    <mergeCell ref="E44:E45"/>
    <mergeCell ref="R44:S45"/>
    <mergeCell ref="T44:T45"/>
    <mergeCell ref="O74:O75"/>
    <mergeCell ref="C80:U80"/>
    <mergeCell ref="C81:U81"/>
    <mergeCell ref="C83:D84"/>
    <mergeCell ref="E83:E84"/>
    <mergeCell ref="R83:S84"/>
    <mergeCell ref="T83:T84"/>
    <mergeCell ref="C98:D99"/>
    <mergeCell ref="E98:E99"/>
    <mergeCell ref="C59:D60"/>
    <mergeCell ref="E59:E60"/>
    <mergeCell ref="C92:D93"/>
    <mergeCell ref="E92:E93"/>
    <mergeCell ref="C95:D96"/>
    <mergeCell ref="E95:E96"/>
    <mergeCell ref="C86:D87"/>
    <mergeCell ref="E86:E87"/>
    <mergeCell ref="C89:D90"/>
    <mergeCell ref="E89:E90"/>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51"/>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08" t="str">
        <f>R7&amp;"登録"</f>
        <v>患者ID一覧マスタ登録</v>
      </c>
      <c r="D4" s="109"/>
      <c r="E4" s="109"/>
      <c r="F4" s="109"/>
      <c r="G4" s="109"/>
      <c r="H4" s="109"/>
      <c r="I4" s="109"/>
      <c r="J4" s="109"/>
      <c r="K4" s="109"/>
      <c r="L4" s="109"/>
      <c r="M4" s="109"/>
      <c r="N4" s="109"/>
      <c r="O4" s="109"/>
      <c r="P4" s="109"/>
      <c r="Q4" s="109"/>
      <c r="R4" s="109"/>
      <c r="S4" s="109"/>
      <c r="T4" s="109"/>
      <c r="U4" s="110"/>
      <c r="W4" s="35" t="str">
        <f>"-- "&amp;C4</f>
        <v>-- 患者ID一覧マスタ登録</v>
      </c>
    </row>
    <row r="5" spans="2:23" ht="18.75" customHeight="1">
      <c r="B5" s="43" t="s">
        <v>159</v>
      </c>
      <c r="C5" s="111" t="str">
        <f>C10&amp;"テーブルから"&amp;C13&amp;"テーブルに存在する患者IDで絞り込んだ結果を"&amp;R7&amp;"テーブルに格納する。"</f>
        <v>二次利用DB登録患者紐付けデータテーブルから組入れ_対象患者テーブルに存在する患者IDで絞り込んだ結果を患者ID一覧マスタテーブルに格納する。</v>
      </c>
      <c r="D5" s="112"/>
      <c r="E5" s="112"/>
      <c r="F5" s="112"/>
      <c r="G5" s="112"/>
      <c r="H5" s="112"/>
      <c r="I5" s="112"/>
      <c r="J5" s="112"/>
      <c r="K5" s="112"/>
      <c r="L5" s="112"/>
      <c r="M5" s="112"/>
      <c r="N5" s="112"/>
      <c r="O5" s="112"/>
      <c r="P5" s="112"/>
      <c r="Q5" s="112"/>
      <c r="R5" s="112"/>
      <c r="S5" s="112"/>
      <c r="T5" s="112"/>
      <c r="U5" s="113"/>
      <c r="W5" s="35" t="str">
        <f>"-- "&amp;C5</f>
        <v>-- 二次利用DB登録患者紐付けデータテーブルから組入れ_対象患者テーブルに存在する患者IDで絞り込んだ結果を患者ID一覧マスタテーブルに格納する。</v>
      </c>
    </row>
    <row r="7" spans="2:23" ht="18.75" customHeight="1">
      <c r="H7" s="102" t="s">
        <v>3200</v>
      </c>
      <c r="I7" s="103"/>
      <c r="J7" s="114" t="s">
        <v>162</v>
      </c>
      <c r="K7" s="36"/>
      <c r="M7" s="36"/>
      <c r="N7" s="36"/>
      <c r="O7" s="36"/>
      <c r="R7" s="102" t="s">
        <v>3755</v>
      </c>
      <c r="S7" s="103"/>
      <c r="T7" s="106" t="str">
        <f>エンティティ一覧!$O$2</f>
        <v>milscm_2023_009</v>
      </c>
    </row>
    <row r="8" spans="2:23" ht="18.75" customHeight="1">
      <c r="H8" s="104"/>
      <c r="I8" s="105"/>
      <c r="J8" s="115"/>
      <c r="K8" s="37"/>
      <c r="L8" s="38"/>
      <c r="M8" s="37"/>
      <c r="N8" s="37"/>
      <c r="O8" s="37"/>
      <c r="P8" s="37"/>
      <c r="Q8" s="38"/>
      <c r="R8" s="104"/>
      <c r="S8" s="105"/>
      <c r="T8" s="107"/>
    </row>
    <row r="9" spans="2:23" ht="18.75" customHeight="1">
      <c r="K9" s="39"/>
      <c r="L9" s="40"/>
      <c r="P9" s="39"/>
      <c r="Q9" s="40"/>
    </row>
    <row r="10" spans="2:23" ht="18.75" customHeight="1">
      <c r="C10" s="102" t="s">
        <v>3200</v>
      </c>
      <c r="D10" s="103"/>
      <c r="E10" s="114" t="s">
        <v>162</v>
      </c>
      <c r="H10" s="36"/>
      <c r="I10" s="36"/>
      <c r="J10" s="36"/>
      <c r="L10" s="41"/>
      <c r="P10" s="39"/>
      <c r="Q10" s="40"/>
    </row>
    <row r="11" spans="2:23" ht="18.75" customHeight="1">
      <c r="C11" s="104"/>
      <c r="D11" s="105"/>
      <c r="E11" s="115"/>
      <c r="F11" s="37"/>
      <c r="G11" s="38"/>
      <c r="H11" s="37"/>
      <c r="I11" s="37"/>
      <c r="J11" s="37"/>
      <c r="K11" s="37"/>
      <c r="P11" s="39"/>
      <c r="Q11" s="40"/>
    </row>
    <row r="12" spans="2:23" ht="18.75" customHeight="1">
      <c r="F12" s="39"/>
      <c r="G12" s="40"/>
      <c r="P12" s="39"/>
      <c r="Q12" s="40"/>
    </row>
    <row r="13" spans="2:23" ht="18.75" customHeight="1">
      <c r="C13" s="102" t="s">
        <v>175</v>
      </c>
      <c r="D13" s="103"/>
      <c r="E13" s="106" t="str">
        <f>エンティティ一覧!$O$2</f>
        <v>milscm_2023_009</v>
      </c>
      <c r="G13" s="41"/>
      <c r="P13" s="39"/>
      <c r="Q13" s="40"/>
    </row>
    <row r="14" spans="2:23" ht="18.75" customHeight="1">
      <c r="C14" s="104"/>
      <c r="D14" s="105"/>
      <c r="E14" s="107"/>
      <c r="F14" s="37"/>
      <c r="P14" s="39"/>
      <c r="Q14" s="40"/>
    </row>
    <row r="15" spans="2:23" ht="18.75" customHeight="1">
      <c r="P15" s="39"/>
      <c r="Q15" s="40"/>
    </row>
    <row r="16" spans="2:23" ht="18.75" customHeight="1">
      <c r="M16" s="102" t="s">
        <v>3685</v>
      </c>
      <c r="N16" s="103"/>
      <c r="O16" s="114" t="s">
        <v>162</v>
      </c>
      <c r="Q16" s="41"/>
    </row>
    <row r="17" spans="2:23" ht="18.75" customHeight="1">
      <c r="M17" s="104"/>
      <c r="N17" s="105"/>
      <c r="O17" s="115"/>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3"/>
      <c r="W21" s="35" t="str">
        <f>"-- "&amp;B21&amp;" : "&amp;C21</f>
        <v>-- SQL_ID : 21_02</v>
      </c>
    </row>
    <row r="22" spans="2:23" ht="18.75" customHeight="1">
      <c r="B22" s="43" t="s">
        <v>158</v>
      </c>
      <c r="C22" s="108" t="str">
        <f>R25&amp;"登録"</f>
        <v>患者マスタ登録</v>
      </c>
      <c r="D22" s="109"/>
      <c r="E22" s="109"/>
      <c r="F22" s="109"/>
      <c r="G22" s="109"/>
      <c r="H22" s="109"/>
      <c r="I22" s="109"/>
      <c r="J22" s="109"/>
      <c r="K22" s="109"/>
      <c r="L22" s="109"/>
      <c r="M22" s="109"/>
      <c r="N22" s="109"/>
      <c r="O22" s="109"/>
      <c r="P22" s="109"/>
      <c r="Q22" s="109"/>
      <c r="R22" s="109"/>
      <c r="S22" s="109"/>
      <c r="T22" s="109"/>
      <c r="U22" s="110"/>
      <c r="W22" s="35" t="str">
        <f>"-- "&amp;C22</f>
        <v>-- 患者マスタ登録</v>
      </c>
    </row>
    <row r="23" spans="2:23" ht="18.75" customHeight="1">
      <c r="B23" s="43" t="s">
        <v>159</v>
      </c>
      <c r="C23" s="131"/>
      <c r="D23" s="132"/>
      <c r="E23" s="132"/>
      <c r="F23" s="132"/>
      <c r="G23" s="132"/>
      <c r="H23" s="132"/>
      <c r="I23" s="132"/>
      <c r="J23" s="132"/>
      <c r="K23" s="132"/>
      <c r="L23" s="132"/>
      <c r="M23" s="132"/>
      <c r="N23" s="132"/>
      <c r="O23" s="132"/>
      <c r="P23" s="132"/>
      <c r="Q23" s="132"/>
      <c r="R23" s="132"/>
      <c r="S23" s="132"/>
      <c r="T23" s="132"/>
      <c r="U23" s="133"/>
      <c r="W23" s="35" t="str">
        <f>"-- "&amp;C23</f>
        <v xml:space="preserve">-- </v>
      </c>
    </row>
    <row r="25" spans="2:23" ht="18.75" customHeight="1">
      <c r="C25" s="102" t="s">
        <v>3755</v>
      </c>
      <c r="D25" s="103"/>
      <c r="E25" s="106" t="str">
        <f>エンティティ一覧!$O$2</f>
        <v>milscm_2023_009</v>
      </c>
      <c r="F25" s="36"/>
      <c r="G25" s="36"/>
      <c r="H25" s="36"/>
      <c r="I25" s="36"/>
      <c r="J25" s="36"/>
      <c r="K25" s="36"/>
      <c r="L25" s="36"/>
      <c r="M25" s="36"/>
      <c r="N25" s="36"/>
      <c r="O25" s="36"/>
      <c r="P25" s="36"/>
      <c r="Q25" s="36"/>
      <c r="R25" s="102" t="s">
        <v>187</v>
      </c>
      <c r="S25" s="103"/>
      <c r="T25" s="106" t="str">
        <f>エンティティ一覧!$O$2</f>
        <v>milscm_2023_009</v>
      </c>
    </row>
    <row r="26" spans="2:23" ht="18.75" customHeight="1">
      <c r="C26" s="104"/>
      <c r="D26" s="105"/>
      <c r="E26" s="107"/>
      <c r="F26" s="37"/>
      <c r="G26" s="37"/>
      <c r="H26" s="37"/>
      <c r="I26" s="37"/>
      <c r="J26" s="37"/>
      <c r="K26" s="37"/>
      <c r="L26" s="37"/>
      <c r="M26" s="37"/>
      <c r="N26" s="37"/>
      <c r="O26" s="37"/>
      <c r="P26" s="37"/>
      <c r="Q26" s="37"/>
      <c r="R26" s="104"/>
      <c r="S26" s="105"/>
      <c r="T26" s="107"/>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63" t="s">
        <v>920</v>
      </c>
      <c r="C30" s="51" t="s">
        <v>179</v>
      </c>
      <c r="D30" s="77"/>
    </row>
    <row r="31" spans="2:23" ht="18.75" customHeight="1">
      <c r="B31" s="63" t="s">
        <v>558</v>
      </c>
      <c r="C31" s="128" t="s">
        <v>915</v>
      </c>
      <c r="D31" s="129"/>
      <c r="E31" s="129"/>
      <c r="F31" s="129"/>
      <c r="G31" s="129"/>
      <c r="H31" s="129"/>
      <c r="I31" s="129"/>
      <c r="J31" s="129"/>
      <c r="K31" s="129"/>
      <c r="L31" s="129"/>
      <c r="M31" s="129"/>
      <c r="N31" s="129"/>
      <c r="O31" s="129"/>
      <c r="P31" s="129"/>
      <c r="Q31" s="129"/>
      <c r="R31" s="129"/>
      <c r="S31" s="129"/>
      <c r="T31" s="129"/>
      <c r="U31" s="130"/>
    </row>
    <row r="32" spans="2:23" ht="18.75" customHeight="1">
      <c r="B32" s="63" t="s">
        <v>159</v>
      </c>
      <c r="C32" s="131" t="s">
        <v>914</v>
      </c>
      <c r="D32" s="132"/>
      <c r="E32" s="132"/>
      <c r="F32" s="132"/>
      <c r="G32" s="132"/>
      <c r="H32" s="132"/>
      <c r="I32" s="132"/>
      <c r="J32" s="132"/>
      <c r="K32" s="132"/>
      <c r="L32" s="132"/>
      <c r="M32" s="132"/>
      <c r="N32" s="132"/>
      <c r="O32" s="132"/>
      <c r="P32" s="132"/>
      <c r="Q32" s="132"/>
      <c r="R32" s="132"/>
      <c r="S32" s="132"/>
      <c r="T32" s="132"/>
      <c r="U32" s="133"/>
    </row>
    <row r="34" spans="2:23" ht="18.75" customHeight="1">
      <c r="C34" s="102" t="s">
        <v>178</v>
      </c>
      <c r="D34" s="103"/>
      <c r="E34" s="106" t="s">
        <v>177</v>
      </c>
      <c r="F34" s="36"/>
      <c r="G34" s="106"/>
      <c r="H34" s="134" t="s">
        <v>916</v>
      </c>
      <c r="I34" s="135"/>
      <c r="J34" s="136"/>
      <c r="K34" s="106"/>
      <c r="L34" s="36"/>
      <c r="M34" s="36"/>
      <c r="N34" s="36"/>
      <c r="O34" s="36"/>
      <c r="P34" s="36"/>
      <c r="Q34" s="36"/>
      <c r="R34" s="102" t="s">
        <v>559</v>
      </c>
      <c r="S34" s="103"/>
      <c r="T34" s="106" t="s">
        <v>177</v>
      </c>
    </row>
    <row r="35" spans="2:23" ht="18.75" customHeight="1">
      <c r="C35" s="104"/>
      <c r="D35" s="105"/>
      <c r="E35" s="107"/>
      <c r="F35" s="37"/>
      <c r="G35" s="107"/>
      <c r="H35" s="137"/>
      <c r="I35" s="138"/>
      <c r="J35" s="139"/>
      <c r="K35" s="107"/>
      <c r="L35" s="37"/>
      <c r="M35" s="37"/>
      <c r="N35" s="37"/>
      <c r="O35" s="37"/>
      <c r="P35" s="37"/>
      <c r="Q35" s="37"/>
      <c r="R35" s="104"/>
      <c r="S35" s="105"/>
      <c r="T35" s="107"/>
    </row>
    <row r="36" spans="2:23" ht="18.75" customHeight="1">
      <c r="C36" s="35" t="s">
        <v>918</v>
      </c>
      <c r="H36" s="76" t="s">
        <v>909</v>
      </c>
      <c r="R36" s="35" t="s">
        <v>917</v>
      </c>
    </row>
    <row r="37" spans="2:23" ht="18.75" customHeight="1">
      <c r="C37" s="35" t="s">
        <v>919</v>
      </c>
      <c r="H37" s="76" t="s">
        <v>896</v>
      </c>
    </row>
    <row r="38" spans="2:23" ht="18.75" customHeight="1">
      <c r="H38" s="76" t="s">
        <v>913</v>
      </c>
    </row>
    <row r="39" spans="2:23" ht="18.75" customHeight="1">
      <c r="H39" s="76" t="s">
        <v>901</v>
      </c>
    </row>
    <row r="40" spans="2:23" ht="18.75" customHeight="1">
      <c r="H40" s="76" t="s">
        <v>902</v>
      </c>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921</v>
      </c>
      <c r="D43" s="62"/>
      <c r="W43" s="35" t="str">
        <f>"-- "&amp;B43&amp;" : "&amp;C43</f>
        <v>-- SQL_ID : 21_03</v>
      </c>
    </row>
    <row r="44" spans="2:23" ht="18.75" customHeight="1">
      <c r="B44" s="43" t="s">
        <v>158</v>
      </c>
      <c r="C44" s="108" t="str">
        <f>R47&amp;"投入"</f>
        <v>疾患マスタ投入</v>
      </c>
      <c r="D44" s="109"/>
      <c r="E44" s="109"/>
      <c r="F44" s="109"/>
      <c r="G44" s="109"/>
      <c r="H44" s="109"/>
      <c r="I44" s="109"/>
      <c r="J44" s="109"/>
      <c r="K44" s="109"/>
      <c r="L44" s="109"/>
      <c r="M44" s="109"/>
      <c r="N44" s="109"/>
      <c r="O44" s="109"/>
      <c r="P44" s="109"/>
      <c r="Q44" s="109"/>
      <c r="R44" s="109"/>
      <c r="S44" s="109"/>
      <c r="T44" s="109"/>
      <c r="U44" s="110"/>
      <c r="W44" s="35" t="str">
        <f>"-- "&amp;C44</f>
        <v>-- 疾患マスタ投入</v>
      </c>
    </row>
    <row r="45" spans="2:23" ht="18.75" customHeight="1">
      <c r="B45" s="43" t="s">
        <v>159</v>
      </c>
      <c r="C45" s="111" t="s">
        <v>560</v>
      </c>
      <c r="D45" s="112"/>
      <c r="E45" s="112"/>
      <c r="F45" s="112"/>
      <c r="G45" s="112"/>
      <c r="H45" s="112"/>
      <c r="I45" s="112"/>
      <c r="J45" s="112"/>
      <c r="K45" s="112"/>
      <c r="L45" s="112"/>
      <c r="M45" s="112"/>
      <c r="N45" s="112"/>
      <c r="O45" s="112"/>
      <c r="P45" s="112"/>
      <c r="Q45" s="112"/>
      <c r="R45" s="112"/>
      <c r="S45" s="112"/>
      <c r="T45" s="112"/>
      <c r="U45" s="113"/>
      <c r="W45" s="35" t="str">
        <f>"-- "&amp;C45</f>
        <v>-- 疾患マスタ（補正後）を疾患マスタに投入する。</v>
      </c>
    </row>
    <row r="47" spans="2:23" ht="18.75" customHeight="1">
      <c r="C47" s="102" t="s">
        <v>559</v>
      </c>
      <c r="D47" s="103"/>
      <c r="E47" s="106" t="s">
        <v>177</v>
      </c>
      <c r="F47" s="36"/>
      <c r="G47" s="36"/>
      <c r="H47" s="36"/>
      <c r="I47" s="36"/>
      <c r="J47" s="36"/>
      <c r="K47" s="36"/>
      <c r="L47" s="36"/>
      <c r="M47" s="36"/>
      <c r="N47" s="36"/>
      <c r="O47" s="36"/>
      <c r="P47" s="36"/>
      <c r="Q47" s="36"/>
      <c r="R47" s="102" t="s">
        <v>178</v>
      </c>
      <c r="S47" s="103"/>
      <c r="T47" s="106" t="s">
        <v>167</v>
      </c>
    </row>
    <row r="48" spans="2:23" ht="18.75" customHeight="1">
      <c r="C48" s="104"/>
      <c r="D48" s="105"/>
      <c r="E48" s="107"/>
      <c r="F48" s="37"/>
      <c r="G48" s="37"/>
      <c r="H48" s="37"/>
      <c r="I48" s="37"/>
      <c r="J48" s="37"/>
      <c r="K48" s="37"/>
      <c r="L48" s="37"/>
      <c r="M48" s="37"/>
      <c r="N48" s="37"/>
      <c r="O48" s="37"/>
      <c r="P48" s="37"/>
      <c r="Q48" s="37"/>
      <c r="R48" s="104"/>
      <c r="S48" s="105"/>
      <c r="T48" s="107"/>
    </row>
    <row r="51" spans="2:21" ht="18.75" customHeight="1" thickBot="1">
      <c r="B51" s="42"/>
      <c r="C51" s="42"/>
      <c r="D51" s="42"/>
      <c r="E51" s="42"/>
      <c r="F51" s="42"/>
      <c r="G51" s="42"/>
      <c r="H51" s="42"/>
      <c r="I51" s="42"/>
      <c r="J51" s="42"/>
      <c r="K51" s="42"/>
      <c r="L51" s="42"/>
      <c r="M51" s="42"/>
      <c r="N51" s="42"/>
      <c r="O51" s="42"/>
      <c r="P51" s="42"/>
      <c r="Q51" s="42"/>
      <c r="R51" s="42"/>
      <c r="S51" s="42"/>
      <c r="T51" s="42"/>
      <c r="U51" s="42"/>
    </row>
  </sheetData>
  <mergeCells count="33">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4:U44"/>
    <mergeCell ref="C45:U45"/>
    <mergeCell ref="C25:D26"/>
    <mergeCell ref="H34:J35"/>
    <mergeCell ref="C22:U22"/>
    <mergeCell ref="C23:U23"/>
    <mergeCell ref="R25:S26"/>
    <mergeCell ref="C47:D48"/>
    <mergeCell ref="E47:E48"/>
    <mergeCell ref="R47:S48"/>
    <mergeCell ref="T47:T48"/>
    <mergeCell ref="C31:U31"/>
    <mergeCell ref="C32:U32"/>
    <mergeCell ref="C34:D35"/>
    <mergeCell ref="E34:E35"/>
    <mergeCell ref="R34:S35"/>
    <mergeCell ref="T34:T35"/>
    <mergeCell ref="K34:K35"/>
    <mergeCell ref="G34:G3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361"/>
  <sheetViews>
    <sheetView showGridLines="0" topLeftCell="A2" zoomScaleNormal="100" workbookViewId="0">
      <selection activeCell="C4" sqref="C4:U4"/>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3764</v>
      </c>
      <c r="D3" s="94"/>
      <c r="W3" s="35" t="str">
        <f>"-- "&amp;B3&amp;" : "&amp;C3</f>
        <v>-- SQL_ID : 31_A1-02</v>
      </c>
    </row>
    <row r="4" spans="2:23" ht="18.75" customHeight="1">
      <c r="B4" s="43" t="s">
        <v>158</v>
      </c>
      <c r="C4" s="108" t="str">
        <f>R7&amp;"登録"</f>
        <v>ベース_処方データ登録</v>
      </c>
      <c r="D4" s="109"/>
      <c r="E4" s="109"/>
      <c r="F4" s="109"/>
      <c r="G4" s="109"/>
      <c r="H4" s="109"/>
      <c r="I4" s="109"/>
      <c r="J4" s="109"/>
      <c r="K4" s="109"/>
      <c r="L4" s="109"/>
      <c r="M4" s="109"/>
      <c r="N4" s="109"/>
      <c r="O4" s="109"/>
      <c r="P4" s="109"/>
      <c r="Q4" s="109"/>
      <c r="R4" s="109"/>
      <c r="S4" s="109"/>
      <c r="T4" s="109"/>
      <c r="U4" s="110"/>
      <c r="W4" s="35" t="str">
        <f>"-- "&amp;C4</f>
        <v>-- ベース_処方データ登録</v>
      </c>
    </row>
    <row r="5" spans="2:23" ht="18.75" customHeight="1">
      <c r="B5" s="43" t="s">
        <v>159</v>
      </c>
      <c r="C5" s="111" t="str">
        <f>C7&amp;"テーブルから対象患者で絞り込んだ結果を"&amp;R7&amp;"テーブルに格納する。"</f>
        <v>バックアップ_処方データテーブルから対象患者で絞り込んだ結果をベース_処方データテーブルに格納する。</v>
      </c>
      <c r="D5" s="112"/>
      <c r="E5" s="112"/>
      <c r="F5" s="112"/>
      <c r="G5" s="112"/>
      <c r="H5" s="112"/>
      <c r="I5" s="112"/>
      <c r="J5" s="112"/>
      <c r="K5" s="112"/>
      <c r="L5" s="112"/>
      <c r="M5" s="112"/>
      <c r="N5" s="112"/>
      <c r="O5" s="112"/>
      <c r="P5" s="112"/>
      <c r="Q5" s="112"/>
      <c r="R5" s="112"/>
      <c r="S5" s="112"/>
      <c r="T5" s="112"/>
      <c r="U5" s="113"/>
      <c r="W5" s="35" t="str">
        <f>"-- "&amp;C5</f>
        <v>-- バックアップ_処方データテーブルから対象患者で絞り込んだ結果をベース_処方データテーブルに格納する。</v>
      </c>
    </row>
    <row r="7" spans="2:23" ht="18.75" customHeight="1">
      <c r="C7" s="102" t="s">
        <v>3763</v>
      </c>
      <c r="D7" s="103"/>
      <c r="E7" s="106" t="s">
        <v>3761</v>
      </c>
      <c r="H7" s="36"/>
      <c r="I7" s="36"/>
      <c r="J7" s="36"/>
      <c r="K7" s="36"/>
      <c r="L7" s="36"/>
      <c r="M7" s="36"/>
      <c r="N7" s="36"/>
      <c r="O7" s="36"/>
      <c r="P7" s="36"/>
      <c r="Q7" s="36"/>
      <c r="R7" s="102" t="str">
        <f>"ベース"&amp;SUBSTITUTE(C7,"バックアップ","")</f>
        <v>ベース_処方データ</v>
      </c>
      <c r="S7" s="103"/>
      <c r="T7" s="106" t="s">
        <v>3761</v>
      </c>
    </row>
    <row r="8" spans="2:23" ht="18.75" customHeight="1">
      <c r="C8" s="104"/>
      <c r="D8" s="105"/>
      <c r="E8" s="107"/>
      <c r="F8" s="37"/>
      <c r="G8" s="38"/>
      <c r="H8" s="37"/>
      <c r="I8" s="37"/>
      <c r="J8" s="37"/>
      <c r="K8" s="37"/>
      <c r="L8" s="37"/>
      <c r="M8" s="37"/>
      <c r="N8" s="37"/>
      <c r="O8" s="37"/>
      <c r="P8" s="37"/>
      <c r="Q8" s="37"/>
      <c r="R8" s="104"/>
      <c r="S8" s="105"/>
      <c r="T8" s="107"/>
    </row>
    <row r="9" spans="2:23" ht="18.75" customHeight="1">
      <c r="F9" s="39"/>
      <c r="G9" s="40"/>
    </row>
    <row r="10" spans="2:23" ht="18.75" customHeight="1">
      <c r="C10" s="102" t="s">
        <v>3762</v>
      </c>
      <c r="D10" s="103"/>
      <c r="E10" s="106" t="s">
        <v>3761</v>
      </c>
      <c r="G10" s="41"/>
    </row>
    <row r="11" spans="2:23" ht="18.75" customHeight="1">
      <c r="C11" s="104"/>
      <c r="D11" s="105"/>
      <c r="E11" s="107"/>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3766</v>
      </c>
      <c r="D15" s="94"/>
      <c r="W15" s="35" t="str">
        <f>"-- "&amp;B15&amp;" : "&amp;C15</f>
        <v>-- SQL_ID : 31_A1-03</v>
      </c>
    </row>
    <row r="16" spans="2:23" ht="18.75" customHeight="1">
      <c r="B16" s="43" t="s">
        <v>158</v>
      </c>
      <c r="C16" s="108" t="str">
        <f>R19&amp;"登録"</f>
        <v>ベース_診療行為データ登録</v>
      </c>
      <c r="D16" s="109"/>
      <c r="E16" s="109"/>
      <c r="F16" s="109"/>
      <c r="G16" s="109"/>
      <c r="H16" s="109"/>
      <c r="I16" s="109"/>
      <c r="J16" s="109"/>
      <c r="K16" s="109"/>
      <c r="L16" s="109"/>
      <c r="M16" s="109"/>
      <c r="N16" s="109"/>
      <c r="O16" s="109"/>
      <c r="P16" s="109"/>
      <c r="Q16" s="109"/>
      <c r="R16" s="109"/>
      <c r="S16" s="109"/>
      <c r="T16" s="109"/>
      <c r="U16" s="110"/>
      <c r="W16" s="35" t="str">
        <f>"-- "&amp;C16</f>
        <v>-- ベース_診療行為データ登録</v>
      </c>
    </row>
    <row r="17" spans="2:23" ht="18.75" customHeight="1">
      <c r="B17" s="43" t="s">
        <v>159</v>
      </c>
      <c r="C17" s="111" t="str">
        <f>C19&amp;"テーブルから対象患者で絞り込んだ結果を"&amp;R19&amp;"テーブルに格納する。"</f>
        <v>バックアップ_診療行為データテーブルから対象患者で絞り込んだ結果をベース_診療行為データテーブルに格納する。</v>
      </c>
      <c r="D17" s="112"/>
      <c r="E17" s="112"/>
      <c r="F17" s="112"/>
      <c r="G17" s="112"/>
      <c r="H17" s="112"/>
      <c r="I17" s="112"/>
      <c r="J17" s="112"/>
      <c r="K17" s="112"/>
      <c r="L17" s="112"/>
      <c r="M17" s="112"/>
      <c r="N17" s="112"/>
      <c r="O17" s="112"/>
      <c r="P17" s="112"/>
      <c r="Q17" s="112"/>
      <c r="R17" s="112"/>
      <c r="S17" s="112"/>
      <c r="T17" s="112"/>
      <c r="U17" s="113"/>
      <c r="W17" s="35" t="str">
        <f>"-- "&amp;C17</f>
        <v>-- バックアップ_診療行為データテーブルから対象患者で絞り込んだ結果をベース_診療行為データテーブルに格納する。</v>
      </c>
    </row>
    <row r="19" spans="2:23" ht="18.75" customHeight="1">
      <c r="C19" s="102" t="s">
        <v>3765</v>
      </c>
      <c r="D19" s="103"/>
      <c r="E19" s="106" t="s">
        <v>3761</v>
      </c>
      <c r="H19" s="36"/>
      <c r="I19" s="36"/>
      <c r="J19" s="36"/>
      <c r="K19" s="36"/>
      <c r="L19" s="36"/>
      <c r="M19" s="36"/>
      <c r="N19" s="36"/>
      <c r="O19" s="36"/>
      <c r="P19" s="36"/>
      <c r="Q19" s="36"/>
      <c r="R19" s="102" t="str">
        <f>"ベース"&amp;SUBSTITUTE(C19,"バックアップ","")</f>
        <v>ベース_診療行為データ</v>
      </c>
      <c r="S19" s="103"/>
      <c r="T19" s="106" t="s">
        <v>3761</v>
      </c>
    </row>
    <row r="20" spans="2:23" ht="18.75" customHeight="1">
      <c r="C20" s="104"/>
      <c r="D20" s="105"/>
      <c r="E20" s="107"/>
      <c r="F20" s="37"/>
      <c r="G20" s="38"/>
      <c r="H20" s="37"/>
      <c r="I20" s="37"/>
      <c r="J20" s="37"/>
      <c r="K20" s="37"/>
      <c r="L20" s="37"/>
      <c r="M20" s="37"/>
      <c r="N20" s="37"/>
      <c r="O20" s="37"/>
      <c r="P20" s="37"/>
      <c r="Q20" s="37"/>
      <c r="R20" s="104"/>
      <c r="S20" s="105"/>
      <c r="T20" s="107"/>
    </row>
    <row r="21" spans="2:23" ht="18.75" customHeight="1">
      <c r="F21" s="39"/>
      <c r="G21" s="40"/>
    </row>
    <row r="22" spans="2:23" ht="18.75" customHeight="1">
      <c r="C22" s="102" t="s">
        <v>3762</v>
      </c>
      <c r="D22" s="103"/>
      <c r="E22" s="106" t="s">
        <v>3761</v>
      </c>
      <c r="G22" s="41"/>
    </row>
    <row r="23" spans="2:23" ht="18.75" customHeight="1">
      <c r="C23" s="104"/>
      <c r="D23" s="105"/>
      <c r="E23" s="107"/>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3767</v>
      </c>
      <c r="D27" s="94"/>
      <c r="W27" s="35" t="str">
        <f>"-- "&amp;B27&amp;" : "&amp;C27</f>
        <v>-- SQL_ID : 31_A1-06</v>
      </c>
    </row>
    <row r="28" spans="2:23" ht="18.75" customHeight="1">
      <c r="B28" s="43" t="s">
        <v>158</v>
      </c>
      <c r="C28" s="108" t="str">
        <f>R31&amp;"登録"</f>
        <v>ベース_入院退院データ登録</v>
      </c>
      <c r="D28" s="109"/>
      <c r="E28" s="109"/>
      <c r="F28" s="109"/>
      <c r="G28" s="109"/>
      <c r="H28" s="109"/>
      <c r="I28" s="109"/>
      <c r="J28" s="109"/>
      <c r="K28" s="109"/>
      <c r="L28" s="109"/>
      <c r="M28" s="109"/>
      <c r="N28" s="109"/>
      <c r="O28" s="109"/>
      <c r="P28" s="109"/>
      <c r="Q28" s="109"/>
      <c r="R28" s="109"/>
      <c r="S28" s="109"/>
      <c r="T28" s="109"/>
      <c r="U28" s="110"/>
      <c r="W28" s="35" t="str">
        <f>"-- "&amp;C28</f>
        <v>-- ベース_入院退院データ登録</v>
      </c>
    </row>
    <row r="29" spans="2:23" ht="18.75" customHeight="1">
      <c r="B29" s="43" t="s">
        <v>159</v>
      </c>
      <c r="C29" s="111" t="str">
        <f>C31&amp;"テーブルから対象患者で絞り込んだ結果を"&amp;R31&amp;"テーブルに格納する。"</f>
        <v>バックアップ_入院退院データテーブルから対象患者で絞り込んだ結果をベース_入院退院データテーブルに格納する。</v>
      </c>
      <c r="D29" s="112"/>
      <c r="E29" s="112"/>
      <c r="F29" s="112"/>
      <c r="G29" s="112"/>
      <c r="H29" s="112"/>
      <c r="I29" s="112"/>
      <c r="J29" s="112"/>
      <c r="K29" s="112"/>
      <c r="L29" s="112"/>
      <c r="M29" s="112"/>
      <c r="N29" s="112"/>
      <c r="O29" s="112"/>
      <c r="P29" s="112"/>
      <c r="Q29" s="112"/>
      <c r="R29" s="112"/>
      <c r="S29" s="112"/>
      <c r="T29" s="112"/>
      <c r="U29" s="113"/>
      <c r="W29" s="35" t="str">
        <f>"-- "&amp;C29</f>
        <v>-- バックアップ_入院退院データテーブルから対象患者で絞り込んだ結果をベース_入院退院データテーブルに格納する。</v>
      </c>
    </row>
    <row r="31" spans="2:23" ht="18.75" customHeight="1">
      <c r="C31" s="102" t="s">
        <v>3768</v>
      </c>
      <c r="D31" s="103"/>
      <c r="E31" s="106" t="s">
        <v>3761</v>
      </c>
      <c r="H31" s="36"/>
      <c r="I31" s="36"/>
      <c r="J31" s="36"/>
      <c r="K31" s="36"/>
      <c r="L31" s="36"/>
      <c r="M31" s="36"/>
      <c r="N31" s="36"/>
      <c r="O31" s="36"/>
      <c r="P31" s="36"/>
      <c r="Q31" s="36"/>
      <c r="R31" s="102" t="str">
        <f>"ベース"&amp;SUBSTITUTE(C31,"バックアップ","")</f>
        <v>ベース_入院退院データ</v>
      </c>
      <c r="S31" s="103"/>
      <c r="T31" s="106" t="s">
        <v>3761</v>
      </c>
    </row>
    <row r="32" spans="2:23" ht="18.75" customHeight="1">
      <c r="C32" s="104"/>
      <c r="D32" s="105"/>
      <c r="E32" s="107"/>
      <c r="F32" s="37"/>
      <c r="G32" s="38"/>
      <c r="H32" s="37"/>
      <c r="I32" s="37"/>
      <c r="J32" s="37"/>
      <c r="K32" s="37"/>
      <c r="L32" s="37"/>
      <c r="M32" s="37"/>
      <c r="N32" s="37"/>
      <c r="O32" s="37"/>
      <c r="P32" s="37"/>
      <c r="Q32" s="37"/>
      <c r="R32" s="104"/>
      <c r="S32" s="105"/>
      <c r="T32" s="107"/>
    </row>
    <row r="33" spans="2:23" ht="18.75" customHeight="1">
      <c r="F33" s="39"/>
      <c r="G33" s="40"/>
    </row>
    <row r="34" spans="2:23" ht="18.75" customHeight="1">
      <c r="C34" s="102" t="s">
        <v>3762</v>
      </c>
      <c r="D34" s="103"/>
      <c r="E34" s="106" t="s">
        <v>3761</v>
      </c>
      <c r="G34" s="41"/>
    </row>
    <row r="35" spans="2:23" ht="18.75" customHeight="1">
      <c r="C35" s="104"/>
      <c r="D35" s="105"/>
      <c r="E35" s="107"/>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3769</v>
      </c>
      <c r="D39" s="94"/>
      <c r="W39" s="35" t="str">
        <f>"-- "&amp;B39&amp;" : "&amp;C39</f>
        <v>-- SQL_ID : 31_A1-14</v>
      </c>
    </row>
    <row r="40" spans="2:23" ht="18.75" customHeight="1">
      <c r="B40" s="43" t="s">
        <v>158</v>
      </c>
      <c r="C40" s="108" t="str">
        <f>R43&amp;"登録"</f>
        <v>ベース_患者基本データ登録</v>
      </c>
      <c r="D40" s="109"/>
      <c r="E40" s="109"/>
      <c r="F40" s="109"/>
      <c r="G40" s="109"/>
      <c r="H40" s="109"/>
      <c r="I40" s="109"/>
      <c r="J40" s="109"/>
      <c r="K40" s="109"/>
      <c r="L40" s="109"/>
      <c r="M40" s="109"/>
      <c r="N40" s="109"/>
      <c r="O40" s="109"/>
      <c r="P40" s="109"/>
      <c r="Q40" s="109"/>
      <c r="R40" s="109"/>
      <c r="S40" s="109"/>
      <c r="T40" s="109"/>
      <c r="U40" s="110"/>
      <c r="W40" s="35" t="str">
        <f>"-- "&amp;C40</f>
        <v>-- ベース_患者基本データ登録</v>
      </c>
    </row>
    <row r="41" spans="2:23" ht="18.75" customHeight="1">
      <c r="B41" s="43" t="s">
        <v>159</v>
      </c>
      <c r="C41" s="111" t="str">
        <f>C43&amp;"テーブルから対象患者で絞り込んだ結果を"&amp;R43&amp;"テーブルに格納する。"</f>
        <v>バックアップ_患者基本データテーブルから対象患者で絞り込んだ結果をベース_患者基本データテーブルに格納する。</v>
      </c>
      <c r="D41" s="112"/>
      <c r="E41" s="112"/>
      <c r="F41" s="112"/>
      <c r="G41" s="112"/>
      <c r="H41" s="112"/>
      <c r="I41" s="112"/>
      <c r="J41" s="112"/>
      <c r="K41" s="112"/>
      <c r="L41" s="112"/>
      <c r="M41" s="112"/>
      <c r="N41" s="112"/>
      <c r="O41" s="112"/>
      <c r="P41" s="112"/>
      <c r="Q41" s="112"/>
      <c r="R41" s="112"/>
      <c r="S41" s="112"/>
      <c r="T41" s="112"/>
      <c r="U41" s="113"/>
      <c r="W41" s="35" t="str">
        <f>"-- "&amp;C41</f>
        <v>-- バックアップ_患者基本データテーブルから対象患者で絞り込んだ結果をベース_患者基本データテーブルに格納する。</v>
      </c>
    </row>
    <row r="43" spans="2:23" ht="18.75" customHeight="1">
      <c r="C43" s="102" t="s">
        <v>3770</v>
      </c>
      <c r="D43" s="103"/>
      <c r="E43" s="106" t="s">
        <v>3761</v>
      </c>
      <c r="H43" s="36"/>
      <c r="I43" s="36"/>
      <c r="J43" s="36"/>
      <c r="K43" s="36"/>
      <c r="L43" s="36"/>
      <c r="M43" s="36"/>
      <c r="N43" s="36"/>
      <c r="O43" s="36"/>
      <c r="P43" s="36"/>
      <c r="Q43" s="36"/>
      <c r="R43" s="102" t="str">
        <f>"ベース"&amp;SUBSTITUTE(C43,"バックアップ","")</f>
        <v>ベース_患者基本データ</v>
      </c>
      <c r="S43" s="103"/>
      <c r="T43" s="106" t="s">
        <v>3761</v>
      </c>
    </row>
    <row r="44" spans="2:23" ht="18.75" customHeight="1">
      <c r="C44" s="104"/>
      <c r="D44" s="105"/>
      <c r="E44" s="107"/>
      <c r="F44" s="37"/>
      <c r="G44" s="38"/>
      <c r="H44" s="37"/>
      <c r="I44" s="37"/>
      <c r="J44" s="37"/>
      <c r="K44" s="37"/>
      <c r="L44" s="37"/>
      <c r="M44" s="37"/>
      <c r="N44" s="37"/>
      <c r="O44" s="37"/>
      <c r="P44" s="37"/>
      <c r="Q44" s="37"/>
      <c r="R44" s="104"/>
      <c r="S44" s="105"/>
      <c r="T44" s="107"/>
    </row>
    <row r="45" spans="2:23" ht="18.75" customHeight="1">
      <c r="F45" s="39"/>
      <c r="G45" s="40"/>
    </row>
    <row r="46" spans="2:23" ht="18.75" customHeight="1">
      <c r="C46" s="102" t="s">
        <v>3762</v>
      </c>
      <c r="D46" s="103"/>
      <c r="E46" s="106" t="s">
        <v>3761</v>
      </c>
      <c r="G46" s="41"/>
    </row>
    <row r="47" spans="2:23" ht="18.75" customHeight="1">
      <c r="C47" s="104"/>
      <c r="D47" s="105"/>
      <c r="E47" s="107"/>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3772</v>
      </c>
      <c r="D51" s="94"/>
      <c r="W51" s="35" t="str">
        <f>"-- "&amp;B51&amp;" : "&amp;C51</f>
        <v>-- SQL_ID : 31_A6-02</v>
      </c>
    </row>
    <row r="52" spans="2:23" ht="18.75" customHeight="1">
      <c r="B52" s="43" t="s">
        <v>158</v>
      </c>
      <c r="C52" s="108" t="str">
        <f>R55&amp;"登録"</f>
        <v>ベース_MML共通登録</v>
      </c>
      <c r="D52" s="109"/>
      <c r="E52" s="109"/>
      <c r="F52" s="109"/>
      <c r="G52" s="109"/>
      <c r="H52" s="109"/>
      <c r="I52" s="109"/>
      <c r="J52" s="109"/>
      <c r="K52" s="109"/>
      <c r="L52" s="109"/>
      <c r="M52" s="109"/>
      <c r="N52" s="109"/>
      <c r="O52" s="109"/>
      <c r="P52" s="109"/>
      <c r="Q52" s="109"/>
      <c r="R52" s="109"/>
      <c r="S52" s="109"/>
      <c r="T52" s="109"/>
      <c r="U52" s="110"/>
      <c r="W52" s="35" t="str">
        <f>"-- "&amp;C52</f>
        <v>-- ベース_MML共通登録</v>
      </c>
    </row>
    <row r="53" spans="2:23" ht="18.75" customHeight="1">
      <c r="B53" s="43" t="s">
        <v>159</v>
      </c>
      <c r="C53" s="111" t="str">
        <f>C55&amp;"テーブルから対象患者で絞り込んだ結果を"&amp;R55&amp;"テーブルに格納する。"</f>
        <v>バックアップ_MML共通テーブルから対象患者で絞り込んだ結果をベース_MML共通テーブルに格納する。</v>
      </c>
      <c r="D53" s="112"/>
      <c r="E53" s="112"/>
      <c r="F53" s="112"/>
      <c r="G53" s="112"/>
      <c r="H53" s="112"/>
      <c r="I53" s="112"/>
      <c r="J53" s="112"/>
      <c r="K53" s="112"/>
      <c r="L53" s="112"/>
      <c r="M53" s="112"/>
      <c r="N53" s="112"/>
      <c r="O53" s="112"/>
      <c r="P53" s="112"/>
      <c r="Q53" s="112"/>
      <c r="R53" s="112"/>
      <c r="S53" s="112"/>
      <c r="T53" s="112"/>
      <c r="U53" s="113"/>
      <c r="W53" s="35" t="str">
        <f>"-- "&amp;C53</f>
        <v>-- バックアップ_MML共通テーブルから対象患者で絞り込んだ結果をベース_MML共通テーブルに格納する。</v>
      </c>
    </row>
    <row r="55" spans="2:23" ht="18.75" customHeight="1">
      <c r="C55" s="102" t="s">
        <v>3771</v>
      </c>
      <c r="D55" s="103"/>
      <c r="E55" s="106" t="s">
        <v>3761</v>
      </c>
      <c r="H55" s="36"/>
      <c r="I55" s="36"/>
      <c r="J55" s="36"/>
      <c r="K55" s="36"/>
      <c r="L55" s="36"/>
      <c r="M55" s="36"/>
      <c r="N55" s="36"/>
      <c r="O55" s="36"/>
      <c r="P55" s="36"/>
      <c r="Q55" s="36"/>
      <c r="R55" s="102" t="str">
        <f>"ベース"&amp;SUBSTITUTE(C55,"バックアップ","")</f>
        <v>ベース_MML共通</v>
      </c>
      <c r="S55" s="103"/>
      <c r="T55" s="106" t="s">
        <v>3761</v>
      </c>
    </row>
    <row r="56" spans="2:23" ht="18.75" customHeight="1">
      <c r="C56" s="104"/>
      <c r="D56" s="105"/>
      <c r="E56" s="107"/>
      <c r="F56" s="37"/>
      <c r="G56" s="38"/>
      <c r="H56" s="37"/>
      <c r="I56" s="37"/>
      <c r="J56" s="37"/>
      <c r="K56" s="37"/>
      <c r="L56" s="37"/>
      <c r="M56" s="37"/>
      <c r="N56" s="37"/>
      <c r="O56" s="37"/>
      <c r="P56" s="37"/>
      <c r="Q56" s="37"/>
      <c r="R56" s="104"/>
      <c r="S56" s="105"/>
      <c r="T56" s="107"/>
    </row>
    <row r="57" spans="2:23" ht="18.75" customHeight="1">
      <c r="F57" s="39"/>
      <c r="G57" s="40"/>
    </row>
    <row r="58" spans="2:23" ht="18.75" customHeight="1">
      <c r="C58" s="102" t="s">
        <v>3762</v>
      </c>
      <c r="D58" s="103"/>
      <c r="E58" s="106" t="s">
        <v>3761</v>
      </c>
      <c r="G58" s="41"/>
    </row>
    <row r="59" spans="2:23" ht="18.75" customHeight="1">
      <c r="C59" s="104"/>
      <c r="D59" s="105"/>
      <c r="E59" s="107"/>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3774</v>
      </c>
      <c r="D63" s="94"/>
      <c r="W63" s="35" t="str">
        <f>"-- "&amp;B63&amp;" : "&amp;C63</f>
        <v>-- SQL_ID : 31_A6-03</v>
      </c>
    </row>
    <row r="64" spans="2:23" ht="18.75" customHeight="1">
      <c r="B64" s="43" t="s">
        <v>158</v>
      </c>
      <c r="C64" s="108" t="str">
        <f>R67&amp;"登録"</f>
        <v>ベース_MML_診断履歴情報モジュール_本文登録</v>
      </c>
      <c r="D64" s="109"/>
      <c r="E64" s="109"/>
      <c r="F64" s="109"/>
      <c r="G64" s="109"/>
      <c r="H64" s="109"/>
      <c r="I64" s="109"/>
      <c r="J64" s="109"/>
      <c r="K64" s="109"/>
      <c r="L64" s="109"/>
      <c r="M64" s="109"/>
      <c r="N64" s="109"/>
      <c r="O64" s="109"/>
      <c r="P64" s="109"/>
      <c r="Q64" s="109"/>
      <c r="R64" s="109"/>
      <c r="S64" s="109"/>
      <c r="T64" s="109"/>
      <c r="U64" s="110"/>
      <c r="W64" s="35" t="str">
        <f>"-- "&amp;C64</f>
        <v>-- ベース_MML_診断履歴情報モジュール_本文登録</v>
      </c>
    </row>
    <row r="65" spans="2:23" ht="18.75" customHeight="1">
      <c r="B65" s="43" t="s">
        <v>159</v>
      </c>
      <c r="C65" s="111"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12"/>
      <c r="E65" s="112"/>
      <c r="F65" s="112"/>
      <c r="G65" s="112"/>
      <c r="H65" s="112"/>
      <c r="I65" s="112"/>
      <c r="J65" s="112"/>
      <c r="K65" s="112"/>
      <c r="L65" s="112"/>
      <c r="M65" s="112"/>
      <c r="N65" s="112"/>
      <c r="O65" s="112"/>
      <c r="P65" s="112"/>
      <c r="Q65" s="112"/>
      <c r="R65" s="112"/>
      <c r="S65" s="112"/>
      <c r="T65" s="112"/>
      <c r="U65" s="113"/>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02" t="s">
        <v>3773</v>
      </c>
      <c r="D67" s="103"/>
      <c r="E67" s="106" t="s">
        <v>3761</v>
      </c>
      <c r="H67" s="36"/>
      <c r="I67" s="36"/>
      <c r="J67" s="36"/>
      <c r="K67" s="36"/>
      <c r="L67" s="36"/>
      <c r="M67" s="36"/>
      <c r="N67" s="36"/>
      <c r="O67" s="36"/>
      <c r="P67" s="36"/>
      <c r="Q67" s="36"/>
      <c r="R67" s="102" t="str">
        <f>"ベース"&amp;SUBSTITUTE(C67,"バックアップ","")</f>
        <v>ベース_MML_診断履歴情報モジュール_本文</v>
      </c>
      <c r="S67" s="103"/>
      <c r="T67" s="106" t="s">
        <v>3761</v>
      </c>
    </row>
    <row r="68" spans="2:23" ht="18.75" customHeight="1">
      <c r="C68" s="104"/>
      <c r="D68" s="105"/>
      <c r="E68" s="107"/>
      <c r="F68" s="37"/>
      <c r="G68" s="38"/>
      <c r="H68" s="37"/>
      <c r="I68" s="37"/>
      <c r="J68" s="37"/>
      <c r="K68" s="37"/>
      <c r="L68" s="37"/>
      <c r="M68" s="37"/>
      <c r="N68" s="37"/>
      <c r="O68" s="37"/>
      <c r="P68" s="37"/>
      <c r="Q68" s="37"/>
      <c r="R68" s="104"/>
      <c r="S68" s="105"/>
      <c r="T68" s="107"/>
    </row>
    <row r="69" spans="2:23" ht="18.75" customHeight="1">
      <c r="F69" s="39"/>
      <c r="G69" s="40"/>
    </row>
    <row r="70" spans="2:23" ht="18.75" customHeight="1">
      <c r="C70" s="102" t="s">
        <v>3762</v>
      </c>
      <c r="D70" s="103"/>
      <c r="E70" s="106" t="s">
        <v>3761</v>
      </c>
      <c r="G70" s="41"/>
    </row>
    <row r="71" spans="2:23" ht="18.75" customHeight="1">
      <c r="C71" s="104"/>
      <c r="D71" s="105"/>
      <c r="E71" s="107"/>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3775</v>
      </c>
      <c r="D75" s="94"/>
      <c r="W75" s="35" t="str">
        <f>"-- "&amp;B75&amp;" : "&amp;C75</f>
        <v>-- SQL_ID : 31_A6-04</v>
      </c>
    </row>
    <row r="76" spans="2:23" ht="18.75" customHeight="1">
      <c r="B76" s="43" t="s">
        <v>158</v>
      </c>
      <c r="C76" s="108" t="str">
        <f>R79&amp;"登録"</f>
        <v>ベース_MML_診断履歴情報モジュール_病名登録</v>
      </c>
      <c r="D76" s="109"/>
      <c r="E76" s="109"/>
      <c r="F76" s="109"/>
      <c r="G76" s="109"/>
      <c r="H76" s="109"/>
      <c r="I76" s="109"/>
      <c r="J76" s="109"/>
      <c r="K76" s="109"/>
      <c r="L76" s="109"/>
      <c r="M76" s="109"/>
      <c r="N76" s="109"/>
      <c r="O76" s="109"/>
      <c r="P76" s="109"/>
      <c r="Q76" s="109"/>
      <c r="R76" s="109"/>
      <c r="S76" s="109"/>
      <c r="T76" s="109"/>
      <c r="U76" s="110"/>
      <c r="W76" s="35" t="str">
        <f>"-- "&amp;C76</f>
        <v>-- ベース_MML_診断履歴情報モジュール_病名登録</v>
      </c>
    </row>
    <row r="77" spans="2:23" ht="18.75" customHeight="1">
      <c r="B77" s="43" t="s">
        <v>159</v>
      </c>
      <c r="C77" s="111"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12"/>
      <c r="E77" s="112"/>
      <c r="F77" s="112"/>
      <c r="G77" s="112"/>
      <c r="H77" s="112"/>
      <c r="I77" s="112"/>
      <c r="J77" s="112"/>
      <c r="K77" s="112"/>
      <c r="L77" s="112"/>
      <c r="M77" s="112"/>
      <c r="N77" s="112"/>
      <c r="O77" s="112"/>
      <c r="P77" s="112"/>
      <c r="Q77" s="112"/>
      <c r="R77" s="112"/>
      <c r="S77" s="112"/>
      <c r="T77" s="112"/>
      <c r="U77" s="113"/>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02" t="s">
        <v>3776</v>
      </c>
      <c r="D79" s="103"/>
      <c r="E79" s="106" t="s">
        <v>3761</v>
      </c>
      <c r="H79" s="36"/>
      <c r="I79" s="36"/>
      <c r="J79" s="36"/>
      <c r="K79" s="36"/>
      <c r="L79" s="36"/>
      <c r="M79" s="36"/>
      <c r="N79" s="36"/>
      <c r="O79" s="36"/>
      <c r="P79" s="36"/>
      <c r="Q79" s="36"/>
      <c r="R79" s="102" t="str">
        <f>"ベース"&amp;SUBSTITUTE(C79,"バックアップ","")</f>
        <v>ベース_MML_診断履歴情報モジュール_病名</v>
      </c>
      <c r="S79" s="103"/>
      <c r="T79" s="106" t="s">
        <v>3761</v>
      </c>
    </row>
    <row r="80" spans="2:23" ht="18.75" customHeight="1">
      <c r="C80" s="104"/>
      <c r="D80" s="105"/>
      <c r="E80" s="107"/>
      <c r="F80" s="37"/>
      <c r="G80" s="38"/>
      <c r="H80" s="37"/>
      <c r="I80" s="37"/>
      <c r="J80" s="37"/>
      <c r="K80" s="37"/>
      <c r="L80" s="37"/>
      <c r="M80" s="37"/>
      <c r="N80" s="37"/>
      <c r="O80" s="37"/>
      <c r="P80" s="37"/>
      <c r="Q80" s="37"/>
      <c r="R80" s="104"/>
      <c r="S80" s="105"/>
      <c r="T80" s="107"/>
    </row>
    <row r="81" spans="2:23" ht="18.75" customHeight="1">
      <c r="F81" s="39"/>
      <c r="G81" s="40"/>
    </row>
    <row r="82" spans="2:23" ht="18.75" customHeight="1">
      <c r="C82" s="102" t="s">
        <v>3762</v>
      </c>
      <c r="D82" s="103"/>
      <c r="E82" s="106" t="s">
        <v>3761</v>
      </c>
      <c r="G82" s="41"/>
    </row>
    <row r="83" spans="2:23" ht="18.75" customHeight="1">
      <c r="C83" s="104"/>
      <c r="D83" s="105"/>
      <c r="E83" s="107"/>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3777</v>
      </c>
      <c r="D87" s="94"/>
      <c r="W87" s="35" t="str">
        <f>"-- "&amp;B87&amp;" : "&amp;C87</f>
        <v>-- SQL_ID : 31_A6-24</v>
      </c>
    </row>
    <row r="88" spans="2:23" ht="18.75" customHeight="1">
      <c r="B88" s="43" t="s">
        <v>158</v>
      </c>
      <c r="C88" s="108" t="str">
        <f>R91&amp;"登録"</f>
        <v>ベース_MML_処方箋モジュール_本文登録</v>
      </c>
      <c r="D88" s="109"/>
      <c r="E88" s="109"/>
      <c r="F88" s="109"/>
      <c r="G88" s="109"/>
      <c r="H88" s="109"/>
      <c r="I88" s="109"/>
      <c r="J88" s="109"/>
      <c r="K88" s="109"/>
      <c r="L88" s="109"/>
      <c r="M88" s="109"/>
      <c r="N88" s="109"/>
      <c r="O88" s="109"/>
      <c r="P88" s="109"/>
      <c r="Q88" s="109"/>
      <c r="R88" s="109"/>
      <c r="S88" s="109"/>
      <c r="T88" s="109"/>
      <c r="U88" s="110"/>
      <c r="W88" s="35" t="str">
        <f>"-- "&amp;C88</f>
        <v>-- ベース_MML_処方箋モジュール_本文登録</v>
      </c>
    </row>
    <row r="89" spans="2:23" ht="18.75" customHeight="1">
      <c r="B89" s="43" t="s">
        <v>159</v>
      </c>
      <c r="C89" s="111"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12"/>
      <c r="E89" s="112"/>
      <c r="F89" s="112"/>
      <c r="G89" s="112"/>
      <c r="H89" s="112"/>
      <c r="I89" s="112"/>
      <c r="J89" s="112"/>
      <c r="K89" s="112"/>
      <c r="L89" s="112"/>
      <c r="M89" s="112"/>
      <c r="N89" s="112"/>
      <c r="O89" s="112"/>
      <c r="P89" s="112"/>
      <c r="Q89" s="112"/>
      <c r="R89" s="112"/>
      <c r="S89" s="112"/>
      <c r="T89" s="112"/>
      <c r="U89" s="113"/>
      <c r="W89" s="35" t="str">
        <f>"-- "&amp;C89</f>
        <v>-- バックアップ_MML_処方箋モジュール_本文テーブルから対象患者で絞り込んだ結果をベース_MML_処方箋モジュール_本文テーブルに格納する。</v>
      </c>
    </row>
    <row r="91" spans="2:23" ht="18.75" customHeight="1">
      <c r="C91" s="102" t="s">
        <v>3778</v>
      </c>
      <c r="D91" s="103"/>
      <c r="E91" s="106" t="s">
        <v>3761</v>
      </c>
      <c r="H91" s="36"/>
      <c r="I91" s="36"/>
      <c r="J91" s="36"/>
      <c r="K91" s="36"/>
      <c r="L91" s="36"/>
      <c r="M91" s="36"/>
      <c r="N91" s="36"/>
      <c r="O91" s="36"/>
      <c r="P91" s="36"/>
      <c r="Q91" s="36"/>
      <c r="R91" s="102" t="str">
        <f>"ベース"&amp;SUBSTITUTE(C91,"バックアップ","")</f>
        <v>ベース_MML_処方箋モジュール_本文</v>
      </c>
      <c r="S91" s="103"/>
      <c r="T91" s="106" t="s">
        <v>3761</v>
      </c>
    </row>
    <row r="92" spans="2:23" ht="18.75" customHeight="1">
      <c r="C92" s="104"/>
      <c r="D92" s="105"/>
      <c r="E92" s="107"/>
      <c r="F92" s="37"/>
      <c r="G92" s="38"/>
      <c r="H92" s="37"/>
      <c r="I92" s="37"/>
      <c r="J92" s="37"/>
      <c r="K92" s="37"/>
      <c r="L92" s="37"/>
      <c r="M92" s="37"/>
      <c r="N92" s="37"/>
      <c r="O92" s="37"/>
      <c r="P92" s="37"/>
      <c r="Q92" s="37"/>
      <c r="R92" s="104"/>
      <c r="S92" s="105"/>
      <c r="T92" s="107"/>
    </row>
    <row r="93" spans="2:23" ht="18.75" customHeight="1">
      <c r="F93" s="39"/>
      <c r="G93" s="40"/>
    </row>
    <row r="94" spans="2:23" ht="18.75" customHeight="1">
      <c r="C94" s="102" t="s">
        <v>3762</v>
      </c>
      <c r="D94" s="103"/>
      <c r="E94" s="106" t="s">
        <v>3761</v>
      </c>
      <c r="G94" s="41"/>
    </row>
    <row r="95" spans="2:23" ht="18.75" customHeight="1">
      <c r="C95" s="104"/>
      <c r="D95" s="105"/>
      <c r="E95" s="107"/>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3779</v>
      </c>
      <c r="D99" s="94"/>
      <c r="W99" s="35" t="str">
        <f>"-- "&amp;B99&amp;" : "&amp;C99</f>
        <v>-- SQL_ID : 31_A6-25</v>
      </c>
    </row>
    <row r="100" spans="2:23" ht="18.75" customHeight="1">
      <c r="B100" s="43" t="s">
        <v>158</v>
      </c>
      <c r="C100" s="108" t="str">
        <f>R103&amp;"登録"</f>
        <v>ベース_MML_処方箋モジュール_投薬登録</v>
      </c>
      <c r="D100" s="109"/>
      <c r="E100" s="109"/>
      <c r="F100" s="109"/>
      <c r="G100" s="109"/>
      <c r="H100" s="109"/>
      <c r="I100" s="109"/>
      <c r="J100" s="109"/>
      <c r="K100" s="109"/>
      <c r="L100" s="109"/>
      <c r="M100" s="109"/>
      <c r="N100" s="109"/>
      <c r="O100" s="109"/>
      <c r="P100" s="109"/>
      <c r="Q100" s="109"/>
      <c r="R100" s="109"/>
      <c r="S100" s="109"/>
      <c r="T100" s="109"/>
      <c r="U100" s="110"/>
      <c r="W100" s="35" t="str">
        <f>"-- "&amp;C100</f>
        <v>-- ベース_MML_処方箋モジュール_投薬登録</v>
      </c>
    </row>
    <row r="101" spans="2:23" ht="18.75" customHeight="1">
      <c r="B101" s="43" t="s">
        <v>159</v>
      </c>
      <c r="C101" s="111"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12"/>
      <c r="E101" s="112"/>
      <c r="F101" s="112"/>
      <c r="G101" s="112"/>
      <c r="H101" s="112"/>
      <c r="I101" s="112"/>
      <c r="J101" s="112"/>
      <c r="K101" s="112"/>
      <c r="L101" s="112"/>
      <c r="M101" s="112"/>
      <c r="N101" s="112"/>
      <c r="O101" s="112"/>
      <c r="P101" s="112"/>
      <c r="Q101" s="112"/>
      <c r="R101" s="112"/>
      <c r="S101" s="112"/>
      <c r="T101" s="112"/>
      <c r="U101" s="113"/>
      <c r="W101" s="35" t="str">
        <f>"-- "&amp;C101</f>
        <v>-- バックアップ_MML_処方箋モジュール_投薬テーブルから対象患者で絞り込んだ結果をベース_MML_処方箋モジュール_投薬テーブルに格納する。</v>
      </c>
    </row>
    <row r="103" spans="2:23" ht="18.75" customHeight="1">
      <c r="C103" s="102" t="s">
        <v>3780</v>
      </c>
      <c r="D103" s="103"/>
      <c r="E103" s="106" t="s">
        <v>3761</v>
      </c>
      <c r="H103" s="36"/>
      <c r="I103" s="36"/>
      <c r="J103" s="36"/>
      <c r="K103" s="36"/>
      <c r="L103" s="36"/>
      <c r="M103" s="36"/>
      <c r="N103" s="36"/>
      <c r="O103" s="36"/>
      <c r="P103" s="36"/>
      <c r="Q103" s="36"/>
      <c r="R103" s="102" t="str">
        <f>"ベース"&amp;SUBSTITUTE(C103,"バックアップ","")</f>
        <v>ベース_MML_処方箋モジュール_投薬</v>
      </c>
      <c r="S103" s="103"/>
      <c r="T103" s="106" t="s">
        <v>3761</v>
      </c>
    </row>
    <row r="104" spans="2:23" ht="18.75" customHeight="1">
      <c r="C104" s="104"/>
      <c r="D104" s="105"/>
      <c r="E104" s="107"/>
      <c r="F104" s="37"/>
      <c r="G104" s="38"/>
      <c r="H104" s="37"/>
      <c r="I104" s="37"/>
      <c r="J104" s="37"/>
      <c r="K104" s="37"/>
      <c r="L104" s="37"/>
      <c r="M104" s="37"/>
      <c r="N104" s="37"/>
      <c r="O104" s="37"/>
      <c r="P104" s="37"/>
      <c r="Q104" s="37"/>
      <c r="R104" s="104"/>
      <c r="S104" s="105"/>
      <c r="T104" s="107"/>
    </row>
    <row r="105" spans="2:23" ht="18.75" customHeight="1">
      <c r="F105" s="39"/>
      <c r="G105" s="40"/>
    </row>
    <row r="106" spans="2:23" ht="18.75" customHeight="1">
      <c r="C106" s="102" t="s">
        <v>3762</v>
      </c>
      <c r="D106" s="103"/>
      <c r="E106" s="106" t="s">
        <v>3761</v>
      </c>
      <c r="G106" s="41"/>
    </row>
    <row r="107" spans="2:23" ht="18.75" customHeight="1">
      <c r="C107" s="104"/>
      <c r="D107" s="105"/>
      <c r="E107" s="107"/>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3781</v>
      </c>
      <c r="D111" s="94"/>
      <c r="W111" s="35" t="str">
        <f>"-- "&amp;B111&amp;" : "&amp;C111</f>
        <v>-- SQL_ID : 31_A6-26</v>
      </c>
    </row>
    <row r="112" spans="2:23" ht="18.75" customHeight="1">
      <c r="B112" s="43" t="s">
        <v>158</v>
      </c>
      <c r="C112" s="108" t="str">
        <f>R115&amp;"登録"</f>
        <v>ベース_MML_処方箋モジュール_薬剤登録</v>
      </c>
      <c r="D112" s="109"/>
      <c r="E112" s="109"/>
      <c r="F112" s="109"/>
      <c r="G112" s="109"/>
      <c r="H112" s="109"/>
      <c r="I112" s="109"/>
      <c r="J112" s="109"/>
      <c r="K112" s="109"/>
      <c r="L112" s="109"/>
      <c r="M112" s="109"/>
      <c r="N112" s="109"/>
      <c r="O112" s="109"/>
      <c r="P112" s="109"/>
      <c r="Q112" s="109"/>
      <c r="R112" s="109"/>
      <c r="S112" s="109"/>
      <c r="T112" s="109"/>
      <c r="U112" s="110"/>
      <c r="W112" s="35" t="str">
        <f>"-- "&amp;C112</f>
        <v>-- ベース_MML_処方箋モジュール_薬剤登録</v>
      </c>
    </row>
    <row r="113" spans="2:23" ht="18.75" customHeight="1">
      <c r="B113" s="43" t="s">
        <v>159</v>
      </c>
      <c r="C113" s="111"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12"/>
      <c r="E113" s="112"/>
      <c r="F113" s="112"/>
      <c r="G113" s="112"/>
      <c r="H113" s="112"/>
      <c r="I113" s="112"/>
      <c r="J113" s="112"/>
      <c r="K113" s="112"/>
      <c r="L113" s="112"/>
      <c r="M113" s="112"/>
      <c r="N113" s="112"/>
      <c r="O113" s="112"/>
      <c r="P113" s="112"/>
      <c r="Q113" s="112"/>
      <c r="R113" s="112"/>
      <c r="S113" s="112"/>
      <c r="T113" s="112"/>
      <c r="U113" s="113"/>
      <c r="W113" s="35" t="str">
        <f>"-- "&amp;C113</f>
        <v>-- バックアップ_MML_処方箋モジュール_薬剤テーブルから対象患者で絞り込んだ結果をベース_MML_処方箋モジュール_薬剤テーブルに格納する。</v>
      </c>
    </row>
    <row r="115" spans="2:23" ht="18.75" customHeight="1">
      <c r="C115" s="102" t="s">
        <v>3782</v>
      </c>
      <c r="D115" s="103"/>
      <c r="E115" s="106" t="s">
        <v>3761</v>
      </c>
      <c r="H115" s="36"/>
      <c r="I115" s="36"/>
      <c r="J115" s="36"/>
      <c r="K115" s="36"/>
      <c r="L115" s="36"/>
      <c r="M115" s="36"/>
      <c r="N115" s="36"/>
      <c r="O115" s="36"/>
      <c r="P115" s="36"/>
      <c r="Q115" s="36"/>
      <c r="R115" s="102" t="str">
        <f>"ベース"&amp;SUBSTITUTE(C115,"バックアップ","")</f>
        <v>ベース_MML_処方箋モジュール_薬剤</v>
      </c>
      <c r="S115" s="103"/>
      <c r="T115" s="106" t="s">
        <v>3761</v>
      </c>
    </row>
    <row r="116" spans="2:23" ht="18.75" customHeight="1">
      <c r="C116" s="104"/>
      <c r="D116" s="105"/>
      <c r="E116" s="107"/>
      <c r="F116" s="37"/>
      <c r="G116" s="38"/>
      <c r="H116" s="37"/>
      <c r="I116" s="37"/>
      <c r="J116" s="37"/>
      <c r="K116" s="37"/>
      <c r="L116" s="37"/>
      <c r="M116" s="37"/>
      <c r="N116" s="37"/>
      <c r="O116" s="37"/>
      <c r="P116" s="37"/>
      <c r="Q116" s="37"/>
      <c r="R116" s="104"/>
      <c r="S116" s="105"/>
      <c r="T116" s="107"/>
    </row>
    <row r="117" spans="2:23" ht="18.75" customHeight="1">
      <c r="F117" s="39"/>
      <c r="G117" s="40"/>
    </row>
    <row r="118" spans="2:23" ht="18.75" customHeight="1">
      <c r="C118" s="102" t="s">
        <v>3762</v>
      </c>
      <c r="D118" s="103"/>
      <c r="E118" s="106" t="s">
        <v>3761</v>
      </c>
      <c r="G118" s="41"/>
    </row>
    <row r="119" spans="2:23" ht="18.75" customHeight="1">
      <c r="C119" s="104"/>
      <c r="D119" s="105"/>
      <c r="E119" s="107"/>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3756</v>
      </c>
      <c r="D123" s="52"/>
      <c r="W123" s="35" t="str">
        <f>"-- "&amp;B123&amp;" : "&amp;C123</f>
        <v>-- SQL_ID : 31_C1-02</v>
      </c>
    </row>
    <row r="124" spans="2:23" ht="18.75" customHeight="1">
      <c r="B124" s="43" t="s">
        <v>158</v>
      </c>
      <c r="C124" s="108" t="str">
        <f>R127&amp;"登録"</f>
        <v>ベース_DPC調査データ_入院EF統合ファイル登録</v>
      </c>
      <c r="D124" s="109"/>
      <c r="E124" s="109"/>
      <c r="F124" s="109"/>
      <c r="G124" s="109"/>
      <c r="H124" s="109"/>
      <c r="I124" s="109"/>
      <c r="J124" s="109"/>
      <c r="K124" s="109"/>
      <c r="L124" s="109"/>
      <c r="M124" s="109"/>
      <c r="N124" s="109"/>
      <c r="O124" s="109"/>
      <c r="P124" s="109"/>
      <c r="Q124" s="109"/>
      <c r="R124" s="109"/>
      <c r="S124" s="109"/>
      <c r="T124" s="109"/>
      <c r="U124" s="110"/>
      <c r="W124" s="35" t="str">
        <f>"-- "&amp;C124</f>
        <v>-- ベース_DPC調査データ_入院EF統合ファイル登録</v>
      </c>
    </row>
    <row r="125" spans="2:23" ht="18.75" customHeight="1">
      <c r="B125" s="43" t="s">
        <v>159</v>
      </c>
      <c r="C125" s="111"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12"/>
      <c r="E125" s="112"/>
      <c r="F125" s="112"/>
      <c r="G125" s="112"/>
      <c r="H125" s="112"/>
      <c r="I125" s="112"/>
      <c r="J125" s="112"/>
      <c r="K125" s="112"/>
      <c r="L125" s="112"/>
      <c r="M125" s="112"/>
      <c r="N125" s="112"/>
      <c r="O125" s="112"/>
      <c r="P125" s="112"/>
      <c r="Q125" s="112"/>
      <c r="R125" s="112"/>
      <c r="S125" s="112"/>
      <c r="T125" s="112"/>
      <c r="U125" s="113"/>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102" t="s">
        <v>182</v>
      </c>
      <c r="D127" s="103"/>
      <c r="E127" s="106" t="s">
        <v>3761</v>
      </c>
      <c r="H127" s="36"/>
      <c r="I127" s="36"/>
      <c r="J127" s="36"/>
      <c r="K127" s="36"/>
      <c r="L127" s="36"/>
      <c r="M127" s="36"/>
      <c r="N127" s="36"/>
      <c r="O127" s="36"/>
      <c r="P127" s="36"/>
      <c r="Q127" s="36"/>
      <c r="R127" s="102" t="str">
        <f>"ベース"&amp;SUBSTITUTE(C127,"バックアップ","")</f>
        <v>ベース_DPC調査データ_入院EF統合ファイル</v>
      </c>
      <c r="S127" s="103"/>
      <c r="T127" s="106" t="s">
        <v>3761</v>
      </c>
    </row>
    <row r="128" spans="2:23" ht="18.75" customHeight="1">
      <c r="C128" s="104"/>
      <c r="D128" s="105"/>
      <c r="E128" s="107"/>
      <c r="F128" s="37"/>
      <c r="G128" s="38"/>
      <c r="H128" s="37"/>
      <c r="I128" s="37"/>
      <c r="J128" s="37"/>
      <c r="K128" s="37"/>
      <c r="L128" s="37"/>
      <c r="M128" s="37"/>
      <c r="N128" s="37"/>
      <c r="O128" s="37"/>
      <c r="P128" s="37"/>
      <c r="Q128" s="37"/>
      <c r="R128" s="104"/>
      <c r="S128" s="105"/>
      <c r="T128" s="107"/>
    </row>
    <row r="129" spans="2:23" ht="18.75" customHeight="1">
      <c r="F129" s="39"/>
      <c r="G129" s="40"/>
    </row>
    <row r="130" spans="2:23" ht="18.75" customHeight="1">
      <c r="C130" s="102" t="s">
        <v>3762</v>
      </c>
      <c r="D130" s="103"/>
      <c r="E130" s="106" t="s">
        <v>3761</v>
      </c>
      <c r="G130" s="41"/>
    </row>
    <row r="131" spans="2:23" ht="18.75" customHeight="1">
      <c r="C131" s="104"/>
      <c r="D131" s="105"/>
      <c r="E131" s="107"/>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3757</v>
      </c>
      <c r="D135" s="52"/>
      <c r="W135" s="35" t="str">
        <f>"-- "&amp;B135&amp;" : "&amp;C135</f>
        <v>-- SQL_ID : 31_C1-03</v>
      </c>
    </row>
    <row r="136" spans="2:23" ht="18.75" customHeight="1">
      <c r="B136" s="43" t="s">
        <v>158</v>
      </c>
      <c r="C136" s="108" t="str">
        <f>R139&amp;"登録"</f>
        <v>ベース_DPC調査データ_外来EF統合ファイル登録</v>
      </c>
      <c r="D136" s="109"/>
      <c r="E136" s="109"/>
      <c r="F136" s="109"/>
      <c r="G136" s="109"/>
      <c r="H136" s="109"/>
      <c r="I136" s="109"/>
      <c r="J136" s="109"/>
      <c r="K136" s="109"/>
      <c r="L136" s="109"/>
      <c r="M136" s="109"/>
      <c r="N136" s="109"/>
      <c r="O136" s="109"/>
      <c r="P136" s="109"/>
      <c r="Q136" s="109"/>
      <c r="R136" s="109"/>
      <c r="S136" s="109"/>
      <c r="T136" s="109"/>
      <c r="U136" s="110"/>
      <c r="W136" s="35" t="str">
        <f>"-- "&amp;C136</f>
        <v>-- ベース_DPC調査データ_外来EF統合ファイル登録</v>
      </c>
    </row>
    <row r="137" spans="2:23" ht="18.75" customHeight="1">
      <c r="B137" s="43" t="s">
        <v>159</v>
      </c>
      <c r="C137" s="111"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12"/>
      <c r="E137" s="112"/>
      <c r="F137" s="112"/>
      <c r="G137" s="112"/>
      <c r="H137" s="112"/>
      <c r="I137" s="112"/>
      <c r="J137" s="112"/>
      <c r="K137" s="112"/>
      <c r="L137" s="112"/>
      <c r="M137" s="112"/>
      <c r="N137" s="112"/>
      <c r="O137" s="112"/>
      <c r="P137" s="112"/>
      <c r="Q137" s="112"/>
      <c r="R137" s="112"/>
      <c r="S137" s="112"/>
      <c r="T137" s="112"/>
      <c r="U137" s="113"/>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102" t="s">
        <v>183</v>
      </c>
      <c r="D139" s="103"/>
      <c r="E139" s="106" t="s">
        <v>3761</v>
      </c>
      <c r="H139" s="36"/>
      <c r="I139" s="36"/>
      <c r="J139" s="36"/>
      <c r="K139" s="36"/>
      <c r="L139" s="36"/>
      <c r="M139" s="36"/>
      <c r="N139" s="36"/>
      <c r="O139" s="36"/>
      <c r="P139" s="36"/>
      <c r="Q139" s="36"/>
      <c r="R139" s="102" t="str">
        <f>"ベース"&amp;SUBSTITUTE(C139,"バックアップ","")</f>
        <v>ベース_DPC調査データ_外来EF統合ファイル</v>
      </c>
      <c r="S139" s="103"/>
      <c r="T139" s="106" t="s">
        <v>3761</v>
      </c>
    </row>
    <row r="140" spans="2:23" ht="18.75" customHeight="1">
      <c r="C140" s="104"/>
      <c r="D140" s="105"/>
      <c r="E140" s="107"/>
      <c r="F140" s="37"/>
      <c r="G140" s="38"/>
      <c r="H140" s="37"/>
      <c r="I140" s="37"/>
      <c r="J140" s="37"/>
      <c r="K140" s="37"/>
      <c r="L140" s="37"/>
      <c r="M140" s="37"/>
      <c r="N140" s="37"/>
      <c r="O140" s="37"/>
      <c r="P140" s="37"/>
      <c r="Q140" s="37"/>
      <c r="R140" s="104"/>
      <c r="S140" s="105"/>
      <c r="T140" s="107"/>
    </row>
    <row r="141" spans="2:23" ht="18.75" customHeight="1">
      <c r="F141" s="39"/>
      <c r="G141" s="40"/>
    </row>
    <row r="142" spans="2:23" ht="18.75" customHeight="1">
      <c r="C142" s="102" t="s">
        <v>3762</v>
      </c>
      <c r="D142" s="103"/>
      <c r="E142" s="106" t="s">
        <v>3761</v>
      </c>
      <c r="G142" s="41"/>
    </row>
    <row r="143" spans="2:23" ht="18.75" customHeight="1">
      <c r="C143" s="104"/>
      <c r="D143" s="105"/>
      <c r="E143" s="107"/>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3758</v>
      </c>
      <c r="D147" s="52"/>
      <c r="W147" s="35" t="str">
        <f>"-- "&amp;B147&amp;" : "&amp;C147</f>
        <v>-- SQL_ID : 31_C1-05</v>
      </c>
    </row>
    <row r="148" spans="2:23" ht="18.75" customHeight="1">
      <c r="B148" s="43" t="s">
        <v>158</v>
      </c>
      <c r="C148" s="108" t="str">
        <f>R151&amp;"登録"</f>
        <v>ベース_DPC調査データ_様式1登録</v>
      </c>
      <c r="D148" s="109"/>
      <c r="E148" s="109"/>
      <c r="F148" s="109"/>
      <c r="G148" s="109"/>
      <c r="H148" s="109"/>
      <c r="I148" s="109"/>
      <c r="J148" s="109"/>
      <c r="K148" s="109"/>
      <c r="L148" s="109"/>
      <c r="M148" s="109"/>
      <c r="N148" s="109"/>
      <c r="O148" s="109"/>
      <c r="P148" s="109"/>
      <c r="Q148" s="109"/>
      <c r="R148" s="109"/>
      <c r="S148" s="109"/>
      <c r="T148" s="109"/>
      <c r="U148" s="110"/>
      <c r="W148" s="35" t="str">
        <f>"-- "&amp;C148</f>
        <v>-- ベース_DPC調査データ_様式1登録</v>
      </c>
    </row>
    <row r="149" spans="2:23" ht="18.75" customHeight="1">
      <c r="B149" s="43" t="s">
        <v>159</v>
      </c>
      <c r="C149" s="111"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12"/>
      <c r="E149" s="112"/>
      <c r="F149" s="112"/>
      <c r="G149" s="112"/>
      <c r="H149" s="112"/>
      <c r="I149" s="112"/>
      <c r="J149" s="112"/>
      <c r="K149" s="112"/>
      <c r="L149" s="112"/>
      <c r="M149" s="112"/>
      <c r="N149" s="112"/>
      <c r="O149" s="112"/>
      <c r="P149" s="112"/>
      <c r="Q149" s="112"/>
      <c r="R149" s="112"/>
      <c r="S149" s="112"/>
      <c r="T149" s="112"/>
      <c r="U149" s="113"/>
      <c r="W149" s="35" t="str">
        <f>"-- "&amp;C149</f>
        <v>-- バックアップ_DPC調査データ_様式1テーブルから対象患者で絞り込んだ結果をベース_DPC調査データ_様式1テーブルに格納する。</v>
      </c>
    </row>
    <row r="151" spans="2:23" ht="18.75" customHeight="1">
      <c r="C151" s="102" t="s">
        <v>184</v>
      </c>
      <c r="D151" s="103"/>
      <c r="E151" s="106" t="s">
        <v>3761</v>
      </c>
      <c r="H151" s="36"/>
      <c r="I151" s="36"/>
      <c r="J151" s="36"/>
      <c r="K151" s="36"/>
      <c r="L151" s="36"/>
      <c r="M151" s="36"/>
      <c r="N151" s="36"/>
      <c r="O151" s="36"/>
      <c r="P151" s="36"/>
      <c r="Q151" s="36"/>
      <c r="R151" s="102" t="str">
        <f>"ベース"&amp;SUBSTITUTE(C151,"バックアップ","")</f>
        <v>ベース_DPC調査データ_様式1</v>
      </c>
      <c r="S151" s="103"/>
      <c r="T151" s="106" t="s">
        <v>3761</v>
      </c>
    </row>
    <row r="152" spans="2:23" ht="18.75" customHeight="1">
      <c r="C152" s="104"/>
      <c r="D152" s="105"/>
      <c r="E152" s="107"/>
      <c r="F152" s="37"/>
      <c r="G152" s="38"/>
      <c r="H152" s="37"/>
      <c r="I152" s="37"/>
      <c r="J152" s="37"/>
      <c r="K152" s="37"/>
      <c r="L152" s="37"/>
      <c r="M152" s="37"/>
      <c r="N152" s="37"/>
      <c r="O152" s="37"/>
      <c r="P152" s="37"/>
      <c r="Q152" s="37"/>
      <c r="R152" s="104"/>
      <c r="S152" s="105"/>
      <c r="T152" s="107"/>
    </row>
    <row r="153" spans="2:23" ht="18.75" customHeight="1">
      <c r="F153" s="39"/>
      <c r="G153" s="40"/>
    </row>
    <row r="154" spans="2:23" ht="18.75" customHeight="1">
      <c r="C154" s="102" t="s">
        <v>3762</v>
      </c>
      <c r="D154" s="103"/>
      <c r="E154" s="106" t="s">
        <v>3761</v>
      </c>
      <c r="G154" s="41"/>
    </row>
    <row r="155" spans="2:23" ht="18.75" customHeight="1">
      <c r="C155" s="104"/>
      <c r="D155" s="105"/>
      <c r="E155" s="107"/>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3759</v>
      </c>
      <c r="D159" s="52"/>
      <c r="W159" s="35" t="str">
        <f>"-- "&amp;B159&amp;" : "&amp;C159</f>
        <v>-- SQL_ID : 31_C1-07</v>
      </c>
    </row>
    <row r="160" spans="2:23" ht="18.75" customHeight="1">
      <c r="B160" s="43" t="s">
        <v>158</v>
      </c>
      <c r="C160" s="108" t="str">
        <f>R163&amp;"登録"</f>
        <v>ベース_DPC調査データ_様式1_診断情報_併存症登録</v>
      </c>
      <c r="D160" s="109"/>
      <c r="E160" s="109"/>
      <c r="F160" s="109"/>
      <c r="G160" s="109"/>
      <c r="H160" s="109"/>
      <c r="I160" s="109"/>
      <c r="J160" s="109"/>
      <c r="K160" s="109"/>
      <c r="L160" s="109"/>
      <c r="M160" s="109"/>
      <c r="N160" s="109"/>
      <c r="O160" s="109"/>
      <c r="P160" s="109"/>
      <c r="Q160" s="109"/>
      <c r="R160" s="109"/>
      <c r="S160" s="109"/>
      <c r="T160" s="109"/>
      <c r="U160" s="110"/>
      <c r="W160" s="35" t="str">
        <f>"-- "&amp;C160</f>
        <v>-- ベース_DPC調査データ_様式1_診断情報_併存症登録</v>
      </c>
    </row>
    <row r="161" spans="2:23" ht="18.75" customHeight="1">
      <c r="B161" s="43" t="s">
        <v>159</v>
      </c>
      <c r="C161" s="111"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12"/>
      <c r="E161" s="112"/>
      <c r="F161" s="112"/>
      <c r="G161" s="112"/>
      <c r="H161" s="112"/>
      <c r="I161" s="112"/>
      <c r="J161" s="112"/>
      <c r="K161" s="112"/>
      <c r="L161" s="112"/>
      <c r="M161" s="112"/>
      <c r="N161" s="112"/>
      <c r="O161" s="112"/>
      <c r="P161" s="112"/>
      <c r="Q161" s="112"/>
      <c r="R161" s="112"/>
      <c r="S161" s="112"/>
      <c r="T161" s="112"/>
      <c r="U161" s="113"/>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102" t="s">
        <v>185</v>
      </c>
      <c r="D163" s="103"/>
      <c r="E163" s="106" t="s">
        <v>3761</v>
      </c>
      <c r="H163" s="36"/>
      <c r="I163" s="36"/>
      <c r="J163" s="36"/>
      <c r="K163" s="36"/>
      <c r="L163" s="36"/>
      <c r="M163" s="36"/>
      <c r="N163" s="36"/>
      <c r="O163" s="36"/>
      <c r="P163" s="36"/>
      <c r="Q163" s="36"/>
      <c r="R163" s="102" t="str">
        <f>"ベース"&amp;SUBSTITUTE(C163,"バックアップ","")</f>
        <v>ベース_DPC調査データ_様式1_診断情報_併存症</v>
      </c>
      <c r="S163" s="103"/>
      <c r="T163" s="106" t="s">
        <v>3761</v>
      </c>
    </row>
    <row r="164" spans="2:23" ht="18.75" customHeight="1">
      <c r="C164" s="104"/>
      <c r="D164" s="105"/>
      <c r="E164" s="107"/>
      <c r="F164" s="37"/>
      <c r="G164" s="38"/>
      <c r="H164" s="37"/>
      <c r="I164" s="37"/>
      <c r="J164" s="37"/>
      <c r="K164" s="37"/>
      <c r="L164" s="37"/>
      <c r="M164" s="37"/>
      <c r="N164" s="37"/>
      <c r="O164" s="37"/>
      <c r="P164" s="37"/>
      <c r="Q164" s="37"/>
      <c r="R164" s="104"/>
      <c r="S164" s="105"/>
      <c r="T164" s="107"/>
    </row>
    <row r="165" spans="2:23" ht="18.75" customHeight="1">
      <c r="F165" s="39"/>
      <c r="G165" s="40"/>
    </row>
    <row r="166" spans="2:23" ht="18.75" customHeight="1">
      <c r="C166" s="102" t="s">
        <v>3762</v>
      </c>
      <c r="D166" s="103"/>
      <c r="E166" s="106" t="s">
        <v>3761</v>
      </c>
      <c r="G166" s="41"/>
    </row>
    <row r="167" spans="2:23" ht="18.75" customHeight="1">
      <c r="C167" s="104"/>
      <c r="D167" s="105"/>
      <c r="E167" s="107"/>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3760</v>
      </c>
      <c r="D171" s="52"/>
      <c r="W171" s="35" t="str">
        <f>"-- "&amp;B171&amp;" : "&amp;C171</f>
        <v>-- SQL_ID : 31_C1-08</v>
      </c>
    </row>
    <row r="172" spans="2:23" ht="18.75" customHeight="1">
      <c r="B172" s="43" t="s">
        <v>158</v>
      </c>
      <c r="C172" s="108" t="str">
        <f>R175&amp;"登録"</f>
        <v>ベース_DPC調査データ_様式1_診断情報_続発症登録</v>
      </c>
      <c r="D172" s="109"/>
      <c r="E172" s="109"/>
      <c r="F172" s="109"/>
      <c r="G172" s="109"/>
      <c r="H172" s="109"/>
      <c r="I172" s="109"/>
      <c r="J172" s="109"/>
      <c r="K172" s="109"/>
      <c r="L172" s="109"/>
      <c r="M172" s="109"/>
      <c r="N172" s="109"/>
      <c r="O172" s="109"/>
      <c r="P172" s="109"/>
      <c r="Q172" s="109"/>
      <c r="R172" s="109"/>
      <c r="S172" s="109"/>
      <c r="T172" s="109"/>
      <c r="U172" s="110"/>
      <c r="W172" s="35" t="str">
        <f>"-- "&amp;C172</f>
        <v>-- ベース_DPC調査データ_様式1_診断情報_続発症登録</v>
      </c>
    </row>
    <row r="173" spans="2:23" ht="18.75" customHeight="1">
      <c r="B173" s="43" t="s">
        <v>159</v>
      </c>
      <c r="C173" s="111"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12"/>
      <c r="E173" s="112"/>
      <c r="F173" s="112"/>
      <c r="G173" s="112"/>
      <c r="H173" s="112"/>
      <c r="I173" s="112"/>
      <c r="J173" s="112"/>
      <c r="K173" s="112"/>
      <c r="L173" s="112"/>
      <c r="M173" s="112"/>
      <c r="N173" s="112"/>
      <c r="O173" s="112"/>
      <c r="P173" s="112"/>
      <c r="Q173" s="112"/>
      <c r="R173" s="112"/>
      <c r="S173" s="112"/>
      <c r="T173" s="112"/>
      <c r="U173" s="113"/>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102" t="s">
        <v>186</v>
      </c>
      <c r="D175" s="103"/>
      <c r="E175" s="106" t="s">
        <v>3761</v>
      </c>
      <c r="H175" s="36"/>
      <c r="I175" s="36"/>
      <c r="J175" s="36"/>
      <c r="K175" s="36"/>
      <c r="L175" s="36"/>
      <c r="M175" s="36"/>
      <c r="N175" s="36"/>
      <c r="O175" s="36"/>
      <c r="P175" s="36"/>
      <c r="Q175" s="36"/>
      <c r="R175" s="102" t="str">
        <f>"ベース"&amp;SUBSTITUTE(C175,"バックアップ","")</f>
        <v>ベース_DPC調査データ_様式1_診断情報_続発症</v>
      </c>
      <c r="S175" s="103"/>
      <c r="T175" s="106" t="s">
        <v>3761</v>
      </c>
    </row>
    <row r="176" spans="2:23" ht="18.75" customHeight="1">
      <c r="C176" s="104"/>
      <c r="D176" s="105"/>
      <c r="E176" s="107"/>
      <c r="F176" s="37"/>
      <c r="G176" s="38"/>
      <c r="H176" s="37"/>
      <c r="I176" s="37"/>
      <c r="J176" s="37"/>
      <c r="K176" s="37"/>
      <c r="L176" s="37"/>
      <c r="M176" s="37"/>
      <c r="N176" s="37"/>
      <c r="O176" s="37"/>
      <c r="P176" s="37"/>
      <c r="Q176" s="37"/>
      <c r="R176" s="104"/>
      <c r="S176" s="105"/>
      <c r="T176" s="107"/>
    </row>
    <row r="177" spans="2:23" ht="18.75" customHeight="1">
      <c r="F177" s="39"/>
      <c r="G177" s="40"/>
    </row>
    <row r="178" spans="2:23" ht="18.75" customHeight="1">
      <c r="C178" s="102" t="s">
        <v>3762</v>
      </c>
      <c r="D178" s="103"/>
      <c r="E178" s="106" t="s">
        <v>3761</v>
      </c>
      <c r="G178" s="41"/>
    </row>
    <row r="179" spans="2:23" ht="18.75" customHeight="1">
      <c r="C179" s="104"/>
      <c r="D179" s="105"/>
      <c r="E179" s="107"/>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3784</v>
      </c>
      <c r="D183" s="94"/>
      <c r="W183" s="35" t="str">
        <f>"-- "&amp;B183&amp;" : "&amp;C183</f>
        <v>-- SQL_ID : 31_C4-03</v>
      </c>
    </row>
    <row r="184" spans="2:23" ht="18.75" customHeight="1">
      <c r="B184" s="43" t="s">
        <v>158</v>
      </c>
      <c r="C184" s="108" t="str">
        <f>R187&amp;"登録"</f>
        <v>ベース_診断履歴情報モジュール_診断履歴情報レコード登録</v>
      </c>
      <c r="D184" s="109"/>
      <c r="E184" s="109"/>
      <c r="F184" s="109"/>
      <c r="G184" s="109"/>
      <c r="H184" s="109"/>
      <c r="I184" s="109"/>
      <c r="J184" s="109"/>
      <c r="K184" s="109"/>
      <c r="L184" s="109"/>
      <c r="M184" s="109"/>
      <c r="N184" s="109"/>
      <c r="O184" s="109"/>
      <c r="P184" s="109"/>
      <c r="Q184" s="109"/>
      <c r="R184" s="109"/>
      <c r="S184" s="109"/>
      <c r="T184" s="109"/>
      <c r="U184" s="110"/>
      <c r="W184" s="35" t="str">
        <f>"-- "&amp;C184</f>
        <v>-- ベース_診断履歴情報モジュール_診断履歴情報レコード登録</v>
      </c>
    </row>
    <row r="185" spans="2:23" ht="18.75" customHeight="1">
      <c r="B185" s="43" t="s">
        <v>159</v>
      </c>
      <c r="C185" s="111"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12"/>
      <c r="E185" s="112"/>
      <c r="F185" s="112"/>
      <c r="G185" s="112"/>
      <c r="H185" s="112"/>
      <c r="I185" s="112"/>
      <c r="J185" s="112"/>
      <c r="K185" s="112"/>
      <c r="L185" s="112"/>
      <c r="M185" s="112"/>
      <c r="N185" s="112"/>
      <c r="O185" s="112"/>
      <c r="P185" s="112"/>
      <c r="Q185" s="112"/>
      <c r="R185" s="112"/>
      <c r="S185" s="112"/>
      <c r="T185" s="112"/>
      <c r="U185" s="113"/>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24" t="s">
        <v>3785</v>
      </c>
      <c r="D187" s="125"/>
      <c r="E187" s="106" t="s">
        <v>3761</v>
      </c>
      <c r="H187" s="36"/>
      <c r="I187" s="36"/>
      <c r="J187" s="36"/>
      <c r="K187" s="36"/>
      <c r="L187" s="36"/>
      <c r="M187" s="36"/>
      <c r="N187" s="36"/>
      <c r="O187" s="36"/>
      <c r="P187" s="36"/>
      <c r="Q187" s="36"/>
      <c r="R187" s="124" t="str">
        <f>"ベース"&amp;SUBSTITUTE(C187,"バックアップ","")</f>
        <v>ベース_診断履歴情報モジュール_診断履歴情報レコード</v>
      </c>
      <c r="S187" s="125"/>
      <c r="T187" s="106" t="s">
        <v>3761</v>
      </c>
    </row>
    <row r="188" spans="2:23" ht="18.75" customHeight="1">
      <c r="C188" s="126"/>
      <c r="D188" s="127"/>
      <c r="E188" s="107"/>
      <c r="F188" s="37"/>
      <c r="G188" s="38"/>
      <c r="H188" s="37"/>
      <c r="I188" s="37"/>
      <c r="J188" s="37"/>
      <c r="K188" s="37"/>
      <c r="L188" s="37"/>
      <c r="M188" s="37"/>
      <c r="N188" s="37"/>
      <c r="O188" s="37"/>
      <c r="P188" s="37"/>
      <c r="Q188" s="37"/>
      <c r="R188" s="126"/>
      <c r="S188" s="127"/>
      <c r="T188" s="107"/>
    </row>
    <row r="189" spans="2:23" ht="18.75" customHeight="1">
      <c r="F189" s="39"/>
      <c r="G189" s="40"/>
    </row>
    <row r="190" spans="2:23" ht="18.75" customHeight="1">
      <c r="C190" s="102" t="s">
        <v>3762</v>
      </c>
      <c r="D190" s="103"/>
      <c r="E190" s="106" t="s">
        <v>3761</v>
      </c>
      <c r="G190" s="41"/>
    </row>
    <row r="191" spans="2:23" ht="18.75" customHeight="1">
      <c r="C191" s="104"/>
      <c r="D191" s="105"/>
      <c r="E191" s="107"/>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3783</v>
      </c>
      <c r="D195" s="94"/>
      <c r="W195" s="35" t="str">
        <f>"-- "&amp;B195&amp;" : "&amp;C195</f>
        <v>-- SQL_ID : 31_C4-04</v>
      </c>
    </row>
    <row r="196" spans="2:23" ht="18.75" customHeight="1">
      <c r="B196" s="43" t="s">
        <v>158</v>
      </c>
      <c r="C196" s="108" t="str">
        <f>R199&amp;"登録"</f>
        <v>ベース_診断履歴情報モジュール_診断病名レコード登録</v>
      </c>
      <c r="D196" s="109"/>
      <c r="E196" s="109"/>
      <c r="F196" s="109"/>
      <c r="G196" s="109"/>
      <c r="H196" s="109"/>
      <c r="I196" s="109"/>
      <c r="J196" s="109"/>
      <c r="K196" s="109"/>
      <c r="L196" s="109"/>
      <c r="M196" s="109"/>
      <c r="N196" s="109"/>
      <c r="O196" s="109"/>
      <c r="P196" s="109"/>
      <c r="Q196" s="109"/>
      <c r="R196" s="109"/>
      <c r="S196" s="109"/>
      <c r="T196" s="109"/>
      <c r="U196" s="110"/>
      <c r="W196" s="35" t="str">
        <f>"-- "&amp;C196</f>
        <v>-- ベース_診断履歴情報モジュール_診断病名レコード登録</v>
      </c>
    </row>
    <row r="197" spans="2:23" ht="18.75" customHeight="1">
      <c r="B197" s="43" t="s">
        <v>159</v>
      </c>
      <c r="C197" s="111"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12"/>
      <c r="E197" s="112"/>
      <c r="F197" s="112"/>
      <c r="G197" s="112"/>
      <c r="H197" s="112"/>
      <c r="I197" s="112"/>
      <c r="J197" s="112"/>
      <c r="K197" s="112"/>
      <c r="L197" s="112"/>
      <c r="M197" s="112"/>
      <c r="N197" s="112"/>
      <c r="O197" s="112"/>
      <c r="P197" s="112"/>
      <c r="Q197" s="112"/>
      <c r="R197" s="112"/>
      <c r="S197" s="112"/>
      <c r="T197" s="112"/>
      <c r="U197" s="113"/>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24" t="s">
        <v>3786</v>
      </c>
      <c r="D199" s="125"/>
      <c r="E199" s="106" t="s">
        <v>3761</v>
      </c>
      <c r="H199" s="36"/>
      <c r="I199" s="36"/>
      <c r="J199" s="36"/>
      <c r="K199" s="36"/>
      <c r="L199" s="36"/>
      <c r="M199" s="36"/>
      <c r="N199" s="36"/>
      <c r="O199" s="36"/>
      <c r="P199" s="36"/>
      <c r="Q199" s="36"/>
      <c r="R199" s="124" t="str">
        <f>"ベース"&amp;SUBSTITUTE(C199,"バックアップ","")</f>
        <v>ベース_診断履歴情報モジュール_診断病名レコード</v>
      </c>
      <c r="S199" s="125"/>
      <c r="T199" s="106" t="s">
        <v>3761</v>
      </c>
    </row>
    <row r="200" spans="2:23" ht="18.75" customHeight="1">
      <c r="C200" s="126"/>
      <c r="D200" s="127"/>
      <c r="E200" s="107"/>
      <c r="F200" s="37"/>
      <c r="G200" s="38"/>
      <c r="H200" s="37"/>
      <c r="I200" s="37"/>
      <c r="J200" s="37"/>
      <c r="K200" s="37"/>
      <c r="L200" s="37"/>
      <c r="M200" s="37"/>
      <c r="N200" s="37"/>
      <c r="O200" s="37"/>
      <c r="P200" s="37"/>
      <c r="Q200" s="37"/>
      <c r="R200" s="126"/>
      <c r="S200" s="127"/>
      <c r="T200" s="107"/>
    </row>
    <row r="201" spans="2:23" ht="18.75" customHeight="1">
      <c r="F201" s="39"/>
      <c r="G201" s="40"/>
    </row>
    <row r="202" spans="2:23" ht="18.75" customHeight="1">
      <c r="C202" s="102" t="s">
        <v>3762</v>
      </c>
      <c r="D202" s="103"/>
      <c r="E202" s="106" t="s">
        <v>3761</v>
      </c>
      <c r="G202" s="41"/>
    </row>
    <row r="203" spans="2:23" ht="18.75" customHeight="1">
      <c r="C203" s="104"/>
      <c r="D203" s="105"/>
      <c r="E203" s="107"/>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3788</v>
      </c>
      <c r="D207" s="94"/>
      <c r="W207" s="35" t="str">
        <f>"-- "&amp;B207&amp;" : "&amp;C207</f>
        <v>-- SQL_ID : 31_C4-06</v>
      </c>
    </row>
    <row r="208" spans="2:23" ht="18.75" customHeight="1">
      <c r="B208" s="43" t="s">
        <v>158</v>
      </c>
      <c r="C208" s="108" t="str">
        <f>R211&amp;"登録"</f>
        <v>ベース_経過記録情報モジュール_経過記録情報レコード登録</v>
      </c>
      <c r="D208" s="109"/>
      <c r="E208" s="109"/>
      <c r="F208" s="109"/>
      <c r="G208" s="109"/>
      <c r="H208" s="109"/>
      <c r="I208" s="109"/>
      <c r="J208" s="109"/>
      <c r="K208" s="109"/>
      <c r="L208" s="109"/>
      <c r="M208" s="109"/>
      <c r="N208" s="109"/>
      <c r="O208" s="109"/>
      <c r="P208" s="109"/>
      <c r="Q208" s="109"/>
      <c r="R208" s="109"/>
      <c r="S208" s="109"/>
      <c r="T208" s="109"/>
      <c r="U208" s="110"/>
      <c r="W208" s="35" t="str">
        <f>"-- "&amp;C208</f>
        <v>-- ベース_経過記録情報モジュール_経過記録情報レコード登録</v>
      </c>
    </row>
    <row r="209" spans="2:23" ht="18.75" customHeight="1">
      <c r="B209" s="43" t="s">
        <v>159</v>
      </c>
      <c r="C209" s="111"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12"/>
      <c r="E209" s="112"/>
      <c r="F209" s="112"/>
      <c r="G209" s="112"/>
      <c r="H209" s="112"/>
      <c r="I209" s="112"/>
      <c r="J209" s="112"/>
      <c r="K209" s="112"/>
      <c r="L209" s="112"/>
      <c r="M209" s="112"/>
      <c r="N209" s="112"/>
      <c r="O209" s="112"/>
      <c r="P209" s="112"/>
      <c r="Q209" s="112"/>
      <c r="R209" s="112"/>
      <c r="S209" s="112"/>
      <c r="T209" s="112"/>
      <c r="U209" s="113"/>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24" t="s">
        <v>3787</v>
      </c>
      <c r="D211" s="125"/>
      <c r="E211" s="106" t="s">
        <v>3761</v>
      </c>
      <c r="H211" s="36"/>
      <c r="I211" s="36"/>
      <c r="J211" s="36"/>
      <c r="K211" s="36"/>
      <c r="L211" s="36"/>
      <c r="M211" s="36"/>
      <c r="N211" s="36"/>
      <c r="O211" s="36"/>
      <c r="P211" s="36"/>
      <c r="Q211" s="36"/>
      <c r="R211" s="124" t="str">
        <f>"ベース"&amp;SUBSTITUTE(C211,"バックアップ","")</f>
        <v>ベース_経過記録情報モジュール_経過記録情報レコード</v>
      </c>
      <c r="S211" s="125"/>
      <c r="T211" s="106" t="s">
        <v>3761</v>
      </c>
    </row>
    <row r="212" spans="2:23" ht="18.75" customHeight="1">
      <c r="C212" s="126"/>
      <c r="D212" s="127"/>
      <c r="E212" s="107"/>
      <c r="F212" s="37"/>
      <c r="G212" s="38"/>
      <c r="H212" s="37"/>
      <c r="I212" s="37"/>
      <c r="J212" s="37"/>
      <c r="K212" s="37"/>
      <c r="L212" s="37"/>
      <c r="M212" s="37"/>
      <c r="N212" s="37"/>
      <c r="O212" s="37"/>
      <c r="P212" s="37"/>
      <c r="Q212" s="37"/>
      <c r="R212" s="126"/>
      <c r="S212" s="127"/>
      <c r="T212" s="107"/>
    </row>
    <row r="213" spans="2:23" ht="18.75" customHeight="1">
      <c r="F213" s="39"/>
      <c r="G213" s="40"/>
    </row>
    <row r="214" spans="2:23" ht="18.75" customHeight="1">
      <c r="C214" s="102" t="s">
        <v>3762</v>
      </c>
      <c r="D214" s="103"/>
      <c r="E214" s="106" t="s">
        <v>3761</v>
      </c>
      <c r="G214" s="41"/>
    </row>
    <row r="215" spans="2:23" ht="18.75" customHeight="1">
      <c r="C215" s="104"/>
      <c r="D215" s="105"/>
      <c r="E215" s="107"/>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3789</v>
      </c>
      <c r="D219" s="94"/>
      <c r="W219" s="35" t="str">
        <f>"-- "&amp;B219&amp;" : "&amp;C219</f>
        <v>-- SQL_ID : 31_C4-07</v>
      </c>
    </row>
    <row r="220" spans="2:23" ht="18.75" customHeight="1">
      <c r="B220" s="43" t="s">
        <v>158</v>
      </c>
      <c r="C220" s="108" t="str">
        <f>R223&amp;"登録"</f>
        <v>ベース_経過記録情報モジュール_プロブレムレコード登録</v>
      </c>
      <c r="D220" s="109"/>
      <c r="E220" s="109"/>
      <c r="F220" s="109"/>
      <c r="G220" s="109"/>
      <c r="H220" s="109"/>
      <c r="I220" s="109"/>
      <c r="J220" s="109"/>
      <c r="K220" s="109"/>
      <c r="L220" s="109"/>
      <c r="M220" s="109"/>
      <c r="N220" s="109"/>
      <c r="O220" s="109"/>
      <c r="P220" s="109"/>
      <c r="Q220" s="109"/>
      <c r="R220" s="109"/>
      <c r="S220" s="109"/>
      <c r="T220" s="109"/>
      <c r="U220" s="110"/>
      <c r="W220" s="35" t="str">
        <f>"-- "&amp;C220</f>
        <v>-- ベース_経過記録情報モジュール_プロブレムレコード登録</v>
      </c>
    </row>
    <row r="221" spans="2:23" ht="18.75" customHeight="1">
      <c r="B221" s="43" t="s">
        <v>159</v>
      </c>
      <c r="C221" s="111"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12"/>
      <c r="E221" s="112"/>
      <c r="F221" s="112"/>
      <c r="G221" s="112"/>
      <c r="H221" s="112"/>
      <c r="I221" s="112"/>
      <c r="J221" s="112"/>
      <c r="K221" s="112"/>
      <c r="L221" s="112"/>
      <c r="M221" s="112"/>
      <c r="N221" s="112"/>
      <c r="O221" s="112"/>
      <c r="P221" s="112"/>
      <c r="Q221" s="112"/>
      <c r="R221" s="112"/>
      <c r="S221" s="112"/>
      <c r="T221" s="112"/>
      <c r="U221" s="113"/>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24" t="s">
        <v>3790</v>
      </c>
      <c r="D223" s="125"/>
      <c r="E223" s="106" t="s">
        <v>3761</v>
      </c>
      <c r="H223" s="36"/>
      <c r="I223" s="36"/>
      <c r="J223" s="36"/>
      <c r="K223" s="36"/>
      <c r="L223" s="36"/>
      <c r="M223" s="36"/>
      <c r="N223" s="36"/>
      <c r="O223" s="36"/>
      <c r="P223" s="36"/>
      <c r="Q223" s="36"/>
      <c r="R223" s="124" t="str">
        <f>"ベース"&amp;SUBSTITUTE(C223,"バックアップ","")</f>
        <v>ベース_経過記録情報モジュール_プロブレムレコード</v>
      </c>
      <c r="S223" s="125"/>
      <c r="T223" s="106" t="s">
        <v>3761</v>
      </c>
    </row>
    <row r="224" spans="2:23" ht="18.75" customHeight="1">
      <c r="C224" s="126"/>
      <c r="D224" s="127"/>
      <c r="E224" s="107"/>
      <c r="F224" s="37"/>
      <c r="G224" s="38"/>
      <c r="H224" s="37"/>
      <c r="I224" s="37"/>
      <c r="J224" s="37"/>
      <c r="K224" s="37"/>
      <c r="L224" s="37"/>
      <c r="M224" s="37"/>
      <c r="N224" s="37"/>
      <c r="O224" s="37"/>
      <c r="P224" s="37"/>
      <c r="Q224" s="37"/>
      <c r="R224" s="126"/>
      <c r="S224" s="127"/>
      <c r="T224" s="107"/>
    </row>
    <row r="225" spans="2:23" ht="18.75" customHeight="1">
      <c r="F225" s="39"/>
      <c r="G225" s="40"/>
    </row>
    <row r="226" spans="2:23" ht="18.75" customHeight="1">
      <c r="C226" s="102" t="s">
        <v>3762</v>
      </c>
      <c r="D226" s="103"/>
      <c r="E226" s="106" t="s">
        <v>3761</v>
      </c>
      <c r="G226" s="41"/>
    </row>
    <row r="227" spans="2:23" ht="18.75" customHeight="1">
      <c r="C227" s="104"/>
      <c r="D227" s="105"/>
      <c r="E227" s="107"/>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3791</v>
      </c>
      <c r="D231" s="94"/>
      <c r="W231" s="35" t="str">
        <f>"-- "&amp;B231&amp;" : "&amp;C231</f>
        <v>-- SQL_ID : 31_C4-08</v>
      </c>
    </row>
    <row r="232" spans="2:23" ht="18.75" customHeight="1">
      <c r="B232" s="43" t="s">
        <v>158</v>
      </c>
      <c r="C232" s="108" t="str">
        <f>R235&amp;"登録"</f>
        <v>ベース_経過記録情報モジュール_身体所見レコード登録</v>
      </c>
      <c r="D232" s="109"/>
      <c r="E232" s="109"/>
      <c r="F232" s="109"/>
      <c r="G232" s="109"/>
      <c r="H232" s="109"/>
      <c r="I232" s="109"/>
      <c r="J232" s="109"/>
      <c r="K232" s="109"/>
      <c r="L232" s="109"/>
      <c r="M232" s="109"/>
      <c r="N232" s="109"/>
      <c r="O232" s="109"/>
      <c r="P232" s="109"/>
      <c r="Q232" s="109"/>
      <c r="R232" s="109"/>
      <c r="S232" s="109"/>
      <c r="T232" s="109"/>
      <c r="U232" s="110"/>
      <c r="W232" s="35" t="str">
        <f>"-- "&amp;C232</f>
        <v>-- ベース_経過記録情報モジュール_身体所見レコード登録</v>
      </c>
    </row>
    <row r="233" spans="2:23" ht="18.75" customHeight="1">
      <c r="B233" s="43" t="s">
        <v>159</v>
      </c>
      <c r="C233" s="111"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12"/>
      <c r="E233" s="112"/>
      <c r="F233" s="112"/>
      <c r="G233" s="112"/>
      <c r="H233" s="112"/>
      <c r="I233" s="112"/>
      <c r="J233" s="112"/>
      <c r="K233" s="112"/>
      <c r="L233" s="112"/>
      <c r="M233" s="112"/>
      <c r="N233" s="112"/>
      <c r="O233" s="112"/>
      <c r="P233" s="112"/>
      <c r="Q233" s="112"/>
      <c r="R233" s="112"/>
      <c r="S233" s="112"/>
      <c r="T233" s="112"/>
      <c r="U233" s="113"/>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24" t="s">
        <v>3792</v>
      </c>
      <c r="D235" s="125"/>
      <c r="E235" s="106" t="s">
        <v>3761</v>
      </c>
      <c r="H235" s="36"/>
      <c r="I235" s="36"/>
      <c r="J235" s="36"/>
      <c r="K235" s="36"/>
      <c r="L235" s="36"/>
      <c r="M235" s="36"/>
      <c r="N235" s="36"/>
      <c r="O235" s="36"/>
      <c r="P235" s="36"/>
      <c r="Q235" s="36"/>
      <c r="R235" s="124" t="str">
        <f>"ベース"&amp;SUBSTITUTE(C235,"バックアップ","")</f>
        <v>ベース_経過記録情報モジュール_身体所見レコード</v>
      </c>
      <c r="S235" s="125"/>
      <c r="T235" s="106" t="s">
        <v>3761</v>
      </c>
    </row>
    <row r="236" spans="2:23" ht="18.75" customHeight="1">
      <c r="C236" s="126"/>
      <c r="D236" s="127"/>
      <c r="E236" s="107"/>
      <c r="F236" s="37"/>
      <c r="G236" s="38"/>
      <c r="H236" s="37"/>
      <c r="I236" s="37"/>
      <c r="J236" s="37"/>
      <c r="K236" s="37"/>
      <c r="L236" s="37"/>
      <c r="M236" s="37"/>
      <c r="N236" s="37"/>
      <c r="O236" s="37"/>
      <c r="P236" s="37"/>
      <c r="Q236" s="37"/>
      <c r="R236" s="126"/>
      <c r="S236" s="127"/>
      <c r="T236" s="107"/>
    </row>
    <row r="237" spans="2:23" ht="18.75" customHeight="1">
      <c r="F237" s="39"/>
      <c r="G237" s="40"/>
    </row>
    <row r="238" spans="2:23" ht="18.75" customHeight="1">
      <c r="C238" s="102" t="s">
        <v>3762</v>
      </c>
      <c r="D238" s="103"/>
      <c r="E238" s="106" t="s">
        <v>3761</v>
      </c>
      <c r="G238" s="41"/>
    </row>
    <row r="239" spans="2:23" ht="18.75" customHeight="1">
      <c r="C239" s="104"/>
      <c r="D239" s="105"/>
      <c r="E239" s="107"/>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3793</v>
      </c>
      <c r="D243" s="94"/>
      <c r="W243" s="35" t="str">
        <f>"-- "&amp;B243&amp;" : "&amp;C243</f>
        <v>-- SQL_ID : 31_C4-15</v>
      </c>
    </row>
    <row r="244" spans="2:23" ht="18.75" customHeight="1">
      <c r="B244" s="43" t="s">
        <v>158</v>
      </c>
      <c r="C244" s="108" t="str">
        <f>R247&amp;"登録"</f>
        <v>ベース_経過記録情報モジュール_アセスメントレコード登録</v>
      </c>
      <c r="D244" s="109"/>
      <c r="E244" s="109"/>
      <c r="F244" s="109"/>
      <c r="G244" s="109"/>
      <c r="H244" s="109"/>
      <c r="I244" s="109"/>
      <c r="J244" s="109"/>
      <c r="K244" s="109"/>
      <c r="L244" s="109"/>
      <c r="M244" s="109"/>
      <c r="N244" s="109"/>
      <c r="O244" s="109"/>
      <c r="P244" s="109"/>
      <c r="Q244" s="109"/>
      <c r="R244" s="109"/>
      <c r="S244" s="109"/>
      <c r="T244" s="109"/>
      <c r="U244" s="110"/>
      <c r="W244" s="35" t="str">
        <f>"-- "&amp;C244</f>
        <v>-- ベース_経過記録情報モジュール_アセスメントレコード登録</v>
      </c>
    </row>
    <row r="245" spans="2:23" ht="18.75" customHeight="1">
      <c r="B245" s="43" t="s">
        <v>159</v>
      </c>
      <c r="C245" s="111"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12"/>
      <c r="E245" s="112"/>
      <c r="F245" s="112"/>
      <c r="G245" s="112"/>
      <c r="H245" s="112"/>
      <c r="I245" s="112"/>
      <c r="J245" s="112"/>
      <c r="K245" s="112"/>
      <c r="L245" s="112"/>
      <c r="M245" s="112"/>
      <c r="N245" s="112"/>
      <c r="O245" s="112"/>
      <c r="P245" s="112"/>
      <c r="Q245" s="112"/>
      <c r="R245" s="112"/>
      <c r="S245" s="112"/>
      <c r="T245" s="112"/>
      <c r="U245" s="113"/>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24" t="s">
        <v>3794</v>
      </c>
      <c r="D247" s="125"/>
      <c r="E247" s="106" t="s">
        <v>3761</v>
      </c>
      <c r="H247" s="36"/>
      <c r="I247" s="36"/>
      <c r="J247" s="36"/>
      <c r="K247" s="36"/>
      <c r="L247" s="36"/>
      <c r="M247" s="36"/>
      <c r="N247" s="36"/>
      <c r="O247" s="36"/>
      <c r="P247" s="36"/>
      <c r="Q247" s="36"/>
      <c r="R247" s="124" t="str">
        <f>"ベース"&amp;SUBSTITUTE(C247,"バックアップ","")</f>
        <v>ベース_経過記録情報モジュール_アセスメントレコード</v>
      </c>
      <c r="S247" s="125"/>
      <c r="T247" s="106" t="s">
        <v>3761</v>
      </c>
    </row>
    <row r="248" spans="2:23" ht="18.75" customHeight="1">
      <c r="C248" s="126"/>
      <c r="D248" s="127"/>
      <c r="E248" s="107"/>
      <c r="F248" s="37"/>
      <c r="G248" s="38"/>
      <c r="H248" s="37"/>
      <c r="I248" s="37"/>
      <c r="J248" s="37"/>
      <c r="K248" s="37"/>
      <c r="L248" s="37"/>
      <c r="M248" s="37"/>
      <c r="N248" s="37"/>
      <c r="O248" s="37"/>
      <c r="P248" s="37"/>
      <c r="Q248" s="37"/>
      <c r="R248" s="126"/>
      <c r="S248" s="127"/>
      <c r="T248" s="107"/>
    </row>
    <row r="249" spans="2:23" ht="18.75" customHeight="1">
      <c r="F249" s="39"/>
      <c r="G249" s="40"/>
    </row>
    <row r="250" spans="2:23" ht="18.75" customHeight="1">
      <c r="C250" s="102" t="s">
        <v>3762</v>
      </c>
      <c r="D250" s="103"/>
      <c r="E250" s="106" t="s">
        <v>3761</v>
      </c>
      <c r="G250" s="41"/>
    </row>
    <row r="251" spans="2:23" ht="18.75" customHeight="1">
      <c r="C251" s="104"/>
      <c r="D251" s="105"/>
      <c r="E251" s="107"/>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3795</v>
      </c>
      <c r="D255" s="94"/>
      <c r="W255" s="35" t="str">
        <f>"-- "&amp;B255&amp;" : "&amp;C255</f>
        <v>-- SQL_ID : 31_C4-22</v>
      </c>
    </row>
    <row r="256" spans="2:23" ht="18.75" customHeight="1">
      <c r="B256" s="43" t="s">
        <v>158</v>
      </c>
      <c r="C256" s="108" t="str">
        <f>R259&amp;"登録"</f>
        <v>ベース_経過記録情報モジュール_外部参照レコード登録</v>
      </c>
      <c r="D256" s="109"/>
      <c r="E256" s="109"/>
      <c r="F256" s="109"/>
      <c r="G256" s="109"/>
      <c r="H256" s="109"/>
      <c r="I256" s="109"/>
      <c r="J256" s="109"/>
      <c r="K256" s="109"/>
      <c r="L256" s="109"/>
      <c r="M256" s="109"/>
      <c r="N256" s="109"/>
      <c r="O256" s="109"/>
      <c r="P256" s="109"/>
      <c r="Q256" s="109"/>
      <c r="R256" s="109"/>
      <c r="S256" s="109"/>
      <c r="T256" s="109"/>
      <c r="U256" s="110"/>
      <c r="W256" s="35" t="str">
        <f>"-- "&amp;C256</f>
        <v>-- ベース_経過記録情報モジュール_外部参照レコード登録</v>
      </c>
    </row>
    <row r="257" spans="2:23" ht="18.75" customHeight="1">
      <c r="B257" s="43" t="s">
        <v>159</v>
      </c>
      <c r="C257" s="111"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12"/>
      <c r="E257" s="112"/>
      <c r="F257" s="112"/>
      <c r="G257" s="112"/>
      <c r="H257" s="112"/>
      <c r="I257" s="112"/>
      <c r="J257" s="112"/>
      <c r="K257" s="112"/>
      <c r="L257" s="112"/>
      <c r="M257" s="112"/>
      <c r="N257" s="112"/>
      <c r="O257" s="112"/>
      <c r="P257" s="112"/>
      <c r="Q257" s="112"/>
      <c r="R257" s="112"/>
      <c r="S257" s="112"/>
      <c r="T257" s="112"/>
      <c r="U257" s="113"/>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24" t="s">
        <v>3796</v>
      </c>
      <c r="D259" s="125"/>
      <c r="E259" s="106" t="s">
        <v>3761</v>
      </c>
      <c r="H259" s="36"/>
      <c r="I259" s="36"/>
      <c r="J259" s="36"/>
      <c r="K259" s="36"/>
      <c r="L259" s="36"/>
      <c r="M259" s="36"/>
      <c r="N259" s="36"/>
      <c r="O259" s="36"/>
      <c r="P259" s="36"/>
      <c r="Q259" s="36"/>
      <c r="R259" s="124" t="str">
        <f>"ベース"&amp;SUBSTITUTE(C259,"バックアップ","")</f>
        <v>ベース_経過記録情報モジュール_外部参照レコード</v>
      </c>
      <c r="S259" s="125"/>
      <c r="T259" s="106" t="s">
        <v>3761</v>
      </c>
    </row>
    <row r="260" spans="2:23" ht="18.75" customHeight="1">
      <c r="C260" s="126"/>
      <c r="D260" s="127"/>
      <c r="E260" s="107"/>
      <c r="F260" s="37"/>
      <c r="G260" s="38"/>
      <c r="H260" s="37"/>
      <c r="I260" s="37"/>
      <c r="J260" s="37"/>
      <c r="K260" s="37"/>
      <c r="L260" s="37"/>
      <c r="M260" s="37"/>
      <c r="N260" s="37"/>
      <c r="O260" s="37"/>
      <c r="P260" s="37"/>
      <c r="Q260" s="37"/>
      <c r="R260" s="126"/>
      <c r="S260" s="127"/>
      <c r="T260" s="107"/>
    </row>
    <row r="261" spans="2:23" ht="18.75" customHeight="1">
      <c r="F261" s="39"/>
      <c r="G261" s="40"/>
    </row>
    <row r="262" spans="2:23" ht="18.75" customHeight="1">
      <c r="C262" s="102" t="s">
        <v>3762</v>
      </c>
      <c r="D262" s="103"/>
      <c r="E262" s="106" t="s">
        <v>3761</v>
      </c>
      <c r="G262" s="41"/>
    </row>
    <row r="263" spans="2:23" ht="18.75" customHeight="1">
      <c r="C263" s="104"/>
      <c r="D263" s="105"/>
      <c r="E263" s="107"/>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3797</v>
      </c>
      <c r="D267" s="94"/>
      <c r="W267" s="35" t="str">
        <f>"-- "&amp;B267&amp;" : "&amp;C267</f>
        <v>-- SQL_ID : 31_C4-23</v>
      </c>
    </row>
    <row r="268" spans="2:23" ht="18.75" customHeight="1">
      <c r="B268" s="43" t="s">
        <v>158</v>
      </c>
      <c r="C268" s="108" t="str">
        <f>R271&amp;"登録"</f>
        <v>ベース_臨床サマリーモジュール_臨床サマリー情報レコード登録</v>
      </c>
      <c r="D268" s="109"/>
      <c r="E268" s="109"/>
      <c r="F268" s="109"/>
      <c r="G268" s="109"/>
      <c r="H268" s="109"/>
      <c r="I268" s="109"/>
      <c r="J268" s="109"/>
      <c r="K268" s="109"/>
      <c r="L268" s="109"/>
      <c r="M268" s="109"/>
      <c r="N268" s="109"/>
      <c r="O268" s="109"/>
      <c r="P268" s="109"/>
      <c r="Q268" s="109"/>
      <c r="R268" s="109"/>
      <c r="S268" s="109"/>
      <c r="T268" s="109"/>
      <c r="U268" s="110"/>
      <c r="W268" s="35" t="str">
        <f>"-- "&amp;C268</f>
        <v>-- ベース_臨床サマリーモジュール_臨床サマリー情報レコード登録</v>
      </c>
    </row>
    <row r="269" spans="2:23" ht="18.75" customHeight="1">
      <c r="B269" s="43" t="s">
        <v>159</v>
      </c>
      <c r="C269" s="111"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12"/>
      <c r="E269" s="112"/>
      <c r="F269" s="112"/>
      <c r="G269" s="112"/>
      <c r="H269" s="112"/>
      <c r="I269" s="112"/>
      <c r="J269" s="112"/>
      <c r="K269" s="112"/>
      <c r="L269" s="112"/>
      <c r="M269" s="112"/>
      <c r="N269" s="112"/>
      <c r="O269" s="112"/>
      <c r="P269" s="112"/>
      <c r="Q269" s="112"/>
      <c r="R269" s="112"/>
      <c r="S269" s="112"/>
      <c r="T269" s="112"/>
      <c r="U269" s="113"/>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16" t="s">
        <v>3798</v>
      </c>
      <c r="D271" s="117"/>
      <c r="E271" s="106" t="s">
        <v>3761</v>
      </c>
      <c r="H271" s="36"/>
      <c r="I271" s="36"/>
      <c r="J271" s="36"/>
      <c r="K271" s="36"/>
      <c r="L271" s="36"/>
      <c r="M271" s="36"/>
      <c r="N271" s="36"/>
      <c r="O271" s="36"/>
      <c r="P271" s="36"/>
      <c r="Q271" s="36"/>
      <c r="R271" s="124" t="str">
        <f>"ベース"&amp;SUBSTITUTE(C271,"バックアップ","")</f>
        <v>ベース_臨床サマリーモジュール_臨床サマリー情報レコード</v>
      </c>
      <c r="S271" s="125"/>
      <c r="T271" s="106" t="s">
        <v>3761</v>
      </c>
    </row>
    <row r="272" spans="2:23" ht="18.75" customHeight="1">
      <c r="C272" s="118"/>
      <c r="D272" s="119"/>
      <c r="E272" s="107"/>
      <c r="F272" s="37"/>
      <c r="G272" s="38"/>
      <c r="H272" s="37"/>
      <c r="I272" s="37"/>
      <c r="J272" s="37"/>
      <c r="K272" s="37"/>
      <c r="L272" s="37"/>
      <c r="M272" s="37"/>
      <c r="N272" s="37"/>
      <c r="O272" s="37"/>
      <c r="P272" s="37"/>
      <c r="Q272" s="37"/>
      <c r="R272" s="126"/>
      <c r="S272" s="127"/>
      <c r="T272" s="107"/>
    </row>
    <row r="273" spans="2:23" ht="18.75" customHeight="1">
      <c r="F273" s="39"/>
      <c r="G273" s="40"/>
    </row>
    <row r="274" spans="2:23" ht="18.75" customHeight="1">
      <c r="C274" s="102" t="s">
        <v>3762</v>
      </c>
      <c r="D274" s="103"/>
      <c r="E274" s="106" t="s">
        <v>3761</v>
      </c>
      <c r="G274" s="41"/>
    </row>
    <row r="275" spans="2:23" ht="18.75" customHeight="1">
      <c r="C275" s="104"/>
      <c r="D275" s="105"/>
      <c r="E275" s="107"/>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3799</v>
      </c>
      <c r="D279" s="95"/>
      <c r="W279" s="35" t="str">
        <f>"-- "&amp;B279&amp;" : "&amp;C279</f>
        <v>-- SQL_ID : 31_C4-24</v>
      </c>
    </row>
    <row r="280" spans="2:23" ht="18.75" customHeight="1">
      <c r="B280" s="43" t="s">
        <v>158</v>
      </c>
      <c r="C280" s="108" t="str">
        <f>R283&amp;"登録"</f>
        <v>ベース_臨床サマリーモジュール_外来受診レコード登録</v>
      </c>
      <c r="D280" s="109"/>
      <c r="E280" s="109"/>
      <c r="F280" s="109"/>
      <c r="G280" s="109"/>
      <c r="H280" s="109"/>
      <c r="I280" s="109"/>
      <c r="J280" s="109"/>
      <c r="K280" s="109"/>
      <c r="L280" s="109"/>
      <c r="M280" s="109"/>
      <c r="N280" s="109"/>
      <c r="O280" s="109"/>
      <c r="P280" s="109"/>
      <c r="Q280" s="109"/>
      <c r="R280" s="109"/>
      <c r="S280" s="109"/>
      <c r="T280" s="109"/>
      <c r="U280" s="110"/>
      <c r="W280" s="35" t="str">
        <f>"-- "&amp;C280</f>
        <v>-- ベース_臨床サマリーモジュール_外来受診レコード登録</v>
      </c>
    </row>
    <row r="281" spans="2:23" ht="18.75" customHeight="1">
      <c r="B281" s="43" t="s">
        <v>159</v>
      </c>
      <c r="C281" s="111"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12"/>
      <c r="E281" s="112"/>
      <c r="F281" s="112"/>
      <c r="G281" s="112"/>
      <c r="H281" s="112"/>
      <c r="I281" s="112"/>
      <c r="J281" s="112"/>
      <c r="K281" s="112"/>
      <c r="L281" s="112"/>
      <c r="M281" s="112"/>
      <c r="N281" s="112"/>
      <c r="O281" s="112"/>
      <c r="P281" s="112"/>
      <c r="Q281" s="112"/>
      <c r="R281" s="112"/>
      <c r="S281" s="112"/>
      <c r="T281" s="112"/>
      <c r="U281" s="113"/>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16" t="s">
        <v>1495</v>
      </c>
      <c r="D283" s="117"/>
      <c r="E283" s="106" t="s">
        <v>3761</v>
      </c>
      <c r="H283" s="36"/>
      <c r="I283" s="36"/>
      <c r="J283" s="36"/>
      <c r="K283" s="36"/>
      <c r="L283" s="36"/>
      <c r="M283" s="36"/>
      <c r="N283" s="36"/>
      <c r="O283" s="36"/>
      <c r="P283" s="36"/>
      <c r="Q283" s="36"/>
      <c r="R283" s="124" t="str">
        <f>"ベース"&amp;SUBSTITUTE(C283,"バックアップ","")</f>
        <v>ベース_臨床サマリーモジュール_外来受診レコード</v>
      </c>
      <c r="S283" s="125"/>
      <c r="T283" s="106" t="s">
        <v>3761</v>
      </c>
    </row>
    <row r="284" spans="2:23" ht="18.75" customHeight="1">
      <c r="C284" s="118"/>
      <c r="D284" s="119"/>
      <c r="E284" s="107"/>
      <c r="F284" s="37"/>
      <c r="G284" s="38"/>
      <c r="H284" s="37"/>
      <c r="I284" s="37"/>
      <c r="J284" s="37"/>
      <c r="K284" s="37"/>
      <c r="L284" s="37"/>
      <c r="M284" s="37"/>
      <c r="N284" s="37"/>
      <c r="O284" s="37"/>
      <c r="P284" s="37"/>
      <c r="Q284" s="37"/>
      <c r="R284" s="126"/>
      <c r="S284" s="127"/>
      <c r="T284" s="107"/>
    </row>
    <row r="285" spans="2:23" ht="18.75" customHeight="1">
      <c r="F285" s="39"/>
      <c r="G285" s="40"/>
    </row>
    <row r="286" spans="2:23" ht="18.75" customHeight="1">
      <c r="C286" s="102" t="s">
        <v>3762</v>
      </c>
      <c r="D286" s="103"/>
      <c r="E286" s="106" t="s">
        <v>3761</v>
      </c>
      <c r="G286" s="41"/>
    </row>
    <row r="287" spans="2:23" ht="18.75" customHeight="1">
      <c r="C287" s="104"/>
      <c r="D287" s="105"/>
      <c r="E287" s="107"/>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3800</v>
      </c>
      <c r="D291" s="95"/>
      <c r="W291" s="35" t="str">
        <f>"-- "&amp;B291&amp;" : "&amp;C291</f>
        <v>-- SQL_ID : 31_C4-25</v>
      </c>
    </row>
    <row r="292" spans="2:23" ht="18.75" customHeight="1">
      <c r="B292" s="43" t="s">
        <v>158</v>
      </c>
      <c r="C292" s="108" t="str">
        <f>R295&amp;"登録"</f>
        <v>ベース_臨床サマリーモジュール_入院レコード登録</v>
      </c>
      <c r="D292" s="109"/>
      <c r="E292" s="109"/>
      <c r="F292" s="109"/>
      <c r="G292" s="109"/>
      <c r="H292" s="109"/>
      <c r="I292" s="109"/>
      <c r="J292" s="109"/>
      <c r="K292" s="109"/>
      <c r="L292" s="109"/>
      <c r="M292" s="109"/>
      <c r="N292" s="109"/>
      <c r="O292" s="109"/>
      <c r="P292" s="109"/>
      <c r="Q292" s="109"/>
      <c r="R292" s="109"/>
      <c r="S292" s="109"/>
      <c r="T292" s="109"/>
      <c r="U292" s="110"/>
      <c r="W292" s="35" t="str">
        <f>"-- "&amp;C292</f>
        <v>-- ベース_臨床サマリーモジュール_入院レコード登録</v>
      </c>
    </row>
    <row r="293" spans="2:23" ht="18.75" customHeight="1">
      <c r="B293" s="43" t="s">
        <v>159</v>
      </c>
      <c r="C293" s="111"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12"/>
      <c r="E293" s="112"/>
      <c r="F293" s="112"/>
      <c r="G293" s="112"/>
      <c r="H293" s="112"/>
      <c r="I293" s="112"/>
      <c r="J293" s="112"/>
      <c r="K293" s="112"/>
      <c r="L293" s="112"/>
      <c r="M293" s="112"/>
      <c r="N293" s="112"/>
      <c r="O293" s="112"/>
      <c r="P293" s="112"/>
      <c r="Q293" s="112"/>
      <c r="R293" s="112"/>
      <c r="S293" s="112"/>
      <c r="T293" s="112"/>
      <c r="U293" s="113"/>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16" t="s">
        <v>1512</v>
      </c>
      <c r="D295" s="117"/>
      <c r="E295" s="106" t="s">
        <v>3761</v>
      </c>
      <c r="H295" s="36"/>
      <c r="I295" s="36"/>
      <c r="J295" s="36"/>
      <c r="K295" s="36"/>
      <c r="L295" s="36"/>
      <c r="M295" s="36"/>
      <c r="N295" s="36"/>
      <c r="O295" s="36"/>
      <c r="P295" s="36"/>
      <c r="Q295" s="36"/>
      <c r="R295" s="124" t="str">
        <f>"ベース"&amp;SUBSTITUTE(C295,"バックアップ","")</f>
        <v>ベース_臨床サマリーモジュール_入院レコード</v>
      </c>
      <c r="S295" s="125"/>
      <c r="T295" s="106" t="s">
        <v>3761</v>
      </c>
    </row>
    <row r="296" spans="2:23" ht="18.75" customHeight="1">
      <c r="C296" s="118"/>
      <c r="D296" s="119"/>
      <c r="E296" s="107"/>
      <c r="F296" s="37"/>
      <c r="G296" s="38"/>
      <c r="H296" s="37"/>
      <c r="I296" s="37"/>
      <c r="J296" s="37"/>
      <c r="K296" s="37"/>
      <c r="L296" s="37"/>
      <c r="M296" s="37"/>
      <c r="N296" s="37"/>
      <c r="O296" s="37"/>
      <c r="P296" s="37"/>
      <c r="Q296" s="37"/>
      <c r="R296" s="126"/>
      <c r="S296" s="127"/>
      <c r="T296" s="107"/>
    </row>
    <row r="297" spans="2:23" ht="18.75" customHeight="1">
      <c r="F297" s="39"/>
      <c r="G297" s="40"/>
    </row>
    <row r="298" spans="2:23" ht="18.75" customHeight="1">
      <c r="C298" s="102" t="s">
        <v>3762</v>
      </c>
      <c r="D298" s="103"/>
      <c r="E298" s="106" t="s">
        <v>3761</v>
      </c>
      <c r="G298" s="41"/>
    </row>
    <row r="299" spans="2:23" ht="18.75" customHeight="1">
      <c r="C299" s="104"/>
      <c r="D299" s="105"/>
      <c r="E299" s="107"/>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3801</v>
      </c>
      <c r="D303" s="95"/>
      <c r="W303" s="35" t="str">
        <f>"-- "&amp;B303&amp;" : "&amp;C303</f>
        <v>-- SQL_ID : 31_C4-29</v>
      </c>
    </row>
    <row r="304" spans="2:23" ht="18.75" customHeight="1">
      <c r="B304" s="43" t="s">
        <v>158</v>
      </c>
      <c r="C304" s="108" t="str">
        <f>R307&amp;"登録"</f>
        <v>ベース_臨床サマリーモジュール_経過記録レコード登録</v>
      </c>
      <c r="D304" s="109"/>
      <c r="E304" s="109"/>
      <c r="F304" s="109"/>
      <c r="G304" s="109"/>
      <c r="H304" s="109"/>
      <c r="I304" s="109"/>
      <c r="J304" s="109"/>
      <c r="K304" s="109"/>
      <c r="L304" s="109"/>
      <c r="M304" s="109"/>
      <c r="N304" s="109"/>
      <c r="O304" s="109"/>
      <c r="P304" s="109"/>
      <c r="Q304" s="109"/>
      <c r="R304" s="109"/>
      <c r="S304" s="109"/>
      <c r="T304" s="109"/>
      <c r="U304" s="110"/>
      <c r="W304" s="35" t="str">
        <f>"-- "&amp;C304</f>
        <v>-- ベース_臨床サマリーモジュール_経過記録レコード登録</v>
      </c>
    </row>
    <row r="305" spans="2:23" ht="18.75" customHeight="1">
      <c r="B305" s="43" t="s">
        <v>159</v>
      </c>
      <c r="C305" s="111"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12"/>
      <c r="E305" s="112"/>
      <c r="F305" s="112"/>
      <c r="G305" s="112"/>
      <c r="H305" s="112"/>
      <c r="I305" s="112"/>
      <c r="J305" s="112"/>
      <c r="K305" s="112"/>
      <c r="L305" s="112"/>
      <c r="M305" s="112"/>
      <c r="N305" s="112"/>
      <c r="O305" s="112"/>
      <c r="P305" s="112"/>
      <c r="Q305" s="112"/>
      <c r="R305" s="112"/>
      <c r="S305" s="112"/>
      <c r="T305" s="112"/>
      <c r="U305" s="113"/>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16" t="s">
        <v>1538</v>
      </c>
      <c r="D307" s="117"/>
      <c r="E307" s="106" t="s">
        <v>3761</v>
      </c>
      <c r="H307" s="36"/>
      <c r="I307" s="36"/>
      <c r="J307" s="36"/>
      <c r="K307" s="36"/>
      <c r="L307" s="36"/>
      <c r="M307" s="36"/>
      <c r="N307" s="36"/>
      <c r="O307" s="36"/>
      <c r="P307" s="36"/>
      <c r="Q307" s="36"/>
      <c r="R307" s="124" t="str">
        <f>"ベース"&amp;SUBSTITUTE(C307,"バックアップ","")</f>
        <v>ベース_臨床サマリーモジュール_経過記録レコード</v>
      </c>
      <c r="S307" s="125"/>
      <c r="T307" s="106" t="s">
        <v>3761</v>
      </c>
    </row>
    <row r="308" spans="2:23" ht="18.75" customHeight="1">
      <c r="C308" s="118"/>
      <c r="D308" s="119"/>
      <c r="E308" s="107"/>
      <c r="F308" s="37"/>
      <c r="G308" s="38"/>
      <c r="H308" s="37"/>
      <c r="I308" s="37"/>
      <c r="J308" s="37"/>
      <c r="K308" s="37"/>
      <c r="L308" s="37"/>
      <c r="M308" s="37"/>
      <c r="N308" s="37"/>
      <c r="O308" s="37"/>
      <c r="P308" s="37"/>
      <c r="Q308" s="37"/>
      <c r="R308" s="126"/>
      <c r="S308" s="127"/>
      <c r="T308" s="107"/>
    </row>
    <row r="309" spans="2:23" ht="18.75" customHeight="1">
      <c r="F309" s="39"/>
      <c r="G309" s="40"/>
    </row>
    <row r="310" spans="2:23" ht="18.75" customHeight="1">
      <c r="C310" s="102" t="s">
        <v>3762</v>
      </c>
      <c r="D310" s="103"/>
      <c r="E310" s="106" t="s">
        <v>3761</v>
      </c>
      <c r="G310" s="41"/>
    </row>
    <row r="311" spans="2:23" ht="18.75" customHeight="1">
      <c r="C311" s="104"/>
      <c r="D311" s="105"/>
      <c r="E311" s="107"/>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3802</v>
      </c>
      <c r="D315" s="95"/>
      <c r="W315" s="35" t="str">
        <f>"-- "&amp;B315&amp;" : "&amp;C315</f>
        <v>-- SQL_ID : 31_C4-30</v>
      </c>
    </row>
    <row r="316" spans="2:23" ht="18.75" customHeight="1">
      <c r="B316" s="43" t="s">
        <v>158</v>
      </c>
      <c r="C316" s="108" t="str">
        <f>R319&amp;"登録"</f>
        <v>ベース_臨床サマリーモジュール_検査結果レコード登録</v>
      </c>
      <c r="D316" s="109"/>
      <c r="E316" s="109"/>
      <c r="F316" s="109"/>
      <c r="G316" s="109"/>
      <c r="H316" s="109"/>
      <c r="I316" s="109"/>
      <c r="J316" s="109"/>
      <c r="K316" s="109"/>
      <c r="L316" s="109"/>
      <c r="M316" s="109"/>
      <c r="N316" s="109"/>
      <c r="O316" s="109"/>
      <c r="P316" s="109"/>
      <c r="Q316" s="109"/>
      <c r="R316" s="109"/>
      <c r="S316" s="109"/>
      <c r="T316" s="109"/>
      <c r="U316" s="110"/>
      <c r="W316" s="35" t="str">
        <f>"-- "&amp;C316</f>
        <v>-- ベース_臨床サマリーモジュール_検査結果レコード登録</v>
      </c>
    </row>
    <row r="317" spans="2:23" ht="18.75" customHeight="1">
      <c r="B317" s="43" t="s">
        <v>159</v>
      </c>
      <c r="C317" s="111"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12"/>
      <c r="E317" s="112"/>
      <c r="F317" s="112"/>
      <c r="G317" s="112"/>
      <c r="H317" s="112"/>
      <c r="I317" s="112"/>
      <c r="J317" s="112"/>
      <c r="K317" s="112"/>
      <c r="L317" s="112"/>
      <c r="M317" s="112"/>
      <c r="N317" s="112"/>
      <c r="O317" s="112"/>
      <c r="P317" s="112"/>
      <c r="Q317" s="112"/>
      <c r="R317" s="112"/>
      <c r="S317" s="112"/>
      <c r="T317" s="112"/>
      <c r="U317" s="113"/>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16" t="s">
        <v>1553</v>
      </c>
      <c r="D319" s="117"/>
      <c r="E319" s="106" t="s">
        <v>3761</v>
      </c>
      <c r="H319" s="36"/>
      <c r="I319" s="36"/>
      <c r="J319" s="36"/>
      <c r="K319" s="36"/>
      <c r="L319" s="36"/>
      <c r="M319" s="36"/>
      <c r="N319" s="36"/>
      <c r="O319" s="36"/>
      <c r="P319" s="36"/>
      <c r="Q319" s="36"/>
      <c r="R319" s="124" t="str">
        <f>"ベース"&amp;SUBSTITUTE(C319,"バックアップ","")</f>
        <v>ベース_臨床サマリーモジュール_検査結果レコード</v>
      </c>
      <c r="S319" s="125"/>
      <c r="T319" s="106" t="s">
        <v>3761</v>
      </c>
    </row>
    <row r="320" spans="2:23" ht="18.75" customHeight="1">
      <c r="C320" s="118"/>
      <c r="D320" s="119"/>
      <c r="E320" s="107"/>
      <c r="F320" s="37"/>
      <c r="G320" s="38"/>
      <c r="H320" s="37"/>
      <c r="I320" s="37"/>
      <c r="J320" s="37"/>
      <c r="K320" s="37"/>
      <c r="L320" s="37"/>
      <c r="M320" s="37"/>
      <c r="N320" s="37"/>
      <c r="O320" s="37"/>
      <c r="P320" s="37"/>
      <c r="Q320" s="37"/>
      <c r="R320" s="126"/>
      <c r="S320" s="127"/>
      <c r="T320" s="107"/>
    </row>
    <row r="321" spans="2:23" ht="18.75" customHeight="1">
      <c r="F321" s="39"/>
      <c r="G321" s="40"/>
    </row>
    <row r="322" spans="2:23" ht="18.75" customHeight="1">
      <c r="C322" s="102" t="s">
        <v>3762</v>
      </c>
      <c r="D322" s="103"/>
      <c r="E322" s="106" t="s">
        <v>3761</v>
      </c>
      <c r="G322" s="41"/>
    </row>
    <row r="323" spans="2:23" ht="18.75" customHeight="1">
      <c r="C323" s="104"/>
      <c r="D323" s="105"/>
      <c r="E323" s="107"/>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3803</v>
      </c>
      <c r="D327" s="95"/>
      <c r="W327" s="35" t="str">
        <f>"-- "&amp;B327&amp;" : "&amp;C327</f>
        <v>-- SQL_ID : 31_C4-31</v>
      </c>
    </row>
    <row r="328" spans="2:23" ht="18.75" customHeight="1">
      <c r="B328" s="43" t="s">
        <v>158</v>
      </c>
      <c r="C328" s="108" t="str">
        <f>R331&amp;"登録"</f>
        <v>ベース_検歴情報モジュール_検歴情報登録</v>
      </c>
      <c r="D328" s="109"/>
      <c r="E328" s="109"/>
      <c r="F328" s="109"/>
      <c r="G328" s="109"/>
      <c r="H328" s="109"/>
      <c r="I328" s="109"/>
      <c r="J328" s="109"/>
      <c r="K328" s="109"/>
      <c r="L328" s="109"/>
      <c r="M328" s="109"/>
      <c r="N328" s="109"/>
      <c r="O328" s="109"/>
      <c r="P328" s="109"/>
      <c r="Q328" s="109"/>
      <c r="R328" s="109"/>
      <c r="S328" s="109"/>
      <c r="T328" s="109"/>
      <c r="U328" s="110"/>
      <c r="W328" s="35" t="str">
        <f>"-- "&amp;C328</f>
        <v>-- ベース_検歴情報モジュール_検歴情報登録</v>
      </c>
    </row>
    <row r="329" spans="2:23" ht="18.75" customHeight="1">
      <c r="B329" s="43" t="s">
        <v>159</v>
      </c>
      <c r="C329" s="111"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12"/>
      <c r="E329" s="112"/>
      <c r="F329" s="112"/>
      <c r="G329" s="112"/>
      <c r="H329" s="112"/>
      <c r="I329" s="112"/>
      <c r="J329" s="112"/>
      <c r="K329" s="112"/>
      <c r="L329" s="112"/>
      <c r="M329" s="112"/>
      <c r="N329" s="112"/>
      <c r="O329" s="112"/>
      <c r="P329" s="112"/>
      <c r="Q329" s="112"/>
      <c r="R329" s="112"/>
      <c r="S329" s="112"/>
      <c r="T329" s="112"/>
      <c r="U329" s="113"/>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16" t="s">
        <v>1563</v>
      </c>
      <c r="D331" s="117"/>
      <c r="E331" s="106" t="s">
        <v>3761</v>
      </c>
      <c r="H331" s="36"/>
      <c r="I331" s="36"/>
      <c r="J331" s="36"/>
      <c r="K331" s="36"/>
      <c r="L331" s="36"/>
      <c r="M331" s="36"/>
      <c r="N331" s="36"/>
      <c r="O331" s="36"/>
      <c r="P331" s="36"/>
      <c r="Q331" s="36"/>
      <c r="R331" s="124" t="str">
        <f>"ベース"&amp;SUBSTITUTE(C331,"バックアップ","")</f>
        <v>ベース_検歴情報モジュール_検歴情報</v>
      </c>
      <c r="S331" s="125"/>
      <c r="T331" s="106" t="s">
        <v>3761</v>
      </c>
    </row>
    <row r="332" spans="2:23" ht="18.75" customHeight="1">
      <c r="C332" s="118"/>
      <c r="D332" s="119"/>
      <c r="E332" s="107"/>
      <c r="F332" s="37"/>
      <c r="G332" s="38"/>
      <c r="H332" s="37"/>
      <c r="I332" s="37"/>
      <c r="J332" s="37"/>
      <c r="K332" s="37"/>
      <c r="L332" s="37"/>
      <c r="M332" s="37"/>
      <c r="N332" s="37"/>
      <c r="O332" s="37"/>
      <c r="P332" s="37"/>
      <c r="Q332" s="37"/>
      <c r="R332" s="126"/>
      <c r="S332" s="127"/>
      <c r="T332" s="107"/>
    </row>
    <row r="333" spans="2:23" ht="18.75" customHeight="1">
      <c r="F333" s="39"/>
      <c r="G333" s="40"/>
    </row>
    <row r="334" spans="2:23" ht="18.75" customHeight="1">
      <c r="C334" s="102" t="s">
        <v>3762</v>
      </c>
      <c r="D334" s="103"/>
      <c r="E334" s="106" t="s">
        <v>3761</v>
      </c>
      <c r="G334" s="41"/>
    </row>
    <row r="335" spans="2:23" ht="18.75" customHeight="1">
      <c r="C335" s="104"/>
      <c r="D335" s="105"/>
      <c r="E335" s="107"/>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3804</v>
      </c>
      <c r="D339" s="95"/>
      <c r="W339" s="35" t="str">
        <f>"-- "&amp;B339&amp;" : "&amp;C339</f>
        <v>-- SQL_ID : 31_C4-33</v>
      </c>
    </row>
    <row r="340" spans="2:23" ht="18.75" customHeight="1">
      <c r="B340" s="43" t="s">
        <v>158</v>
      </c>
      <c r="C340" s="108" t="str">
        <f>R343&amp;"登録"</f>
        <v>ベース_検歴情報モジュール_検歴検体材料登録</v>
      </c>
      <c r="D340" s="109"/>
      <c r="E340" s="109"/>
      <c r="F340" s="109"/>
      <c r="G340" s="109"/>
      <c r="H340" s="109"/>
      <c r="I340" s="109"/>
      <c r="J340" s="109"/>
      <c r="K340" s="109"/>
      <c r="L340" s="109"/>
      <c r="M340" s="109"/>
      <c r="N340" s="109"/>
      <c r="O340" s="109"/>
      <c r="P340" s="109"/>
      <c r="Q340" s="109"/>
      <c r="R340" s="109"/>
      <c r="S340" s="109"/>
      <c r="T340" s="109"/>
      <c r="U340" s="110"/>
      <c r="W340" s="35" t="str">
        <f>"-- "&amp;C340</f>
        <v>-- ベース_検歴情報モジュール_検歴検体材料登録</v>
      </c>
    </row>
    <row r="341" spans="2:23" ht="18.75" customHeight="1">
      <c r="B341" s="43" t="s">
        <v>159</v>
      </c>
      <c r="C341" s="111"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12"/>
      <c r="E341" s="112"/>
      <c r="F341" s="112"/>
      <c r="G341" s="112"/>
      <c r="H341" s="112"/>
      <c r="I341" s="112"/>
      <c r="J341" s="112"/>
      <c r="K341" s="112"/>
      <c r="L341" s="112"/>
      <c r="M341" s="112"/>
      <c r="N341" s="112"/>
      <c r="O341" s="112"/>
      <c r="P341" s="112"/>
      <c r="Q341" s="112"/>
      <c r="R341" s="112"/>
      <c r="S341" s="112"/>
      <c r="T341" s="112"/>
      <c r="U341" s="113"/>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16" t="s">
        <v>1621</v>
      </c>
      <c r="D343" s="117"/>
      <c r="E343" s="106" t="s">
        <v>3761</v>
      </c>
      <c r="H343" s="36"/>
      <c r="I343" s="36"/>
      <c r="J343" s="36"/>
      <c r="K343" s="36"/>
      <c r="L343" s="36"/>
      <c r="M343" s="36"/>
      <c r="N343" s="36"/>
      <c r="O343" s="36"/>
      <c r="P343" s="36"/>
      <c r="Q343" s="36"/>
      <c r="R343" s="124" t="str">
        <f>"ベース"&amp;SUBSTITUTE(C343,"バックアップ","")</f>
        <v>ベース_検歴情報モジュール_検歴検体材料</v>
      </c>
      <c r="S343" s="125"/>
      <c r="T343" s="106" t="s">
        <v>3761</v>
      </c>
    </row>
    <row r="344" spans="2:23" ht="18.75" customHeight="1">
      <c r="C344" s="118"/>
      <c r="D344" s="119"/>
      <c r="E344" s="107"/>
      <c r="F344" s="37"/>
      <c r="G344" s="38"/>
      <c r="H344" s="37"/>
      <c r="I344" s="37"/>
      <c r="J344" s="37"/>
      <c r="K344" s="37"/>
      <c r="L344" s="37"/>
      <c r="M344" s="37"/>
      <c r="N344" s="37"/>
      <c r="O344" s="37"/>
      <c r="P344" s="37"/>
      <c r="Q344" s="37"/>
      <c r="R344" s="126"/>
      <c r="S344" s="127"/>
      <c r="T344" s="107"/>
    </row>
    <row r="345" spans="2:23" ht="18.75" customHeight="1">
      <c r="F345" s="39"/>
      <c r="G345" s="40"/>
    </row>
    <row r="346" spans="2:23" ht="18.75" customHeight="1">
      <c r="C346" s="102" t="s">
        <v>3762</v>
      </c>
      <c r="D346" s="103"/>
      <c r="E346" s="106" t="s">
        <v>3761</v>
      </c>
      <c r="G346" s="41"/>
    </row>
    <row r="347" spans="2:23" ht="18.75" customHeight="1">
      <c r="C347" s="104"/>
      <c r="D347" s="105"/>
      <c r="E347" s="107"/>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3805</v>
      </c>
      <c r="D351" s="95"/>
      <c r="W351" s="35" t="str">
        <f>"-- "&amp;B351&amp;" : "&amp;C351</f>
        <v>-- SQL_ID : 31_C4-35</v>
      </c>
    </row>
    <row r="352" spans="2:23" ht="18.75" customHeight="1">
      <c r="B352" s="43" t="s">
        <v>158</v>
      </c>
      <c r="C352" s="108" t="str">
        <f>R355&amp;"登録"</f>
        <v>ベース_検歴情報モジュール_検歴項目情報登録</v>
      </c>
      <c r="D352" s="109"/>
      <c r="E352" s="109"/>
      <c r="F352" s="109"/>
      <c r="G352" s="109"/>
      <c r="H352" s="109"/>
      <c r="I352" s="109"/>
      <c r="J352" s="109"/>
      <c r="K352" s="109"/>
      <c r="L352" s="109"/>
      <c r="M352" s="109"/>
      <c r="N352" s="109"/>
      <c r="O352" s="109"/>
      <c r="P352" s="109"/>
      <c r="Q352" s="109"/>
      <c r="R352" s="109"/>
      <c r="S352" s="109"/>
      <c r="T352" s="109"/>
      <c r="U352" s="110"/>
      <c r="W352" s="35" t="str">
        <f>"-- "&amp;C352</f>
        <v>-- ベース_検歴情報モジュール_検歴項目情報登録</v>
      </c>
    </row>
    <row r="353" spans="2:23" ht="18.75" customHeight="1">
      <c r="B353" s="43" t="s">
        <v>159</v>
      </c>
      <c r="C353" s="111"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12"/>
      <c r="E353" s="112"/>
      <c r="F353" s="112"/>
      <c r="G353" s="112"/>
      <c r="H353" s="112"/>
      <c r="I353" s="112"/>
      <c r="J353" s="112"/>
      <c r="K353" s="112"/>
      <c r="L353" s="112"/>
      <c r="M353" s="112"/>
      <c r="N353" s="112"/>
      <c r="O353" s="112"/>
      <c r="P353" s="112"/>
      <c r="Q353" s="112"/>
      <c r="R353" s="112"/>
      <c r="S353" s="112"/>
      <c r="T353" s="112"/>
      <c r="U353" s="113"/>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16" t="s">
        <v>1640</v>
      </c>
      <c r="D355" s="117"/>
      <c r="E355" s="106" t="s">
        <v>3761</v>
      </c>
      <c r="H355" s="36"/>
      <c r="I355" s="36"/>
      <c r="J355" s="36"/>
      <c r="K355" s="36"/>
      <c r="L355" s="36"/>
      <c r="M355" s="36"/>
      <c r="N355" s="36"/>
      <c r="O355" s="36"/>
      <c r="P355" s="36"/>
      <c r="Q355" s="36"/>
      <c r="R355" s="124" t="str">
        <f>"ベース"&amp;SUBSTITUTE(C355,"バックアップ","")</f>
        <v>ベース_検歴情報モジュール_検歴項目情報</v>
      </c>
      <c r="S355" s="125"/>
      <c r="T355" s="106" t="s">
        <v>3761</v>
      </c>
    </row>
    <row r="356" spans="2:23" ht="18.75" customHeight="1">
      <c r="C356" s="118"/>
      <c r="D356" s="119"/>
      <c r="E356" s="107"/>
      <c r="F356" s="37"/>
      <c r="G356" s="38"/>
      <c r="H356" s="37"/>
      <c r="I356" s="37"/>
      <c r="J356" s="37"/>
      <c r="K356" s="37"/>
      <c r="L356" s="37"/>
      <c r="M356" s="37"/>
      <c r="N356" s="37"/>
      <c r="O356" s="37"/>
      <c r="P356" s="37"/>
      <c r="Q356" s="37"/>
      <c r="R356" s="126"/>
      <c r="S356" s="127"/>
      <c r="T356" s="107"/>
    </row>
    <row r="357" spans="2:23" ht="18.75" customHeight="1">
      <c r="F357" s="39"/>
      <c r="G357" s="40"/>
    </row>
    <row r="358" spans="2:23" ht="18.75" customHeight="1">
      <c r="C358" s="102" t="s">
        <v>3762</v>
      </c>
      <c r="D358" s="103"/>
      <c r="E358" s="106" t="s">
        <v>3761</v>
      </c>
      <c r="G358" s="41"/>
    </row>
    <row r="359" spans="2:23" ht="18.75" customHeight="1">
      <c r="C359" s="104"/>
      <c r="D359" s="105"/>
      <c r="E359" s="107"/>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sheetData>
  <mergeCells count="240">
    <mergeCell ref="C274:D275"/>
    <mergeCell ref="E274:E275"/>
    <mergeCell ref="C262:D263"/>
    <mergeCell ref="E262:E263"/>
    <mergeCell ref="C268:U268"/>
    <mergeCell ref="C269:U269"/>
    <mergeCell ref="C271:D272"/>
    <mergeCell ref="E271:E272"/>
    <mergeCell ref="R271:S272"/>
    <mergeCell ref="T271:T272"/>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280:U280"/>
    <mergeCell ref="C281:U281"/>
    <mergeCell ref="C283:D284"/>
    <mergeCell ref="E283:E284"/>
    <mergeCell ref="R283:S284"/>
    <mergeCell ref="T283:T284"/>
    <mergeCell ref="C286:D287"/>
    <mergeCell ref="E286:E287"/>
    <mergeCell ref="C292:U292"/>
    <mergeCell ref="C293:U293"/>
    <mergeCell ref="C295:D296"/>
    <mergeCell ref="E295:E296"/>
    <mergeCell ref="R295:S296"/>
    <mergeCell ref="T295:T296"/>
    <mergeCell ref="C298:D299"/>
    <mergeCell ref="E298:E299"/>
    <mergeCell ref="C304:U304"/>
    <mergeCell ref="C305:U30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322:D323"/>
    <mergeCell ref="E322:E323"/>
    <mergeCell ref="C328:U328"/>
    <mergeCell ref="C329:U329"/>
    <mergeCell ref="C331:D332"/>
    <mergeCell ref="E331:E332"/>
    <mergeCell ref="R331:S332"/>
    <mergeCell ref="T331:T332"/>
    <mergeCell ref="C334:D335"/>
    <mergeCell ref="E334:E335"/>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03"/>
  <sheetViews>
    <sheetView showGridLines="0" zoomScaleNormal="100" workbookViewId="0">
      <pane xSplit="27" ySplit="5" topLeftCell="AB142" activePane="bottomRight" state="frozenSplit"/>
      <selection pane="topRight" activeCell="AC1" sqref="AC1"/>
      <selection pane="bottomLeft" activeCell="A6" sqref="A6"/>
      <selection pane="bottomRight"/>
    </sheetView>
  </sheetViews>
  <sheetFormatPr defaultColWidth="2.6640625" defaultRowHeight="17.399999999999999" outlineLevelRow="1"/>
  <cols>
    <col min="1" max="1" width="2.6640625" style="34" customWidth="1"/>
    <col min="2" max="6" width="2.6640625" style="65"/>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53" t="s">
        <v>138</v>
      </c>
      <c r="C1" s="154"/>
      <c r="D1" s="154"/>
      <c r="E1" s="154"/>
      <c r="F1" s="154"/>
      <c r="G1" s="154"/>
      <c r="H1" s="154"/>
      <c r="I1" s="154"/>
      <c r="J1" s="154"/>
      <c r="K1" s="154"/>
      <c r="L1" s="154"/>
      <c r="M1" s="154"/>
      <c r="N1" s="155"/>
      <c r="O1" s="159" t="s">
        <v>157</v>
      </c>
      <c r="P1" s="160"/>
      <c r="Q1" s="160"/>
      <c r="R1" s="160"/>
      <c r="S1" s="160"/>
      <c r="T1" s="160"/>
      <c r="U1" s="160"/>
      <c r="V1" s="160"/>
      <c r="W1" s="160"/>
      <c r="X1" s="160"/>
      <c r="Y1" s="160"/>
      <c r="Z1" s="160"/>
      <c r="AA1" s="160"/>
      <c r="AB1" s="160"/>
      <c r="AC1" s="160"/>
      <c r="AD1" s="161"/>
      <c r="AE1" s="159" t="s">
        <v>3303</v>
      </c>
      <c r="AF1" s="160"/>
      <c r="AG1" s="160"/>
      <c r="AH1" s="160"/>
      <c r="AI1" s="160"/>
      <c r="AJ1" s="160"/>
      <c r="AK1" s="160"/>
      <c r="AL1" s="160"/>
      <c r="AM1" s="160"/>
      <c r="AN1" s="160"/>
      <c r="AO1" s="160"/>
      <c r="AP1" s="160"/>
      <c r="AQ1" s="160"/>
      <c r="AR1" s="161"/>
      <c r="AS1" s="159"/>
      <c r="AT1" s="160"/>
      <c r="AU1" s="160"/>
      <c r="AV1" s="160"/>
      <c r="AW1" s="160"/>
      <c r="AX1" s="161"/>
      <c r="AY1" s="159"/>
      <c r="AZ1" s="160"/>
      <c r="BA1" s="160"/>
      <c r="BB1" s="160"/>
      <c r="BC1" s="160"/>
      <c r="BD1" s="161"/>
      <c r="BE1" s="159"/>
      <c r="BF1" s="160"/>
      <c r="BG1" s="160"/>
      <c r="BH1" s="160"/>
      <c r="BI1" s="160"/>
      <c r="BJ1" s="161"/>
    </row>
    <row r="2" spans="1:64">
      <c r="B2" s="156"/>
      <c r="C2" s="157"/>
      <c r="D2" s="157"/>
      <c r="E2" s="157"/>
      <c r="F2" s="157"/>
      <c r="G2" s="157"/>
      <c r="H2" s="157"/>
      <c r="I2" s="157"/>
      <c r="J2" s="157"/>
      <c r="K2" s="157"/>
      <c r="L2" s="157"/>
      <c r="M2" s="157"/>
      <c r="N2" s="158"/>
      <c r="O2" s="162" t="s">
        <v>3806</v>
      </c>
      <c r="P2" s="163"/>
      <c r="Q2" s="163"/>
      <c r="R2" s="163"/>
      <c r="S2" s="163"/>
      <c r="T2" s="163"/>
      <c r="U2" s="163"/>
      <c r="V2" s="163"/>
      <c r="W2" s="163"/>
      <c r="X2" s="163"/>
      <c r="Y2" s="163"/>
      <c r="Z2" s="163"/>
      <c r="AA2" s="163"/>
      <c r="AB2" s="163"/>
      <c r="AC2" s="163"/>
      <c r="AD2" s="164"/>
      <c r="AE2" s="162" t="s">
        <v>3807</v>
      </c>
      <c r="AF2" s="163"/>
      <c r="AG2" s="163"/>
      <c r="AH2" s="163"/>
      <c r="AI2" s="163"/>
      <c r="AJ2" s="163"/>
      <c r="AK2" s="163"/>
      <c r="AL2" s="163"/>
      <c r="AM2" s="163"/>
      <c r="AN2" s="163"/>
      <c r="AO2" s="163"/>
      <c r="AP2" s="163"/>
      <c r="AQ2" s="163"/>
      <c r="AR2" s="164"/>
      <c r="AS2" s="188"/>
      <c r="AT2" s="189"/>
      <c r="AU2" s="189"/>
      <c r="AV2" s="189"/>
      <c r="AW2" s="189"/>
      <c r="AX2" s="190"/>
      <c r="AY2" s="188"/>
      <c r="AZ2" s="189"/>
      <c r="BA2" s="189"/>
      <c r="BB2" s="189"/>
      <c r="BC2" s="189"/>
      <c r="BD2" s="190"/>
      <c r="BE2" s="188"/>
      <c r="BF2" s="189"/>
      <c r="BG2" s="189"/>
      <c r="BH2" s="189"/>
      <c r="BI2" s="189"/>
      <c r="BJ2" s="190"/>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83" t="s">
        <v>165</v>
      </c>
      <c r="C4" s="172"/>
      <c r="D4" s="172"/>
      <c r="E4" s="172"/>
      <c r="F4" s="173"/>
      <c r="G4" s="171" t="s">
        <v>164</v>
      </c>
      <c r="H4" s="172"/>
      <c r="I4" s="172"/>
      <c r="J4" s="172"/>
      <c r="K4" s="172"/>
      <c r="L4" s="172"/>
      <c r="M4" s="172"/>
      <c r="N4" s="173"/>
      <c r="O4" s="171" t="s">
        <v>160</v>
      </c>
      <c r="P4" s="165" t="s">
        <v>139</v>
      </c>
      <c r="Q4" s="166"/>
      <c r="R4" s="166"/>
      <c r="S4" s="166"/>
      <c r="T4" s="166"/>
      <c r="U4" s="166"/>
      <c r="V4" s="166"/>
      <c r="W4" s="166"/>
      <c r="X4" s="166"/>
      <c r="Y4" s="166"/>
      <c r="Z4" s="166"/>
      <c r="AA4" s="166"/>
      <c r="AB4" s="166"/>
      <c r="AC4" s="166"/>
      <c r="AD4" s="167"/>
      <c r="AE4" s="165" t="s">
        <v>136</v>
      </c>
      <c r="AF4" s="166"/>
      <c r="AG4" s="166"/>
      <c r="AH4" s="166"/>
      <c r="AI4" s="166"/>
      <c r="AJ4" s="166"/>
      <c r="AK4" s="166"/>
      <c r="AL4" s="167"/>
      <c r="AM4" s="171" t="s">
        <v>117</v>
      </c>
      <c r="AN4" s="172"/>
      <c r="AO4" s="172"/>
      <c r="AP4" s="172"/>
      <c r="AQ4" s="172"/>
      <c r="AR4" s="172"/>
      <c r="AS4" s="172"/>
      <c r="AT4" s="172"/>
      <c r="AU4" s="172"/>
      <c r="AV4" s="172"/>
      <c r="AW4" s="172"/>
      <c r="AX4" s="172"/>
      <c r="AY4" s="172"/>
      <c r="AZ4" s="172"/>
      <c r="BA4" s="172"/>
      <c r="BB4" s="172"/>
      <c r="BC4" s="172"/>
      <c r="BD4" s="172"/>
      <c r="BE4" s="172"/>
      <c r="BF4" s="172"/>
      <c r="BG4" s="172"/>
      <c r="BH4" s="172"/>
      <c r="BI4" s="172"/>
      <c r="BJ4" s="192"/>
    </row>
    <row r="5" spans="1:64" ht="42" customHeight="1" thickBot="1">
      <c r="B5" s="184"/>
      <c r="C5" s="175"/>
      <c r="D5" s="175"/>
      <c r="E5" s="175"/>
      <c r="F5" s="176"/>
      <c r="G5" s="174"/>
      <c r="H5" s="175"/>
      <c r="I5" s="175"/>
      <c r="J5" s="175"/>
      <c r="K5" s="175"/>
      <c r="L5" s="175"/>
      <c r="M5" s="175"/>
      <c r="N5" s="176"/>
      <c r="O5" s="177"/>
      <c r="P5" s="177"/>
      <c r="Q5" s="178"/>
      <c r="R5" s="178"/>
      <c r="S5" s="178"/>
      <c r="T5" s="178"/>
      <c r="U5" s="178"/>
      <c r="V5" s="178"/>
      <c r="W5" s="178"/>
      <c r="X5" s="178"/>
      <c r="Y5" s="178"/>
      <c r="Z5" s="178"/>
      <c r="AA5" s="178"/>
      <c r="AB5" s="178"/>
      <c r="AC5" s="178"/>
      <c r="AD5" s="179"/>
      <c r="AE5" s="168"/>
      <c r="AF5" s="169"/>
      <c r="AG5" s="169"/>
      <c r="AH5" s="169"/>
      <c r="AI5" s="169"/>
      <c r="AJ5" s="169"/>
      <c r="AK5" s="169"/>
      <c r="AL5" s="170"/>
      <c r="AM5" s="193"/>
      <c r="AN5" s="194"/>
      <c r="AO5" s="194"/>
      <c r="AP5" s="194"/>
      <c r="AQ5" s="194"/>
      <c r="AR5" s="194"/>
      <c r="AS5" s="194"/>
      <c r="AT5" s="194"/>
      <c r="AU5" s="194"/>
      <c r="AV5" s="194"/>
      <c r="AW5" s="194"/>
      <c r="AX5" s="194"/>
      <c r="AY5" s="194"/>
      <c r="AZ5" s="194"/>
      <c r="BA5" s="194"/>
      <c r="BB5" s="194"/>
      <c r="BC5" s="194"/>
      <c r="BD5" s="194"/>
      <c r="BE5" s="194"/>
      <c r="BF5" s="194"/>
      <c r="BG5" s="194"/>
      <c r="BH5" s="194"/>
      <c r="BI5" s="194"/>
      <c r="BJ5" s="195"/>
    </row>
    <row r="6" spans="1:64" ht="37.5" customHeight="1" outlineLevel="1" thickTop="1">
      <c r="A6" s="34" t="str">
        <f>P6</f>
        <v>バックアップ_疾患データ_組み入れ第一条件</v>
      </c>
      <c r="B6" s="143" t="str">
        <f>TEXT(1,"00")</f>
        <v>01</v>
      </c>
      <c r="C6" s="144"/>
      <c r="D6" s="144"/>
      <c r="E6" s="144"/>
      <c r="F6" s="145"/>
      <c r="G6" s="146" t="s">
        <v>196</v>
      </c>
      <c r="H6" s="147"/>
      <c r="I6" s="147"/>
      <c r="J6" s="147"/>
      <c r="K6" s="147"/>
      <c r="L6" s="147"/>
      <c r="M6" s="147"/>
      <c r="N6" s="148"/>
      <c r="O6" s="81" t="s">
        <v>3693</v>
      </c>
      <c r="P6" s="140" t="s">
        <v>3811</v>
      </c>
      <c r="Q6" s="141"/>
      <c r="R6" s="141"/>
      <c r="S6" s="141"/>
      <c r="T6" s="141"/>
      <c r="U6" s="141"/>
      <c r="V6" s="141"/>
      <c r="W6" s="141"/>
      <c r="X6" s="141"/>
      <c r="Y6" s="141"/>
      <c r="Z6" s="141"/>
      <c r="AA6" s="141"/>
      <c r="AB6" s="141"/>
      <c r="AC6" s="141"/>
      <c r="AD6" s="142"/>
      <c r="AE6" s="149" t="str">
        <f t="shared" ref="AE6" ca="1" si="0">IFERROR(INDIRECT(P6&amp;"!D8"),"")</f>
        <v>sny_202310_backup_shikkan_first_criteria</v>
      </c>
      <c r="AF6" s="150"/>
      <c r="AG6" s="150"/>
      <c r="AH6" s="150"/>
      <c r="AI6" s="150"/>
      <c r="AJ6" s="150"/>
      <c r="AK6" s="150"/>
      <c r="AL6" s="151"/>
      <c r="AM6" s="149" t="str">
        <f t="shared" ref="AM6" ca="1" si="1">IFERROR(INDIRECT(P6&amp;"!D9"),"")</f>
        <v>MML診断履歴情報からICD10コードがC900のもので絞り込んだ結果を格納するテーブル</v>
      </c>
      <c r="AN6" s="150"/>
      <c r="AO6" s="150"/>
      <c r="AP6" s="150"/>
      <c r="AQ6" s="150"/>
      <c r="AR6" s="150"/>
      <c r="AS6" s="150"/>
      <c r="AT6" s="150"/>
      <c r="AU6" s="150"/>
      <c r="AV6" s="150"/>
      <c r="AW6" s="150"/>
      <c r="AX6" s="150"/>
      <c r="AY6" s="150"/>
      <c r="AZ6" s="150"/>
      <c r="BA6" s="150"/>
      <c r="BB6" s="150"/>
      <c r="BC6" s="150"/>
      <c r="BD6" s="150"/>
      <c r="BE6" s="150"/>
      <c r="BF6" s="150"/>
      <c r="BG6" s="150"/>
      <c r="BH6" s="150"/>
      <c r="BI6" s="150"/>
      <c r="BJ6" s="152"/>
      <c r="BK6" s="32" t="str">
        <f t="shared" ref="BK6:BK7" si="2">IF(P6&lt;&gt;"",O6&amp;"_"&amp;P6&amp;".sql","")</f>
        <v>ENT_01_01_バックアップ_疾患データ_組み入れ第一条件.sql</v>
      </c>
    </row>
    <row r="7" spans="1:64" ht="37.5" customHeight="1" outlineLevel="1">
      <c r="A7" s="34" t="str">
        <f t="shared" ref="A7" si="3">P7</f>
        <v>バックアップ_患者マスタ_組入れ第一条件</v>
      </c>
      <c r="B7" s="143" t="str">
        <f t="shared" ref="B7" si="4">TEXT(1,"00")</f>
        <v>01</v>
      </c>
      <c r="C7" s="144"/>
      <c r="D7" s="144"/>
      <c r="E7" s="144"/>
      <c r="F7" s="145"/>
      <c r="G7" s="146" t="s">
        <v>196</v>
      </c>
      <c r="H7" s="147"/>
      <c r="I7" s="147"/>
      <c r="J7" s="147"/>
      <c r="K7" s="147"/>
      <c r="L7" s="147"/>
      <c r="M7" s="147"/>
      <c r="N7" s="148"/>
      <c r="O7" s="81" t="s">
        <v>3694</v>
      </c>
      <c r="P7" s="140" t="s">
        <v>3696</v>
      </c>
      <c r="Q7" s="141"/>
      <c r="R7" s="141"/>
      <c r="S7" s="141"/>
      <c r="T7" s="141"/>
      <c r="U7" s="141"/>
      <c r="V7" s="141"/>
      <c r="W7" s="141"/>
      <c r="X7" s="141"/>
      <c r="Y7" s="141"/>
      <c r="Z7" s="141"/>
      <c r="AA7" s="141"/>
      <c r="AB7" s="141"/>
      <c r="AC7" s="141"/>
      <c r="AD7" s="142"/>
      <c r="AE7" s="149" t="str">
        <f t="shared" ref="AE7" ca="1" si="5">IFERROR(INDIRECT(P7&amp;"!D8"),"")</f>
        <v>sny_202310_backup_kanja_first_criteria</v>
      </c>
      <c r="AF7" s="150"/>
      <c r="AG7" s="150"/>
      <c r="AH7" s="150"/>
      <c r="AI7" s="150"/>
      <c r="AJ7" s="150"/>
      <c r="AK7" s="150"/>
      <c r="AL7" s="151"/>
      <c r="AM7" s="149" t="str">
        <f t="shared" ref="AM7" ca="1" si="6">IFERROR(INDIRECT(P7&amp;"!D9"),"")</f>
        <v>患者マスタ_組入れ第一条件テーブルから組入れ条件の第一条件で絞り込んだ結果を格納するテーブル</v>
      </c>
      <c r="AN7" s="150"/>
      <c r="AO7" s="150"/>
      <c r="AP7" s="150"/>
      <c r="AQ7" s="150"/>
      <c r="AR7" s="150"/>
      <c r="AS7" s="150"/>
      <c r="AT7" s="150"/>
      <c r="AU7" s="150"/>
      <c r="AV7" s="150"/>
      <c r="AW7" s="150"/>
      <c r="AX7" s="150"/>
      <c r="AY7" s="150"/>
      <c r="AZ7" s="150"/>
      <c r="BA7" s="150"/>
      <c r="BB7" s="150"/>
      <c r="BC7" s="150"/>
      <c r="BD7" s="150"/>
      <c r="BE7" s="150"/>
      <c r="BF7" s="150"/>
      <c r="BG7" s="150"/>
      <c r="BH7" s="150"/>
      <c r="BI7" s="150"/>
      <c r="BJ7" s="152"/>
      <c r="BK7" s="32" t="str">
        <f t="shared" si="2"/>
        <v>ENT_01_02_バックアップ_患者マスタ_組入れ第一条件.sql</v>
      </c>
    </row>
    <row r="8" spans="1:64" ht="37.5" customHeight="1" outlineLevel="1">
      <c r="A8" s="34" t="str">
        <f t="shared" ref="A8:A19" si="7">P8</f>
        <v>バックアップ_処方データ</v>
      </c>
      <c r="B8" s="143" t="str">
        <f t="shared" ref="B8:B146" si="8">TEXT(1,"00")</f>
        <v>01</v>
      </c>
      <c r="C8" s="144"/>
      <c r="D8" s="144"/>
      <c r="E8" s="144"/>
      <c r="F8" s="145"/>
      <c r="G8" s="146" t="s">
        <v>196</v>
      </c>
      <c r="H8" s="147"/>
      <c r="I8" s="147"/>
      <c r="J8" s="147"/>
      <c r="K8" s="147"/>
      <c r="L8" s="147"/>
      <c r="M8" s="147"/>
      <c r="N8" s="148"/>
      <c r="O8" s="81" t="s">
        <v>3152</v>
      </c>
      <c r="P8" s="140" t="s">
        <v>1755</v>
      </c>
      <c r="Q8" s="141"/>
      <c r="R8" s="141"/>
      <c r="S8" s="141"/>
      <c r="T8" s="141"/>
      <c r="U8" s="141"/>
      <c r="V8" s="141"/>
      <c r="W8" s="141"/>
      <c r="X8" s="141"/>
      <c r="Y8" s="141"/>
      <c r="Z8" s="141"/>
      <c r="AA8" s="141"/>
      <c r="AB8" s="141"/>
      <c r="AC8" s="141"/>
      <c r="AD8" s="142"/>
      <c r="AE8" s="149" t="str">
        <f t="shared" ref="AE8:AE19" ca="1" si="9">IFERROR(INDIRECT(P8&amp;"!D8"),"")</f>
        <v>sny_202310_backup_mart_shohou</v>
      </c>
      <c r="AF8" s="150"/>
      <c r="AG8" s="150"/>
      <c r="AH8" s="150"/>
      <c r="AI8" s="150"/>
      <c r="AJ8" s="150"/>
      <c r="AK8" s="150"/>
      <c r="AL8" s="151"/>
      <c r="AM8" s="149" t="str">
        <f t="shared" ref="AM8:AM19" ca="1" si="10">IFERROR(INDIRECT(P8&amp;"!D9"),"")</f>
        <v>処方データテーブルから組入れ条件の第一条件で絞り込んだ結果を格納するテーブル</v>
      </c>
      <c r="AN8" s="150"/>
      <c r="AO8" s="150"/>
      <c r="AP8" s="150"/>
      <c r="AQ8" s="150"/>
      <c r="AR8" s="150"/>
      <c r="AS8" s="150"/>
      <c r="AT8" s="150"/>
      <c r="AU8" s="150"/>
      <c r="AV8" s="150"/>
      <c r="AW8" s="150"/>
      <c r="AX8" s="150"/>
      <c r="AY8" s="150"/>
      <c r="AZ8" s="150"/>
      <c r="BA8" s="150"/>
      <c r="BB8" s="150"/>
      <c r="BC8" s="150"/>
      <c r="BD8" s="150"/>
      <c r="BE8" s="150"/>
      <c r="BF8" s="150"/>
      <c r="BG8" s="150"/>
      <c r="BH8" s="150"/>
      <c r="BI8" s="150"/>
      <c r="BJ8" s="152"/>
      <c r="BK8" s="32" t="str">
        <f t="shared" ref="BK8:BK19" si="11">IF(P8&lt;&gt;"",O8&amp;"_"&amp;P8&amp;".sql","")</f>
        <v>ENT_01_A1-02_バックアップ_処方データ.sql</v>
      </c>
      <c r="BL8" s="32">
        <v>1</v>
      </c>
    </row>
    <row r="9" spans="1:64" ht="37.5" customHeight="1" outlineLevel="1">
      <c r="A9" s="34" t="str">
        <f t="shared" si="7"/>
        <v>バックアップ_診療行為データ</v>
      </c>
      <c r="B9" s="143" t="str">
        <f t="shared" si="8"/>
        <v>01</v>
      </c>
      <c r="C9" s="144"/>
      <c r="D9" s="144"/>
      <c r="E9" s="144"/>
      <c r="F9" s="145"/>
      <c r="G9" s="146" t="s">
        <v>196</v>
      </c>
      <c r="H9" s="147"/>
      <c r="I9" s="147"/>
      <c r="J9" s="147"/>
      <c r="K9" s="147"/>
      <c r="L9" s="147"/>
      <c r="M9" s="147"/>
      <c r="N9" s="148"/>
      <c r="O9" s="81" t="s">
        <v>3153</v>
      </c>
      <c r="P9" s="140" t="s">
        <v>1782</v>
      </c>
      <c r="Q9" s="141"/>
      <c r="R9" s="141"/>
      <c r="S9" s="141"/>
      <c r="T9" s="141"/>
      <c r="U9" s="141"/>
      <c r="V9" s="141"/>
      <c r="W9" s="141"/>
      <c r="X9" s="141"/>
      <c r="Y9" s="141"/>
      <c r="Z9" s="141"/>
      <c r="AA9" s="141"/>
      <c r="AB9" s="141"/>
      <c r="AC9" s="141"/>
      <c r="AD9" s="142"/>
      <c r="AE9" s="149" t="str">
        <f t="shared" ca="1" si="9"/>
        <v>sny_202310_backup_mart_shinryou_koui</v>
      </c>
      <c r="AF9" s="150"/>
      <c r="AG9" s="150"/>
      <c r="AH9" s="150"/>
      <c r="AI9" s="150"/>
      <c r="AJ9" s="150"/>
      <c r="AK9" s="150"/>
      <c r="AL9" s="151"/>
      <c r="AM9" s="149" t="str">
        <f t="shared" ca="1" si="10"/>
        <v>診療行為データテーブルから組入れ条件の第一条件で絞り込んだ結果を格納するテーブル</v>
      </c>
      <c r="AN9" s="150"/>
      <c r="AO9" s="150"/>
      <c r="AP9" s="150"/>
      <c r="AQ9" s="150"/>
      <c r="AR9" s="150"/>
      <c r="AS9" s="150"/>
      <c r="AT9" s="150"/>
      <c r="AU9" s="150"/>
      <c r="AV9" s="150"/>
      <c r="AW9" s="150"/>
      <c r="AX9" s="150"/>
      <c r="AY9" s="150"/>
      <c r="AZ9" s="150"/>
      <c r="BA9" s="150"/>
      <c r="BB9" s="150"/>
      <c r="BC9" s="150"/>
      <c r="BD9" s="150"/>
      <c r="BE9" s="150"/>
      <c r="BF9" s="150"/>
      <c r="BG9" s="150"/>
      <c r="BH9" s="150"/>
      <c r="BI9" s="150"/>
      <c r="BJ9" s="152"/>
      <c r="BK9" s="32" t="str">
        <f t="shared" si="11"/>
        <v>ENT_01_A1-03_バックアップ_診療行為データ.sql</v>
      </c>
      <c r="BL9" s="32">
        <v>1</v>
      </c>
    </row>
    <row r="10" spans="1:64" ht="37.5" customHeight="1" outlineLevel="1">
      <c r="A10" s="34" t="str">
        <f t="shared" si="7"/>
        <v>バックアップ_疾患データ</v>
      </c>
      <c r="B10" s="143" t="str">
        <f t="shared" si="8"/>
        <v>01</v>
      </c>
      <c r="C10" s="144"/>
      <c r="D10" s="144"/>
      <c r="E10" s="144"/>
      <c r="F10" s="145"/>
      <c r="G10" s="146" t="s">
        <v>196</v>
      </c>
      <c r="H10" s="147"/>
      <c r="I10" s="147"/>
      <c r="J10" s="147"/>
      <c r="K10" s="147"/>
      <c r="L10" s="147"/>
      <c r="M10" s="147"/>
      <c r="N10" s="148"/>
      <c r="O10" s="81" t="s">
        <v>3154</v>
      </c>
      <c r="P10" s="140" t="s">
        <v>1791</v>
      </c>
      <c r="Q10" s="141"/>
      <c r="R10" s="141"/>
      <c r="S10" s="141"/>
      <c r="T10" s="141"/>
      <c r="U10" s="141"/>
      <c r="V10" s="141"/>
      <c r="W10" s="141"/>
      <c r="X10" s="141"/>
      <c r="Y10" s="141"/>
      <c r="Z10" s="141"/>
      <c r="AA10" s="141"/>
      <c r="AB10" s="141"/>
      <c r="AC10" s="141"/>
      <c r="AD10" s="142"/>
      <c r="AE10" s="149" t="str">
        <f t="shared" ca="1" si="9"/>
        <v>sny_202310_backup_mart_shikkan</v>
      </c>
      <c r="AF10" s="150"/>
      <c r="AG10" s="150"/>
      <c r="AH10" s="150"/>
      <c r="AI10" s="150"/>
      <c r="AJ10" s="150"/>
      <c r="AK10" s="150"/>
      <c r="AL10" s="151"/>
      <c r="AM10" s="149" t="str">
        <f t="shared" ca="1" si="10"/>
        <v>疾患データテーブルから組入れ条件の第一条件で絞り込んだ結果を格納するテーブル</v>
      </c>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2"/>
      <c r="BK10" s="32" t="str">
        <f t="shared" si="11"/>
        <v>ENT_01_A1-04_バックアップ_疾患データ.sql</v>
      </c>
    </row>
    <row r="11" spans="1:64" ht="37.5" customHeight="1" outlineLevel="1">
      <c r="A11" s="34" t="str">
        <f t="shared" si="7"/>
        <v>バックアップ_疾患診療科データ</v>
      </c>
      <c r="B11" s="143" t="str">
        <f t="shared" si="8"/>
        <v>01</v>
      </c>
      <c r="C11" s="144"/>
      <c r="D11" s="144"/>
      <c r="E11" s="144"/>
      <c r="F11" s="145"/>
      <c r="G11" s="146" t="s">
        <v>196</v>
      </c>
      <c r="H11" s="147"/>
      <c r="I11" s="147"/>
      <c r="J11" s="147"/>
      <c r="K11" s="147"/>
      <c r="L11" s="147"/>
      <c r="M11" s="147"/>
      <c r="N11" s="148"/>
      <c r="O11" s="81" t="s">
        <v>3155</v>
      </c>
      <c r="P11" s="140" t="s">
        <v>1818</v>
      </c>
      <c r="Q11" s="141"/>
      <c r="R11" s="141"/>
      <c r="S11" s="141"/>
      <c r="T11" s="141"/>
      <c r="U11" s="141"/>
      <c r="V11" s="141"/>
      <c r="W11" s="141"/>
      <c r="X11" s="141"/>
      <c r="Y11" s="141"/>
      <c r="Z11" s="141"/>
      <c r="AA11" s="141"/>
      <c r="AB11" s="141"/>
      <c r="AC11" s="141"/>
      <c r="AD11" s="142"/>
      <c r="AE11" s="149" t="str">
        <f t="shared" ca="1" si="9"/>
        <v>sny_202310_backup_mart_shikkan_department</v>
      </c>
      <c r="AF11" s="150"/>
      <c r="AG11" s="150"/>
      <c r="AH11" s="150"/>
      <c r="AI11" s="150"/>
      <c r="AJ11" s="150"/>
      <c r="AK11" s="150"/>
      <c r="AL11" s="151"/>
      <c r="AM11" s="149" t="str">
        <f t="shared" ca="1" si="10"/>
        <v>疾患診療科データテーブルから組入れ条件の第一条件で絞り込んだ結果を格納するテーブル</v>
      </c>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2"/>
      <c r="BK11" s="32" t="str">
        <f t="shared" si="11"/>
        <v>ENT_01_A1-05_バックアップ_疾患診療科データ.sql</v>
      </c>
    </row>
    <row r="12" spans="1:64" ht="37.5" customHeight="1" outlineLevel="1">
      <c r="A12" s="34" t="str">
        <f t="shared" si="7"/>
        <v>バックアップ_入院退院データ</v>
      </c>
      <c r="B12" s="143" t="str">
        <f t="shared" si="8"/>
        <v>01</v>
      </c>
      <c r="C12" s="144"/>
      <c r="D12" s="144"/>
      <c r="E12" s="144"/>
      <c r="F12" s="145"/>
      <c r="G12" s="146" t="s">
        <v>196</v>
      </c>
      <c r="H12" s="147"/>
      <c r="I12" s="147"/>
      <c r="J12" s="147"/>
      <c r="K12" s="147"/>
      <c r="L12" s="147"/>
      <c r="M12" s="147"/>
      <c r="N12" s="148"/>
      <c r="O12" s="81" t="s">
        <v>3156</v>
      </c>
      <c r="P12" s="140" t="s">
        <v>1826</v>
      </c>
      <c r="Q12" s="141"/>
      <c r="R12" s="141"/>
      <c r="S12" s="141"/>
      <c r="T12" s="141"/>
      <c r="U12" s="141"/>
      <c r="V12" s="141"/>
      <c r="W12" s="141"/>
      <c r="X12" s="141"/>
      <c r="Y12" s="141"/>
      <c r="Z12" s="141"/>
      <c r="AA12" s="141"/>
      <c r="AB12" s="141"/>
      <c r="AC12" s="141"/>
      <c r="AD12" s="142"/>
      <c r="AE12" s="149" t="str">
        <f t="shared" ca="1" si="9"/>
        <v>sny_202310_backup_mart_nyu_tai_in</v>
      </c>
      <c r="AF12" s="150"/>
      <c r="AG12" s="150"/>
      <c r="AH12" s="150"/>
      <c r="AI12" s="150"/>
      <c r="AJ12" s="150"/>
      <c r="AK12" s="150"/>
      <c r="AL12" s="151"/>
      <c r="AM12" s="149" t="str">
        <f t="shared" ca="1" si="10"/>
        <v>入院退院データテーブルから組入れ条件の第一条件で絞り込んだ結果を格納するテーブル</v>
      </c>
      <c r="AN12" s="150"/>
      <c r="AO12" s="150"/>
      <c r="AP12" s="150"/>
      <c r="AQ12" s="150"/>
      <c r="AR12" s="150"/>
      <c r="AS12" s="150"/>
      <c r="AT12" s="150"/>
      <c r="AU12" s="150"/>
      <c r="AV12" s="150"/>
      <c r="AW12" s="150"/>
      <c r="AX12" s="150"/>
      <c r="AY12" s="150"/>
      <c r="AZ12" s="150"/>
      <c r="BA12" s="150"/>
      <c r="BB12" s="150"/>
      <c r="BC12" s="150"/>
      <c r="BD12" s="150"/>
      <c r="BE12" s="150"/>
      <c r="BF12" s="150"/>
      <c r="BG12" s="150"/>
      <c r="BH12" s="150"/>
      <c r="BI12" s="150"/>
      <c r="BJ12" s="152"/>
      <c r="BK12" s="32" t="str">
        <f t="shared" si="11"/>
        <v>ENT_01_A1-06_バックアップ_入院退院データ.sql</v>
      </c>
      <c r="BL12" s="32">
        <v>1</v>
      </c>
    </row>
    <row r="13" spans="1:64" ht="37.5" customHeight="1" outlineLevel="1">
      <c r="A13" s="34" t="str">
        <f t="shared" si="7"/>
        <v>バックアップ_二次利用DB登録患者データ</v>
      </c>
      <c r="B13" s="143" t="str">
        <f t="shared" si="8"/>
        <v>01</v>
      </c>
      <c r="C13" s="144"/>
      <c r="D13" s="144"/>
      <c r="E13" s="144"/>
      <c r="F13" s="145"/>
      <c r="G13" s="146" t="s">
        <v>196</v>
      </c>
      <c r="H13" s="147"/>
      <c r="I13" s="147"/>
      <c r="J13" s="147"/>
      <c r="K13" s="147"/>
      <c r="L13" s="147"/>
      <c r="M13" s="147"/>
      <c r="N13" s="148"/>
      <c r="O13" s="81" t="s">
        <v>3157</v>
      </c>
      <c r="P13" s="140" t="s">
        <v>1839</v>
      </c>
      <c r="Q13" s="141"/>
      <c r="R13" s="141"/>
      <c r="S13" s="141"/>
      <c r="T13" s="141"/>
      <c r="U13" s="141"/>
      <c r="V13" s="141"/>
      <c r="W13" s="141"/>
      <c r="X13" s="141"/>
      <c r="Y13" s="141"/>
      <c r="Z13" s="141"/>
      <c r="AA13" s="141"/>
      <c r="AB13" s="141"/>
      <c r="AC13" s="141"/>
      <c r="AD13" s="142"/>
      <c r="AE13" s="149" t="str">
        <f t="shared" ca="1" si="9"/>
        <v>sny_202310_backup_mart_2riyo_patient_id</v>
      </c>
      <c r="AF13" s="150"/>
      <c r="AG13" s="150"/>
      <c r="AH13" s="150"/>
      <c r="AI13" s="150"/>
      <c r="AJ13" s="150"/>
      <c r="AK13" s="150"/>
      <c r="AL13" s="151"/>
      <c r="AM13" s="149" t="str">
        <f t="shared" ca="1" si="10"/>
        <v>二次利用DB登録患者データテーブルから組入れ条件の第一条件で絞り込んだ結果を格納するテーブル</v>
      </c>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2"/>
      <c r="BK13" s="32" t="str">
        <f t="shared" si="11"/>
        <v>ENT_01_A1-07_バックアップ_二次利用DB登録患者データ.sql</v>
      </c>
    </row>
    <row r="14" spans="1:64" ht="37.5" customHeight="1" outlineLevel="1">
      <c r="A14" s="34" t="str">
        <f t="shared" si="7"/>
        <v>バックアップ_二次利用DB登録患者データ_DPC</v>
      </c>
      <c r="B14" s="143" t="str">
        <f t="shared" si="8"/>
        <v>01</v>
      </c>
      <c r="C14" s="144"/>
      <c r="D14" s="144"/>
      <c r="E14" s="144"/>
      <c r="F14" s="145"/>
      <c r="G14" s="146" t="s">
        <v>196</v>
      </c>
      <c r="H14" s="147"/>
      <c r="I14" s="147"/>
      <c r="J14" s="147"/>
      <c r="K14" s="147"/>
      <c r="L14" s="147"/>
      <c r="M14" s="147"/>
      <c r="N14" s="148"/>
      <c r="O14" s="81" t="s">
        <v>3158</v>
      </c>
      <c r="P14" s="140" t="s">
        <v>1845</v>
      </c>
      <c r="Q14" s="141"/>
      <c r="R14" s="141"/>
      <c r="S14" s="141"/>
      <c r="T14" s="141"/>
      <c r="U14" s="141"/>
      <c r="V14" s="141"/>
      <c r="W14" s="141"/>
      <c r="X14" s="141"/>
      <c r="Y14" s="141"/>
      <c r="Z14" s="141"/>
      <c r="AA14" s="141"/>
      <c r="AB14" s="141"/>
      <c r="AC14" s="141"/>
      <c r="AD14" s="142"/>
      <c r="AE14" s="149" t="str">
        <f t="shared" ca="1" si="9"/>
        <v>sny_202310_backup_mart_2riyo_patient_id_dpc</v>
      </c>
      <c r="AF14" s="150"/>
      <c r="AG14" s="150"/>
      <c r="AH14" s="150"/>
      <c r="AI14" s="150"/>
      <c r="AJ14" s="150"/>
      <c r="AK14" s="150"/>
      <c r="AL14" s="151"/>
      <c r="AM14" s="149" t="str">
        <f t="shared" ca="1" si="10"/>
        <v>二次利用DB登録患者データ_DPCテーブルから組入れ条件の第一条件で絞り込んだ結果を格納するテーブル</v>
      </c>
      <c r="AN14" s="150"/>
      <c r="AO14" s="150"/>
      <c r="AP14" s="150"/>
      <c r="AQ14" s="150"/>
      <c r="AR14" s="150"/>
      <c r="AS14" s="150"/>
      <c r="AT14" s="150"/>
      <c r="AU14" s="150"/>
      <c r="AV14" s="150"/>
      <c r="AW14" s="150"/>
      <c r="AX14" s="150"/>
      <c r="AY14" s="150"/>
      <c r="AZ14" s="150"/>
      <c r="BA14" s="150"/>
      <c r="BB14" s="150"/>
      <c r="BC14" s="150"/>
      <c r="BD14" s="150"/>
      <c r="BE14" s="150"/>
      <c r="BF14" s="150"/>
      <c r="BG14" s="150"/>
      <c r="BH14" s="150"/>
      <c r="BI14" s="150"/>
      <c r="BJ14" s="152"/>
      <c r="BK14" s="32" t="str">
        <f t="shared" si="11"/>
        <v>ENT_01_A1-08_バックアップ_二次利用DB登録患者データ_DPC.sql</v>
      </c>
    </row>
    <row r="15" spans="1:64" ht="37.5" customHeight="1" outlineLevel="1">
      <c r="A15" s="34" t="str">
        <f t="shared" si="7"/>
        <v>バックアップ_二次利用DB登録患者データ_レセプト</v>
      </c>
      <c r="B15" s="143" t="str">
        <f t="shared" si="8"/>
        <v>01</v>
      </c>
      <c r="C15" s="144"/>
      <c r="D15" s="144"/>
      <c r="E15" s="144"/>
      <c r="F15" s="145"/>
      <c r="G15" s="146" t="s">
        <v>196</v>
      </c>
      <c r="H15" s="147"/>
      <c r="I15" s="147"/>
      <c r="J15" s="147"/>
      <c r="K15" s="147"/>
      <c r="L15" s="147"/>
      <c r="M15" s="147"/>
      <c r="N15" s="148"/>
      <c r="O15" s="81" t="s">
        <v>3159</v>
      </c>
      <c r="P15" s="140" t="s">
        <v>1855</v>
      </c>
      <c r="Q15" s="141"/>
      <c r="R15" s="141"/>
      <c r="S15" s="141"/>
      <c r="T15" s="141"/>
      <c r="U15" s="141"/>
      <c r="V15" s="141"/>
      <c r="W15" s="141"/>
      <c r="X15" s="141"/>
      <c r="Y15" s="141"/>
      <c r="Z15" s="141"/>
      <c r="AA15" s="141"/>
      <c r="AB15" s="141"/>
      <c r="AC15" s="141"/>
      <c r="AD15" s="142"/>
      <c r="AE15" s="149" t="str">
        <f t="shared" ca="1" si="9"/>
        <v>sny_202310_backup_mart_2riyo_patient_id_rcp</v>
      </c>
      <c r="AF15" s="150"/>
      <c r="AG15" s="150"/>
      <c r="AH15" s="150"/>
      <c r="AI15" s="150"/>
      <c r="AJ15" s="150"/>
      <c r="AK15" s="150"/>
      <c r="AL15" s="151"/>
      <c r="AM15" s="149" t="str">
        <f t="shared" ca="1" si="10"/>
        <v>二次利用DB登録患者データ_レセプトテーブルから組入れ条件の第一条件で絞り込んだ結果を格納するテーブル</v>
      </c>
      <c r="AN15" s="150"/>
      <c r="AO15" s="150"/>
      <c r="AP15" s="150"/>
      <c r="AQ15" s="150"/>
      <c r="AR15" s="150"/>
      <c r="AS15" s="150"/>
      <c r="AT15" s="150"/>
      <c r="AU15" s="150"/>
      <c r="AV15" s="150"/>
      <c r="AW15" s="150"/>
      <c r="AX15" s="150"/>
      <c r="AY15" s="150"/>
      <c r="AZ15" s="150"/>
      <c r="BA15" s="150"/>
      <c r="BB15" s="150"/>
      <c r="BC15" s="150"/>
      <c r="BD15" s="150"/>
      <c r="BE15" s="150"/>
      <c r="BF15" s="150"/>
      <c r="BG15" s="150"/>
      <c r="BH15" s="150"/>
      <c r="BI15" s="150"/>
      <c r="BJ15" s="152"/>
      <c r="BK15" s="32" t="str">
        <f t="shared" si="11"/>
        <v>ENT_01_A1-09_バックアップ_二次利用DB登録患者データ_レセプト.sql</v>
      </c>
    </row>
    <row r="16" spans="1:64" ht="37.5" customHeight="1" outlineLevel="1">
      <c r="A16" s="34" t="str">
        <f t="shared" si="7"/>
        <v>バックアップ_二次利用DB登録患者データ_MML</v>
      </c>
      <c r="B16" s="143" t="str">
        <f t="shared" si="8"/>
        <v>01</v>
      </c>
      <c r="C16" s="144"/>
      <c r="D16" s="144"/>
      <c r="E16" s="144"/>
      <c r="F16" s="145"/>
      <c r="G16" s="146" t="s">
        <v>196</v>
      </c>
      <c r="H16" s="147"/>
      <c r="I16" s="147"/>
      <c r="J16" s="147"/>
      <c r="K16" s="147"/>
      <c r="L16" s="147"/>
      <c r="M16" s="147"/>
      <c r="N16" s="148"/>
      <c r="O16" s="81" t="s">
        <v>3160</v>
      </c>
      <c r="P16" s="140" t="s">
        <v>1858</v>
      </c>
      <c r="Q16" s="141"/>
      <c r="R16" s="141"/>
      <c r="S16" s="141"/>
      <c r="T16" s="141"/>
      <c r="U16" s="141"/>
      <c r="V16" s="141"/>
      <c r="W16" s="141"/>
      <c r="X16" s="141"/>
      <c r="Y16" s="141"/>
      <c r="Z16" s="141"/>
      <c r="AA16" s="141"/>
      <c r="AB16" s="141"/>
      <c r="AC16" s="141"/>
      <c r="AD16" s="142"/>
      <c r="AE16" s="149" t="str">
        <f t="shared" ca="1" si="9"/>
        <v>sny_202310_backup_mart_2riyo_patient_id_mml</v>
      </c>
      <c r="AF16" s="150"/>
      <c r="AG16" s="150"/>
      <c r="AH16" s="150"/>
      <c r="AI16" s="150"/>
      <c r="AJ16" s="150"/>
      <c r="AK16" s="150"/>
      <c r="AL16" s="151"/>
      <c r="AM16" s="149" t="str">
        <f t="shared" ca="1" si="10"/>
        <v>二次利用DB登録患者データ_MMLテーブルから組入れ条件の第一条件で絞り込んだ結果を格納するテーブル</v>
      </c>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2"/>
      <c r="BK16" s="32" t="str">
        <f t="shared" si="11"/>
        <v>ENT_01_A1-10_バックアップ_二次利用DB登録患者データ_MML.sql</v>
      </c>
    </row>
    <row r="17" spans="1:64" ht="37.5" customHeight="1" outlineLevel="1">
      <c r="A17" s="34" t="str">
        <f t="shared" si="7"/>
        <v>バックアップ_二次利用DB登録患者紐付けデータ</v>
      </c>
      <c r="B17" s="143" t="str">
        <f t="shared" si="8"/>
        <v>01</v>
      </c>
      <c r="C17" s="144"/>
      <c r="D17" s="144"/>
      <c r="E17" s="144"/>
      <c r="F17" s="145"/>
      <c r="G17" s="146" t="s">
        <v>196</v>
      </c>
      <c r="H17" s="147"/>
      <c r="I17" s="147"/>
      <c r="J17" s="147"/>
      <c r="K17" s="147"/>
      <c r="L17" s="147"/>
      <c r="M17" s="147"/>
      <c r="N17" s="148"/>
      <c r="O17" s="81" t="s">
        <v>3161</v>
      </c>
      <c r="P17" s="140" t="s">
        <v>1862</v>
      </c>
      <c r="Q17" s="141"/>
      <c r="R17" s="141"/>
      <c r="S17" s="141"/>
      <c r="T17" s="141"/>
      <c r="U17" s="141"/>
      <c r="V17" s="141"/>
      <c r="W17" s="141"/>
      <c r="X17" s="141"/>
      <c r="Y17" s="141"/>
      <c r="Z17" s="141"/>
      <c r="AA17" s="141"/>
      <c r="AB17" s="141"/>
      <c r="AC17" s="141"/>
      <c r="AD17" s="142"/>
      <c r="AE17" s="149" t="str">
        <f t="shared" ca="1" si="9"/>
        <v>sny_202310_backup_mart_2riyo_patient_himoduke</v>
      </c>
      <c r="AF17" s="150"/>
      <c r="AG17" s="150"/>
      <c r="AH17" s="150"/>
      <c r="AI17" s="150"/>
      <c r="AJ17" s="150"/>
      <c r="AK17" s="150"/>
      <c r="AL17" s="151"/>
      <c r="AM17" s="149" t="str">
        <f t="shared" ca="1" si="10"/>
        <v>二次利用DB登録患者紐付けデータテーブルから組入れ条件の第一条件で絞り込んだ結果を格納するテーブル</v>
      </c>
      <c r="AN17" s="150"/>
      <c r="AO17" s="150"/>
      <c r="AP17" s="150"/>
      <c r="AQ17" s="150"/>
      <c r="AR17" s="150"/>
      <c r="AS17" s="150"/>
      <c r="AT17" s="150"/>
      <c r="AU17" s="150"/>
      <c r="AV17" s="150"/>
      <c r="AW17" s="150"/>
      <c r="AX17" s="150"/>
      <c r="AY17" s="150"/>
      <c r="AZ17" s="150"/>
      <c r="BA17" s="150"/>
      <c r="BB17" s="150"/>
      <c r="BC17" s="150"/>
      <c r="BD17" s="150"/>
      <c r="BE17" s="150"/>
      <c r="BF17" s="150"/>
      <c r="BG17" s="150"/>
      <c r="BH17" s="150"/>
      <c r="BI17" s="150"/>
      <c r="BJ17" s="152"/>
      <c r="BK17" s="32" t="str">
        <f t="shared" si="11"/>
        <v>ENT_01_A1-11_バックアップ_二次利用DB登録患者紐付けデータ.sql</v>
      </c>
    </row>
    <row r="18" spans="1:64" ht="37.5" customHeight="1" outlineLevel="1">
      <c r="A18" s="34" t="str">
        <f t="shared" si="7"/>
        <v>バックアップ_エラー患者データ</v>
      </c>
      <c r="B18" s="143" t="str">
        <f t="shared" si="8"/>
        <v>01</v>
      </c>
      <c r="C18" s="144"/>
      <c r="D18" s="144"/>
      <c r="E18" s="144"/>
      <c r="F18" s="145"/>
      <c r="G18" s="146" t="s">
        <v>196</v>
      </c>
      <c r="H18" s="147"/>
      <c r="I18" s="147"/>
      <c r="J18" s="147"/>
      <c r="K18" s="147"/>
      <c r="L18" s="147"/>
      <c r="M18" s="147"/>
      <c r="N18" s="148"/>
      <c r="O18" s="81" t="s">
        <v>3162</v>
      </c>
      <c r="P18" s="140" t="s">
        <v>1868</v>
      </c>
      <c r="Q18" s="141"/>
      <c r="R18" s="141"/>
      <c r="S18" s="141"/>
      <c r="T18" s="141"/>
      <c r="U18" s="141"/>
      <c r="V18" s="141"/>
      <c r="W18" s="141"/>
      <c r="X18" s="141"/>
      <c r="Y18" s="141"/>
      <c r="Z18" s="141"/>
      <c r="AA18" s="141"/>
      <c r="AB18" s="141"/>
      <c r="AC18" s="141"/>
      <c r="AD18" s="142"/>
      <c r="AE18" s="149" t="str">
        <f t="shared" ca="1" si="9"/>
        <v>sny_202310_backup_mart_error_patient</v>
      </c>
      <c r="AF18" s="150"/>
      <c r="AG18" s="150"/>
      <c r="AH18" s="150"/>
      <c r="AI18" s="150"/>
      <c r="AJ18" s="150"/>
      <c r="AK18" s="150"/>
      <c r="AL18" s="151"/>
      <c r="AM18" s="149" t="str">
        <f t="shared" ca="1" si="10"/>
        <v>エラー患者データテーブルから組入れ条件の第一条件で絞り込んだ結果を格納するテーブル</v>
      </c>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2"/>
      <c r="BK18" s="32" t="str">
        <f t="shared" si="11"/>
        <v>ENT_01_A1-13_バックアップ_エラー患者データ.sql</v>
      </c>
    </row>
    <row r="19" spans="1:64" ht="37.5" customHeight="1" outlineLevel="1">
      <c r="A19" s="34" t="str">
        <f t="shared" si="7"/>
        <v>バックアップ_患者基本データ</v>
      </c>
      <c r="B19" s="143" t="str">
        <f t="shared" si="8"/>
        <v>01</v>
      </c>
      <c r="C19" s="144"/>
      <c r="D19" s="144"/>
      <c r="E19" s="144"/>
      <c r="F19" s="145"/>
      <c r="G19" s="146" t="s">
        <v>196</v>
      </c>
      <c r="H19" s="147"/>
      <c r="I19" s="147"/>
      <c r="J19" s="147"/>
      <c r="K19" s="147"/>
      <c r="L19" s="147"/>
      <c r="M19" s="147"/>
      <c r="N19" s="148"/>
      <c r="O19" s="81" t="s">
        <v>3163</v>
      </c>
      <c r="P19" s="140" t="s">
        <v>1869</v>
      </c>
      <c r="Q19" s="141"/>
      <c r="R19" s="141"/>
      <c r="S19" s="141"/>
      <c r="T19" s="141"/>
      <c r="U19" s="141"/>
      <c r="V19" s="141"/>
      <c r="W19" s="141"/>
      <c r="X19" s="141"/>
      <c r="Y19" s="141"/>
      <c r="Z19" s="141"/>
      <c r="AA19" s="141"/>
      <c r="AB19" s="141"/>
      <c r="AC19" s="141"/>
      <c r="AD19" s="142"/>
      <c r="AE19" s="149" t="str">
        <f t="shared" ca="1" si="9"/>
        <v>sny_202310_backup_mart_patient_basic</v>
      </c>
      <c r="AF19" s="150"/>
      <c r="AG19" s="150"/>
      <c r="AH19" s="150"/>
      <c r="AI19" s="150"/>
      <c r="AJ19" s="150"/>
      <c r="AK19" s="150"/>
      <c r="AL19" s="151"/>
      <c r="AM19" s="149" t="str">
        <f t="shared" ca="1" si="10"/>
        <v>患者基本データテーブルから組入れ条件の第一条件で絞り込んだ結果を格納するテーブル</v>
      </c>
      <c r="AN19" s="150"/>
      <c r="AO19" s="150"/>
      <c r="AP19" s="150"/>
      <c r="AQ19" s="150"/>
      <c r="AR19" s="150"/>
      <c r="AS19" s="150"/>
      <c r="AT19" s="150"/>
      <c r="AU19" s="150"/>
      <c r="AV19" s="150"/>
      <c r="AW19" s="150"/>
      <c r="AX19" s="150"/>
      <c r="AY19" s="150"/>
      <c r="AZ19" s="150"/>
      <c r="BA19" s="150"/>
      <c r="BB19" s="150"/>
      <c r="BC19" s="150"/>
      <c r="BD19" s="150"/>
      <c r="BE19" s="150"/>
      <c r="BF19" s="150"/>
      <c r="BG19" s="150"/>
      <c r="BH19" s="150"/>
      <c r="BI19" s="150"/>
      <c r="BJ19" s="152"/>
      <c r="BK19" s="32" t="str">
        <f t="shared" si="11"/>
        <v>ENT_01_A1-14_バックアップ_患者基本データ.sql</v>
      </c>
      <c r="BL19" s="32">
        <v>1</v>
      </c>
    </row>
    <row r="20" spans="1:64" ht="37.5" customHeight="1" outlineLevel="1">
      <c r="A20" s="34" t="str">
        <f t="shared" ref="A20:A71" si="12">P20</f>
        <v>バックアップ_施設属性マスタ取込用</v>
      </c>
      <c r="B20" s="143" t="str">
        <f t="shared" si="8"/>
        <v>01</v>
      </c>
      <c r="C20" s="144"/>
      <c r="D20" s="144"/>
      <c r="E20" s="144"/>
      <c r="F20" s="145"/>
      <c r="G20" s="146" t="s">
        <v>196</v>
      </c>
      <c r="H20" s="147"/>
      <c r="I20" s="147"/>
      <c r="J20" s="147"/>
      <c r="K20" s="147"/>
      <c r="L20" s="147"/>
      <c r="M20" s="147"/>
      <c r="N20" s="148"/>
      <c r="O20" s="81" t="s">
        <v>3164</v>
      </c>
      <c r="P20" s="140" t="s">
        <v>1875</v>
      </c>
      <c r="Q20" s="141"/>
      <c r="R20" s="141"/>
      <c r="S20" s="141"/>
      <c r="T20" s="141"/>
      <c r="U20" s="141"/>
      <c r="V20" s="141"/>
      <c r="W20" s="141"/>
      <c r="X20" s="141"/>
      <c r="Y20" s="141"/>
      <c r="Z20" s="141"/>
      <c r="AA20" s="141"/>
      <c r="AB20" s="141"/>
      <c r="AC20" s="141"/>
      <c r="AD20" s="142"/>
      <c r="AE20" s="149" t="str">
        <f t="shared" ref="AE20:AE71" ca="1" si="13">IFERROR(INDIRECT(P20&amp;"!D8"),"")</f>
        <v>sny_202310_backup_mt_shisetsu_zokusei</v>
      </c>
      <c r="AF20" s="150"/>
      <c r="AG20" s="150"/>
      <c r="AH20" s="150"/>
      <c r="AI20" s="150"/>
      <c r="AJ20" s="150"/>
      <c r="AK20" s="150"/>
      <c r="AL20" s="151"/>
      <c r="AM20" s="149" t="str">
        <f t="shared" ref="AM20:AM71" ca="1" si="14">IFERROR(INDIRECT(P20&amp;"!D9"),"")</f>
        <v>施設属性マスタ取込用テーブルから組入れ条件の第一条件で絞り込んだ結果を格納するテーブル</v>
      </c>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2"/>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43" t="str">
        <f t="shared" si="8"/>
        <v>01</v>
      </c>
      <c r="C21" s="144"/>
      <c r="D21" s="144"/>
      <c r="E21" s="144"/>
      <c r="F21" s="145"/>
      <c r="G21" s="146" t="s">
        <v>196</v>
      </c>
      <c r="H21" s="147"/>
      <c r="I21" s="147"/>
      <c r="J21" s="147"/>
      <c r="K21" s="147"/>
      <c r="L21" s="147"/>
      <c r="M21" s="147"/>
      <c r="N21" s="148"/>
      <c r="O21" s="81" t="s">
        <v>3165</v>
      </c>
      <c r="P21" s="140" t="s">
        <v>1911</v>
      </c>
      <c r="Q21" s="141"/>
      <c r="R21" s="141"/>
      <c r="S21" s="141"/>
      <c r="T21" s="141"/>
      <c r="U21" s="141"/>
      <c r="V21" s="141"/>
      <c r="W21" s="141"/>
      <c r="X21" s="141"/>
      <c r="Y21" s="141"/>
      <c r="Z21" s="141"/>
      <c r="AA21" s="141"/>
      <c r="AB21" s="141"/>
      <c r="AC21" s="141"/>
      <c r="AD21" s="142"/>
      <c r="AE21" s="149" t="str">
        <f t="shared" ca="1" si="13"/>
        <v>sny_202310_backup_mt_iryouken2</v>
      </c>
      <c r="AF21" s="150"/>
      <c r="AG21" s="150"/>
      <c r="AH21" s="150"/>
      <c r="AI21" s="150"/>
      <c r="AJ21" s="150"/>
      <c r="AK21" s="150"/>
      <c r="AL21" s="151"/>
      <c r="AM21" s="149" t="str">
        <f t="shared" ca="1" si="14"/>
        <v>二次医療圏マスタ取込用テーブルから組入れ条件の第一条件で絞り込んだ結果を格納するテーブル</v>
      </c>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2"/>
      <c r="BK21" s="32" t="str">
        <f t="shared" si="15"/>
        <v>ENT_01_A3-03_バックアップ_二次医療圏マスタ取込用.sql</v>
      </c>
    </row>
    <row r="22" spans="1:64" ht="37.5" customHeight="1" outlineLevel="1">
      <c r="A22" s="34" t="str">
        <f t="shared" si="12"/>
        <v>バックアップ_新旧医薬品コードマスタ取込用</v>
      </c>
      <c r="B22" s="143" t="str">
        <f t="shared" si="8"/>
        <v>01</v>
      </c>
      <c r="C22" s="144"/>
      <c r="D22" s="144"/>
      <c r="E22" s="144"/>
      <c r="F22" s="145"/>
      <c r="G22" s="146" t="s">
        <v>196</v>
      </c>
      <c r="H22" s="147"/>
      <c r="I22" s="147"/>
      <c r="J22" s="147"/>
      <c r="K22" s="147"/>
      <c r="L22" s="147"/>
      <c r="M22" s="147"/>
      <c r="N22" s="148"/>
      <c r="O22" s="81" t="s">
        <v>3166</v>
      </c>
      <c r="P22" s="140" t="s">
        <v>1931</v>
      </c>
      <c r="Q22" s="141"/>
      <c r="R22" s="141"/>
      <c r="S22" s="141"/>
      <c r="T22" s="141"/>
      <c r="U22" s="141"/>
      <c r="V22" s="141"/>
      <c r="W22" s="141"/>
      <c r="X22" s="141"/>
      <c r="Y22" s="141"/>
      <c r="Z22" s="141"/>
      <c r="AA22" s="141"/>
      <c r="AB22" s="141"/>
      <c r="AC22" s="141"/>
      <c r="AD22" s="142"/>
      <c r="AE22" s="149" t="str">
        <f t="shared" ca="1" si="13"/>
        <v>sny_202310_backup_mt_old_new_iyakuhin</v>
      </c>
      <c r="AF22" s="150"/>
      <c r="AG22" s="150"/>
      <c r="AH22" s="150"/>
      <c r="AI22" s="150"/>
      <c r="AJ22" s="150"/>
      <c r="AK22" s="150"/>
      <c r="AL22" s="151"/>
      <c r="AM22" s="149" t="str">
        <f t="shared" ca="1" si="14"/>
        <v>新旧医薬品コードマスタ取込用テーブルから組入れ条件の第一条件で絞り込んだ結果を格納するテーブル</v>
      </c>
      <c r="AN22" s="150"/>
      <c r="AO22" s="150"/>
      <c r="AP22" s="150"/>
      <c r="AQ22" s="150"/>
      <c r="AR22" s="150"/>
      <c r="AS22" s="150"/>
      <c r="AT22" s="150"/>
      <c r="AU22" s="150"/>
      <c r="AV22" s="150"/>
      <c r="AW22" s="150"/>
      <c r="AX22" s="150"/>
      <c r="AY22" s="150"/>
      <c r="AZ22" s="150"/>
      <c r="BA22" s="150"/>
      <c r="BB22" s="150"/>
      <c r="BC22" s="150"/>
      <c r="BD22" s="150"/>
      <c r="BE22" s="150"/>
      <c r="BF22" s="150"/>
      <c r="BG22" s="150"/>
      <c r="BH22" s="150"/>
      <c r="BI22" s="150"/>
      <c r="BJ22" s="152"/>
      <c r="BK22" s="32" t="str">
        <f t="shared" si="15"/>
        <v>ENT_01_A3-04_バックアップ_新旧医薬品コードマスタ取込用.sql</v>
      </c>
    </row>
    <row r="23" spans="1:64" ht="37.5" customHeight="1" outlineLevel="1">
      <c r="A23" s="34" t="str">
        <f t="shared" si="12"/>
        <v>バックアップ_DPC6ICD10対応表マスタ取込用</v>
      </c>
      <c r="B23" s="143" t="str">
        <f t="shared" si="8"/>
        <v>01</v>
      </c>
      <c r="C23" s="144"/>
      <c r="D23" s="144"/>
      <c r="E23" s="144"/>
      <c r="F23" s="145"/>
      <c r="G23" s="146" t="s">
        <v>196</v>
      </c>
      <c r="H23" s="147"/>
      <c r="I23" s="147"/>
      <c r="J23" s="147"/>
      <c r="K23" s="147"/>
      <c r="L23" s="147"/>
      <c r="M23" s="147"/>
      <c r="N23" s="148"/>
      <c r="O23" s="81" t="s">
        <v>3167</v>
      </c>
      <c r="P23" s="140" t="s">
        <v>1945</v>
      </c>
      <c r="Q23" s="141"/>
      <c r="R23" s="141"/>
      <c r="S23" s="141"/>
      <c r="T23" s="141"/>
      <c r="U23" s="141"/>
      <c r="V23" s="141"/>
      <c r="W23" s="141"/>
      <c r="X23" s="141"/>
      <c r="Y23" s="141"/>
      <c r="Z23" s="141"/>
      <c r="AA23" s="141"/>
      <c r="AB23" s="141"/>
      <c r="AC23" s="141"/>
      <c r="AD23" s="142"/>
      <c r="AE23" s="149" t="str">
        <f t="shared" ca="1" si="13"/>
        <v>sny_202310_backup_mt_dpc6_icd</v>
      </c>
      <c r="AF23" s="150"/>
      <c r="AG23" s="150"/>
      <c r="AH23" s="150"/>
      <c r="AI23" s="150"/>
      <c r="AJ23" s="150"/>
      <c r="AK23" s="150"/>
      <c r="AL23" s="151"/>
      <c r="AM23" s="149" t="str">
        <f t="shared" ca="1" si="14"/>
        <v>DPC6ICD10対応表マスタ取込用テーブルから組入れ条件の第一条件で絞り込んだ結果を格納するテーブル</v>
      </c>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2"/>
      <c r="BK23" s="32" t="str">
        <f t="shared" si="15"/>
        <v>ENT_01_A3-05_バックアップ_DPC6ICD10対応表マスタ取込用.sql</v>
      </c>
    </row>
    <row r="24" spans="1:64" ht="37.5" customHeight="1" outlineLevel="1">
      <c r="A24" s="34" t="str">
        <f t="shared" si="12"/>
        <v>バックアップ_修飾語マスタ取込用</v>
      </c>
      <c r="B24" s="143" t="str">
        <f t="shared" si="8"/>
        <v>01</v>
      </c>
      <c r="C24" s="144"/>
      <c r="D24" s="144"/>
      <c r="E24" s="144"/>
      <c r="F24" s="145"/>
      <c r="G24" s="146" t="s">
        <v>196</v>
      </c>
      <c r="H24" s="147"/>
      <c r="I24" s="147"/>
      <c r="J24" s="147"/>
      <c r="K24" s="147"/>
      <c r="L24" s="147"/>
      <c r="M24" s="147"/>
      <c r="N24" s="148"/>
      <c r="O24" s="81" t="s">
        <v>3168</v>
      </c>
      <c r="P24" s="140" t="s">
        <v>1963</v>
      </c>
      <c r="Q24" s="141"/>
      <c r="R24" s="141"/>
      <c r="S24" s="141"/>
      <c r="T24" s="141"/>
      <c r="U24" s="141"/>
      <c r="V24" s="141"/>
      <c r="W24" s="141"/>
      <c r="X24" s="141"/>
      <c r="Y24" s="141"/>
      <c r="Z24" s="141"/>
      <c r="AA24" s="141"/>
      <c r="AB24" s="141"/>
      <c r="AC24" s="141"/>
      <c r="AD24" s="142"/>
      <c r="AE24" s="149" t="str">
        <f t="shared" ca="1" si="13"/>
        <v>sny_202310_backup_mt_syusyokugo</v>
      </c>
      <c r="AF24" s="150"/>
      <c r="AG24" s="150"/>
      <c r="AH24" s="150"/>
      <c r="AI24" s="150"/>
      <c r="AJ24" s="150"/>
      <c r="AK24" s="150"/>
      <c r="AL24" s="151"/>
      <c r="AM24" s="149" t="str">
        <f t="shared" ca="1" si="14"/>
        <v>修飾語マスタ取込用テーブルから組入れ条件の第一条件で絞り込んだ結果を格納するテーブル</v>
      </c>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2"/>
      <c r="BK24" s="32" t="str">
        <f t="shared" si="15"/>
        <v>ENT_01_A3-06_バックアップ_修飾語マスタ取込用.sql</v>
      </c>
    </row>
    <row r="25" spans="1:64" ht="37.5" customHeight="1" outlineLevel="1">
      <c r="A25" s="34" t="str">
        <f t="shared" si="12"/>
        <v>バックアップ_コメントマスタ取込用</v>
      </c>
      <c r="B25" s="143" t="str">
        <f t="shared" si="8"/>
        <v>01</v>
      </c>
      <c r="C25" s="144"/>
      <c r="D25" s="144"/>
      <c r="E25" s="144"/>
      <c r="F25" s="145"/>
      <c r="G25" s="146" t="s">
        <v>196</v>
      </c>
      <c r="H25" s="147"/>
      <c r="I25" s="147"/>
      <c r="J25" s="147"/>
      <c r="K25" s="147"/>
      <c r="L25" s="147"/>
      <c r="M25" s="147"/>
      <c r="N25" s="148"/>
      <c r="O25" s="81" t="s">
        <v>3169</v>
      </c>
      <c r="P25" s="140" t="s">
        <v>2000</v>
      </c>
      <c r="Q25" s="141"/>
      <c r="R25" s="141"/>
      <c r="S25" s="141"/>
      <c r="T25" s="141"/>
      <c r="U25" s="141"/>
      <c r="V25" s="141"/>
      <c r="W25" s="141"/>
      <c r="X25" s="141"/>
      <c r="Y25" s="141"/>
      <c r="Z25" s="141"/>
      <c r="AA25" s="141"/>
      <c r="AB25" s="141"/>
      <c r="AC25" s="141"/>
      <c r="AD25" s="142"/>
      <c r="AE25" s="149" t="str">
        <f t="shared" ca="1" si="13"/>
        <v>sny_202310_backup_mt_comment</v>
      </c>
      <c r="AF25" s="150"/>
      <c r="AG25" s="150"/>
      <c r="AH25" s="150"/>
      <c r="AI25" s="150"/>
      <c r="AJ25" s="150"/>
      <c r="AK25" s="150"/>
      <c r="AL25" s="151"/>
      <c r="AM25" s="149" t="str">
        <f t="shared" ca="1" si="14"/>
        <v>コメントマスタ取込用テーブルから組入れ条件の第一条件で絞り込んだ結果を格納するテーブル</v>
      </c>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2"/>
      <c r="BK25" s="32" t="str">
        <f t="shared" si="15"/>
        <v>ENT_01_A3-07_バックアップ_コメントマスタ取込用.sql</v>
      </c>
    </row>
    <row r="26" spans="1:64" ht="37.5" customHeight="1" outlineLevel="1">
      <c r="A26" s="34" t="str">
        <f t="shared" si="12"/>
        <v>バックアップ_成分量マスタ取込用</v>
      </c>
      <c r="B26" s="143" t="str">
        <f t="shared" si="8"/>
        <v>01</v>
      </c>
      <c r="C26" s="144"/>
      <c r="D26" s="144"/>
      <c r="E26" s="144"/>
      <c r="F26" s="145"/>
      <c r="G26" s="146" t="s">
        <v>196</v>
      </c>
      <c r="H26" s="147"/>
      <c r="I26" s="147"/>
      <c r="J26" s="147"/>
      <c r="K26" s="147"/>
      <c r="L26" s="147"/>
      <c r="M26" s="147"/>
      <c r="N26" s="148"/>
      <c r="O26" s="81" t="s">
        <v>3170</v>
      </c>
      <c r="P26" s="140" t="s">
        <v>2047</v>
      </c>
      <c r="Q26" s="141"/>
      <c r="R26" s="141"/>
      <c r="S26" s="141"/>
      <c r="T26" s="141"/>
      <c r="U26" s="141"/>
      <c r="V26" s="141"/>
      <c r="W26" s="141"/>
      <c r="X26" s="141"/>
      <c r="Y26" s="141"/>
      <c r="Z26" s="141"/>
      <c r="AA26" s="141"/>
      <c r="AB26" s="141"/>
      <c r="AC26" s="141"/>
      <c r="AD26" s="142"/>
      <c r="AE26" s="149" t="str">
        <f t="shared" ca="1" si="13"/>
        <v>sny_202310_backup_mt_seibunryo</v>
      </c>
      <c r="AF26" s="150"/>
      <c r="AG26" s="150"/>
      <c r="AH26" s="150"/>
      <c r="AI26" s="150"/>
      <c r="AJ26" s="150"/>
      <c r="AK26" s="150"/>
      <c r="AL26" s="151"/>
      <c r="AM26" s="149" t="str">
        <f t="shared" ca="1" si="14"/>
        <v>成分量マスタ取込用テーブルから組入れ条件の第一条件で絞り込んだ結果を格納するテーブル</v>
      </c>
      <c r="AN26" s="150"/>
      <c r="AO26" s="150"/>
      <c r="AP26" s="150"/>
      <c r="AQ26" s="150"/>
      <c r="AR26" s="150"/>
      <c r="AS26" s="150"/>
      <c r="AT26" s="150"/>
      <c r="AU26" s="150"/>
      <c r="AV26" s="150"/>
      <c r="AW26" s="150"/>
      <c r="AX26" s="150"/>
      <c r="AY26" s="150"/>
      <c r="AZ26" s="150"/>
      <c r="BA26" s="150"/>
      <c r="BB26" s="150"/>
      <c r="BC26" s="150"/>
      <c r="BD26" s="150"/>
      <c r="BE26" s="150"/>
      <c r="BF26" s="150"/>
      <c r="BG26" s="150"/>
      <c r="BH26" s="150"/>
      <c r="BI26" s="150"/>
      <c r="BJ26" s="152"/>
      <c r="BK26" s="32" t="str">
        <f t="shared" ref="BK26:BK77" si="16">IF(P26&lt;&gt;"",O26&amp;"_"&amp;P26&amp;".sql","")</f>
        <v>ENT_01_A3-08_バックアップ_成分量マスタ取込用.sql</v>
      </c>
    </row>
    <row r="27" spans="1:64" ht="37.5" customHeight="1" outlineLevel="1">
      <c r="A27" s="34" t="str">
        <f t="shared" si="12"/>
        <v>バックアップ_成分名マスタ取込用</v>
      </c>
      <c r="B27" s="143" t="str">
        <f t="shared" si="8"/>
        <v>01</v>
      </c>
      <c r="C27" s="144"/>
      <c r="D27" s="144"/>
      <c r="E27" s="144"/>
      <c r="F27" s="145"/>
      <c r="G27" s="146" t="s">
        <v>196</v>
      </c>
      <c r="H27" s="147"/>
      <c r="I27" s="147"/>
      <c r="J27" s="147"/>
      <c r="K27" s="147"/>
      <c r="L27" s="147"/>
      <c r="M27" s="147"/>
      <c r="N27" s="148"/>
      <c r="O27" s="81" t="s">
        <v>3171</v>
      </c>
      <c r="P27" s="140" t="s">
        <v>2072</v>
      </c>
      <c r="Q27" s="141"/>
      <c r="R27" s="141"/>
      <c r="S27" s="141"/>
      <c r="T27" s="141"/>
      <c r="U27" s="141"/>
      <c r="V27" s="141"/>
      <c r="W27" s="141"/>
      <c r="X27" s="141"/>
      <c r="Y27" s="141"/>
      <c r="Z27" s="141"/>
      <c r="AA27" s="141"/>
      <c r="AB27" s="141"/>
      <c r="AC27" s="141"/>
      <c r="AD27" s="142"/>
      <c r="AE27" s="149" t="str">
        <f t="shared" ca="1" si="13"/>
        <v>sny_202310_backup_mt_seibun_name</v>
      </c>
      <c r="AF27" s="150"/>
      <c r="AG27" s="150"/>
      <c r="AH27" s="150"/>
      <c r="AI27" s="150"/>
      <c r="AJ27" s="150"/>
      <c r="AK27" s="150"/>
      <c r="AL27" s="151"/>
      <c r="AM27" s="149" t="str">
        <f t="shared" ca="1" si="14"/>
        <v>成分名マスタ取込用テーブルから組入れ条件の第一条件で絞り込んだ結果を格納するテーブル</v>
      </c>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2"/>
      <c r="BK27" s="32" t="str">
        <f t="shared" si="16"/>
        <v>ENT_01_A3-09_バックアップ_成分名マスタ取込用.sql</v>
      </c>
    </row>
    <row r="28" spans="1:64" ht="37.5" customHeight="1" outlineLevel="1">
      <c r="A28" s="34" t="str">
        <f t="shared" si="12"/>
        <v>バックアップ_単位マスタ取込用</v>
      </c>
      <c r="B28" s="143" t="str">
        <f t="shared" si="8"/>
        <v>01</v>
      </c>
      <c r="C28" s="144"/>
      <c r="D28" s="144"/>
      <c r="E28" s="144"/>
      <c r="F28" s="145"/>
      <c r="G28" s="146" t="s">
        <v>196</v>
      </c>
      <c r="H28" s="147"/>
      <c r="I28" s="147"/>
      <c r="J28" s="147"/>
      <c r="K28" s="147"/>
      <c r="L28" s="147"/>
      <c r="M28" s="147"/>
      <c r="N28" s="148"/>
      <c r="O28" s="81" t="s">
        <v>3172</v>
      </c>
      <c r="P28" s="140" t="s">
        <v>2093</v>
      </c>
      <c r="Q28" s="141"/>
      <c r="R28" s="141"/>
      <c r="S28" s="141"/>
      <c r="T28" s="141"/>
      <c r="U28" s="141"/>
      <c r="V28" s="141"/>
      <c r="W28" s="141"/>
      <c r="X28" s="141"/>
      <c r="Y28" s="141"/>
      <c r="Z28" s="141"/>
      <c r="AA28" s="141"/>
      <c r="AB28" s="141"/>
      <c r="AC28" s="141"/>
      <c r="AD28" s="142"/>
      <c r="AE28" s="149" t="str">
        <f t="shared" ca="1" si="13"/>
        <v>sny_202310_backup_mt_unit</v>
      </c>
      <c r="AF28" s="150"/>
      <c r="AG28" s="150"/>
      <c r="AH28" s="150"/>
      <c r="AI28" s="150"/>
      <c r="AJ28" s="150"/>
      <c r="AK28" s="150"/>
      <c r="AL28" s="151"/>
      <c r="AM28" s="149" t="str">
        <f t="shared" ca="1" si="14"/>
        <v>単位マスタ取込用テーブルから組入れ条件の第一条件で絞り込んだ結果を格納するテーブル</v>
      </c>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2"/>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43" t="str">
        <f t="shared" si="8"/>
        <v>01</v>
      </c>
      <c r="C29" s="144"/>
      <c r="D29" s="144"/>
      <c r="E29" s="144"/>
      <c r="F29" s="145"/>
      <c r="G29" s="146" t="s">
        <v>196</v>
      </c>
      <c r="H29" s="147"/>
      <c r="I29" s="147"/>
      <c r="J29" s="147"/>
      <c r="K29" s="147"/>
      <c r="L29" s="147"/>
      <c r="M29" s="147"/>
      <c r="N29" s="148"/>
      <c r="O29" s="81" t="s">
        <v>3173</v>
      </c>
      <c r="P29" s="140" t="s">
        <v>2100</v>
      </c>
      <c r="Q29" s="141"/>
      <c r="R29" s="141"/>
      <c r="S29" s="141"/>
      <c r="T29" s="141"/>
      <c r="U29" s="141"/>
      <c r="V29" s="141"/>
      <c r="W29" s="141"/>
      <c r="X29" s="141"/>
      <c r="Y29" s="141"/>
      <c r="Z29" s="141"/>
      <c r="AA29" s="141"/>
      <c r="AB29" s="141"/>
      <c r="AC29" s="141"/>
      <c r="AD29" s="142"/>
      <c r="AE29" s="149" t="str">
        <f t="shared" ca="1" si="13"/>
        <v>sny_202310_backup_mt_tekiyou_recept_combi_link</v>
      </c>
      <c r="AF29" s="150"/>
      <c r="AG29" s="150"/>
      <c r="AH29" s="150"/>
      <c r="AI29" s="150"/>
      <c r="AJ29" s="150"/>
      <c r="AK29" s="150"/>
      <c r="AL29" s="151"/>
      <c r="AM29" s="149" t="str">
        <f t="shared" ca="1" si="14"/>
        <v>適応病名レセ病名組み合わせ関係リンクマスタ取込用テーブルから組入れ条件の第一条件で絞り込んだ結果を格納するテーブル</v>
      </c>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2"/>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43" t="str">
        <f t="shared" si="8"/>
        <v>01</v>
      </c>
      <c r="C30" s="144"/>
      <c r="D30" s="144"/>
      <c r="E30" s="144"/>
      <c r="F30" s="145"/>
      <c r="G30" s="146" t="s">
        <v>196</v>
      </c>
      <c r="H30" s="147"/>
      <c r="I30" s="147"/>
      <c r="J30" s="147"/>
      <c r="K30" s="147"/>
      <c r="L30" s="147"/>
      <c r="M30" s="147"/>
      <c r="N30" s="148"/>
      <c r="O30" s="81" t="s">
        <v>3174</v>
      </c>
      <c r="P30" s="140" t="s">
        <v>2119</v>
      </c>
      <c r="Q30" s="141"/>
      <c r="R30" s="141"/>
      <c r="S30" s="141"/>
      <c r="T30" s="141"/>
      <c r="U30" s="141"/>
      <c r="V30" s="141"/>
      <c r="W30" s="141"/>
      <c r="X30" s="141"/>
      <c r="Y30" s="141"/>
      <c r="Z30" s="141"/>
      <c r="AA30" s="141"/>
      <c r="AB30" s="141"/>
      <c r="AC30" s="141"/>
      <c r="AD30" s="142"/>
      <c r="AE30" s="149" t="s">
        <v>2564</v>
      </c>
      <c r="AF30" s="150"/>
      <c r="AG30" s="150"/>
      <c r="AH30" s="150"/>
      <c r="AI30" s="150"/>
      <c r="AJ30" s="150"/>
      <c r="AK30" s="150"/>
      <c r="AL30" s="151"/>
      <c r="AM30" s="149" t="s">
        <v>2565</v>
      </c>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2"/>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43" t="str">
        <f t="shared" si="8"/>
        <v>01</v>
      </c>
      <c r="C31" s="144"/>
      <c r="D31" s="144"/>
      <c r="E31" s="144"/>
      <c r="F31" s="145"/>
      <c r="G31" s="146" t="s">
        <v>196</v>
      </c>
      <c r="H31" s="147"/>
      <c r="I31" s="147"/>
      <c r="J31" s="147"/>
      <c r="K31" s="147"/>
      <c r="L31" s="147"/>
      <c r="M31" s="147"/>
      <c r="N31" s="148"/>
      <c r="O31" s="81" t="s">
        <v>3175</v>
      </c>
      <c r="P31" s="140" t="s">
        <v>2120</v>
      </c>
      <c r="Q31" s="141"/>
      <c r="R31" s="141"/>
      <c r="S31" s="141"/>
      <c r="T31" s="141"/>
      <c r="U31" s="141"/>
      <c r="V31" s="141"/>
      <c r="W31" s="141"/>
      <c r="X31" s="141"/>
      <c r="Y31" s="141"/>
      <c r="Z31" s="141"/>
      <c r="AA31" s="141"/>
      <c r="AB31" s="141"/>
      <c r="AC31" s="141"/>
      <c r="AD31" s="142"/>
      <c r="AE31" s="149" t="str">
        <f t="shared" ca="1" si="13"/>
        <v>sny_202310_backup_mt_tekiyou_byoumei</v>
      </c>
      <c r="AF31" s="150"/>
      <c r="AG31" s="150"/>
      <c r="AH31" s="150"/>
      <c r="AI31" s="150"/>
      <c r="AJ31" s="150"/>
      <c r="AK31" s="150"/>
      <c r="AL31" s="151"/>
      <c r="AM31" s="149" t="str">
        <f t="shared" ca="1" si="14"/>
        <v>適用病名マスタ取込用テーブルから組入れ条件の第一条件で絞り込んだ結果を格納するテーブル</v>
      </c>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2"/>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43" t="str">
        <f t="shared" si="8"/>
        <v>01</v>
      </c>
      <c r="C32" s="144"/>
      <c r="D32" s="144"/>
      <c r="E32" s="144"/>
      <c r="F32" s="145"/>
      <c r="G32" s="146" t="s">
        <v>196</v>
      </c>
      <c r="H32" s="147"/>
      <c r="I32" s="147"/>
      <c r="J32" s="147"/>
      <c r="K32" s="147"/>
      <c r="L32" s="147"/>
      <c r="M32" s="147"/>
      <c r="N32" s="148"/>
      <c r="O32" s="81" t="s">
        <v>3176</v>
      </c>
      <c r="P32" s="140" t="s">
        <v>2129</v>
      </c>
      <c r="Q32" s="141"/>
      <c r="R32" s="141"/>
      <c r="S32" s="141"/>
      <c r="T32" s="141"/>
      <c r="U32" s="141"/>
      <c r="V32" s="141"/>
      <c r="W32" s="141"/>
      <c r="X32" s="141"/>
      <c r="Y32" s="141"/>
      <c r="Z32" s="141"/>
      <c r="AA32" s="141"/>
      <c r="AB32" s="141"/>
      <c r="AC32" s="141"/>
      <c r="AD32" s="142"/>
      <c r="AE32" s="149" t="str">
        <f t="shared" ca="1" si="13"/>
        <v>sny_202310_backup_mt_yjcode_receptdensancode_link</v>
      </c>
      <c r="AF32" s="150"/>
      <c r="AG32" s="150"/>
      <c r="AH32" s="150"/>
      <c r="AI32" s="150"/>
      <c r="AJ32" s="150"/>
      <c r="AK32" s="150"/>
      <c r="AL32" s="151"/>
      <c r="AM32" s="149" t="str">
        <f t="shared" ca="1" si="14"/>
        <v>ＹＪコード医薬品コードリンクマスタ取込用テーブルから組入れ条件の第一条件で絞り込んだ結果を格納するテーブル</v>
      </c>
      <c r="AN32" s="150"/>
      <c r="AO32" s="150"/>
      <c r="AP32" s="150"/>
      <c r="AQ32" s="150"/>
      <c r="AR32" s="150"/>
      <c r="AS32" s="150"/>
      <c r="AT32" s="150"/>
      <c r="AU32" s="150"/>
      <c r="AV32" s="150"/>
      <c r="AW32" s="150"/>
      <c r="AX32" s="150"/>
      <c r="AY32" s="150"/>
      <c r="AZ32" s="150"/>
      <c r="BA32" s="150"/>
      <c r="BB32" s="150"/>
      <c r="BC32" s="150"/>
      <c r="BD32" s="150"/>
      <c r="BE32" s="150"/>
      <c r="BF32" s="150"/>
      <c r="BG32" s="150"/>
      <c r="BH32" s="150"/>
      <c r="BI32" s="150"/>
      <c r="BJ32" s="152"/>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43" t="str">
        <f t="shared" si="8"/>
        <v>01</v>
      </c>
      <c r="C33" s="144"/>
      <c r="D33" s="144"/>
      <c r="E33" s="144"/>
      <c r="F33" s="145"/>
      <c r="G33" s="146" t="s">
        <v>196</v>
      </c>
      <c r="H33" s="147"/>
      <c r="I33" s="147"/>
      <c r="J33" s="147"/>
      <c r="K33" s="147"/>
      <c r="L33" s="147"/>
      <c r="M33" s="147"/>
      <c r="N33" s="148"/>
      <c r="O33" s="81" t="s">
        <v>3177</v>
      </c>
      <c r="P33" s="140" t="s">
        <v>2139</v>
      </c>
      <c r="Q33" s="141"/>
      <c r="R33" s="141"/>
      <c r="S33" s="141"/>
      <c r="T33" s="141"/>
      <c r="U33" s="141"/>
      <c r="V33" s="141"/>
      <c r="W33" s="141"/>
      <c r="X33" s="141"/>
      <c r="Y33" s="141"/>
      <c r="Z33" s="141"/>
      <c r="AA33" s="141"/>
      <c r="AB33" s="141"/>
      <c r="AC33" s="141"/>
      <c r="AD33" s="142"/>
      <c r="AE33" s="149" t="str">
        <f t="shared" ca="1" si="13"/>
        <v>sny_202310_backup_mt_shinryo_koi_fuka</v>
      </c>
      <c r="AF33" s="150"/>
      <c r="AG33" s="150"/>
      <c r="AH33" s="150"/>
      <c r="AI33" s="150"/>
      <c r="AJ33" s="150"/>
      <c r="AK33" s="150"/>
      <c r="AL33" s="151"/>
      <c r="AM33" s="149" t="str">
        <f t="shared" ca="1" si="14"/>
        <v>診療行為付加情報マスタ取込用テーブルから組入れ条件の第一条件で絞り込んだ結果を格納するテーブル</v>
      </c>
      <c r="AN33" s="150"/>
      <c r="AO33" s="150"/>
      <c r="AP33" s="150"/>
      <c r="AQ33" s="150"/>
      <c r="AR33" s="150"/>
      <c r="AS33" s="150"/>
      <c r="AT33" s="150"/>
      <c r="AU33" s="150"/>
      <c r="AV33" s="150"/>
      <c r="AW33" s="150"/>
      <c r="AX33" s="150"/>
      <c r="AY33" s="150"/>
      <c r="AZ33" s="150"/>
      <c r="BA33" s="150"/>
      <c r="BB33" s="150"/>
      <c r="BC33" s="150"/>
      <c r="BD33" s="150"/>
      <c r="BE33" s="150"/>
      <c r="BF33" s="150"/>
      <c r="BG33" s="150"/>
      <c r="BH33" s="150"/>
      <c r="BI33" s="150"/>
      <c r="BJ33" s="152"/>
      <c r="BK33" s="32" t="str">
        <f t="shared" si="16"/>
        <v>ENT_01_A3-15_バックアップ_診療行為付加情報マスタ取込用.sql</v>
      </c>
    </row>
    <row r="34" spans="1:63" ht="37.5" customHeight="1" outlineLevel="1">
      <c r="A34" s="34" t="str">
        <f t="shared" si="12"/>
        <v>バックアップ_処理対象施設マスタ</v>
      </c>
      <c r="B34" s="143" t="str">
        <f t="shared" si="8"/>
        <v>01</v>
      </c>
      <c r="C34" s="144"/>
      <c r="D34" s="144"/>
      <c r="E34" s="144"/>
      <c r="F34" s="145"/>
      <c r="G34" s="146" t="s">
        <v>196</v>
      </c>
      <c r="H34" s="147"/>
      <c r="I34" s="147"/>
      <c r="J34" s="147"/>
      <c r="K34" s="147"/>
      <c r="L34" s="147"/>
      <c r="M34" s="147"/>
      <c r="N34" s="148"/>
      <c r="O34" s="81" t="s">
        <v>3178</v>
      </c>
      <c r="P34" s="140" t="s">
        <v>2420</v>
      </c>
      <c r="Q34" s="141"/>
      <c r="R34" s="141"/>
      <c r="S34" s="141"/>
      <c r="T34" s="141"/>
      <c r="U34" s="141"/>
      <c r="V34" s="141"/>
      <c r="W34" s="141"/>
      <c r="X34" s="141"/>
      <c r="Y34" s="141"/>
      <c r="Z34" s="141"/>
      <c r="AA34" s="141"/>
      <c r="AB34" s="141"/>
      <c r="AC34" s="141"/>
      <c r="AD34" s="142"/>
      <c r="AE34" s="149" t="str">
        <f t="shared" ca="1" si="13"/>
        <v>sny_202310_backup_mt_shori_shisetsu</v>
      </c>
      <c r="AF34" s="150"/>
      <c r="AG34" s="150"/>
      <c r="AH34" s="150"/>
      <c r="AI34" s="150"/>
      <c r="AJ34" s="150"/>
      <c r="AK34" s="150"/>
      <c r="AL34" s="151"/>
      <c r="AM34" s="149" t="str">
        <f t="shared" ca="1" si="14"/>
        <v>処理対象施設マスタテーブルから組入れ条件の第一条件で絞り込んだ結果を格納するテーブル</v>
      </c>
      <c r="AN34" s="150"/>
      <c r="AO34" s="150"/>
      <c r="AP34" s="150"/>
      <c r="AQ34" s="150"/>
      <c r="AR34" s="150"/>
      <c r="AS34" s="150"/>
      <c r="AT34" s="150"/>
      <c r="AU34" s="150"/>
      <c r="AV34" s="150"/>
      <c r="AW34" s="150"/>
      <c r="AX34" s="150"/>
      <c r="AY34" s="150"/>
      <c r="AZ34" s="150"/>
      <c r="BA34" s="150"/>
      <c r="BB34" s="150"/>
      <c r="BC34" s="150"/>
      <c r="BD34" s="150"/>
      <c r="BE34" s="150"/>
      <c r="BF34" s="150"/>
      <c r="BG34" s="150"/>
      <c r="BH34" s="150"/>
      <c r="BI34" s="150"/>
      <c r="BJ34" s="152"/>
      <c r="BK34" s="32" t="str">
        <f t="shared" si="16"/>
        <v>ENT_01_A3-16_バックアップ_処理対象施設マスタ.sql</v>
      </c>
    </row>
    <row r="35" spans="1:63" ht="37.5" customHeight="1" outlineLevel="1">
      <c r="A35" s="34" t="str">
        <f t="shared" si="12"/>
        <v>バックアップ_処理対象施設マスタ管理</v>
      </c>
      <c r="B35" s="143" t="str">
        <f t="shared" si="8"/>
        <v>01</v>
      </c>
      <c r="C35" s="144"/>
      <c r="D35" s="144"/>
      <c r="E35" s="144"/>
      <c r="F35" s="145"/>
      <c r="G35" s="146" t="s">
        <v>196</v>
      </c>
      <c r="H35" s="147"/>
      <c r="I35" s="147"/>
      <c r="J35" s="147"/>
      <c r="K35" s="147"/>
      <c r="L35" s="147"/>
      <c r="M35" s="147"/>
      <c r="N35" s="148"/>
      <c r="O35" s="81" t="s">
        <v>3237</v>
      </c>
      <c r="P35" s="140" t="s">
        <v>2449</v>
      </c>
      <c r="Q35" s="141"/>
      <c r="R35" s="141"/>
      <c r="S35" s="141"/>
      <c r="T35" s="141"/>
      <c r="U35" s="141"/>
      <c r="V35" s="141"/>
      <c r="W35" s="141"/>
      <c r="X35" s="141"/>
      <c r="Y35" s="141"/>
      <c r="Z35" s="141"/>
      <c r="AA35" s="141"/>
      <c r="AB35" s="141"/>
      <c r="AC35" s="141"/>
      <c r="AD35" s="142"/>
      <c r="AE35" s="149" t="str">
        <f t="shared" ca="1" si="13"/>
        <v>sny_202310_backup_mt_shori_shisetsu_manage</v>
      </c>
      <c r="AF35" s="150"/>
      <c r="AG35" s="150"/>
      <c r="AH35" s="150"/>
      <c r="AI35" s="150"/>
      <c r="AJ35" s="150"/>
      <c r="AK35" s="150"/>
      <c r="AL35" s="151"/>
      <c r="AM35" s="149" t="str">
        <f t="shared" ca="1" si="14"/>
        <v>処理対象施設マスタ管理テーブルから組入れ条件の第一条件で絞り込んだ結果を格納するテーブル</v>
      </c>
      <c r="AN35" s="150"/>
      <c r="AO35" s="150"/>
      <c r="AP35" s="150"/>
      <c r="AQ35" s="150"/>
      <c r="AR35" s="150"/>
      <c r="AS35" s="150"/>
      <c r="AT35" s="150"/>
      <c r="AU35" s="150"/>
      <c r="AV35" s="150"/>
      <c r="AW35" s="150"/>
      <c r="AX35" s="150"/>
      <c r="AY35" s="150"/>
      <c r="AZ35" s="150"/>
      <c r="BA35" s="150"/>
      <c r="BB35" s="150"/>
      <c r="BC35" s="150"/>
      <c r="BD35" s="150"/>
      <c r="BE35" s="150"/>
      <c r="BF35" s="150"/>
      <c r="BG35" s="150"/>
      <c r="BH35" s="150"/>
      <c r="BI35" s="150"/>
      <c r="BJ35" s="152"/>
      <c r="BK35" s="32" t="str">
        <f t="shared" si="16"/>
        <v>ENT_01_A3-17_バックアップ_処理対象施設マスタ管理.sql</v>
      </c>
    </row>
    <row r="36" spans="1:63" ht="37.5" customHeight="1" outlineLevel="1">
      <c r="A36" s="34" t="str">
        <f t="shared" ref="A36:A51" si="17">P36</f>
        <v>バックアップ_医薬品マスタ</v>
      </c>
      <c r="B36" s="143" t="str">
        <f t="shared" si="8"/>
        <v>01</v>
      </c>
      <c r="C36" s="144"/>
      <c r="D36" s="144"/>
      <c r="E36" s="144"/>
      <c r="F36" s="145"/>
      <c r="G36" s="146" t="s">
        <v>196</v>
      </c>
      <c r="H36" s="147"/>
      <c r="I36" s="147"/>
      <c r="J36" s="147"/>
      <c r="K36" s="147"/>
      <c r="L36" s="147"/>
      <c r="M36" s="147"/>
      <c r="N36" s="148"/>
      <c r="O36" s="81" t="s">
        <v>3238</v>
      </c>
      <c r="P36" s="140" t="s">
        <v>3258</v>
      </c>
      <c r="Q36" s="141"/>
      <c r="R36" s="141"/>
      <c r="S36" s="141"/>
      <c r="T36" s="141"/>
      <c r="U36" s="141"/>
      <c r="V36" s="141"/>
      <c r="W36" s="141"/>
      <c r="X36" s="141"/>
      <c r="Y36" s="141"/>
      <c r="Z36" s="141"/>
      <c r="AA36" s="141"/>
      <c r="AB36" s="141"/>
      <c r="AC36" s="141"/>
      <c r="AD36" s="142"/>
      <c r="AE36" s="149" t="str">
        <f t="shared" ref="AE36:AE45" ca="1" si="18">IFERROR(INDIRECT(P36&amp;"!D8"),"")</f>
        <v>sny_202310_backup_mt_iyakuhin</v>
      </c>
      <c r="AF36" s="150"/>
      <c r="AG36" s="150"/>
      <c r="AH36" s="150"/>
      <c r="AI36" s="150"/>
      <c r="AJ36" s="150"/>
      <c r="AK36" s="150"/>
      <c r="AL36" s="151"/>
      <c r="AM36" s="149" t="str">
        <f t="shared" ref="AM36:AM45" ca="1" si="19">IFERROR(INDIRECT(P36&amp;"!D9"),"")</f>
        <v>医薬品マスタテーブルから組入れ条件の第一条件で絞り込んだ結果を格納するテーブル</v>
      </c>
      <c r="AN36" s="150"/>
      <c r="AO36" s="150"/>
      <c r="AP36" s="150"/>
      <c r="AQ36" s="150"/>
      <c r="AR36" s="150"/>
      <c r="AS36" s="150"/>
      <c r="AT36" s="150"/>
      <c r="AU36" s="150"/>
      <c r="AV36" s="150"/>
      <c r="AW36" s="150"/>
      <c r="AX36" s="150"/>
      <c r="AY36" s="150"/>
      <c r="AZ36" s="150"/>
      <c r="BA36" s="150"/>
      <c r="BB36" s="150"/>
      <c r="BC36" s="150"/>
      <c r="BD36" s="150"/>
      <c r="BE36" s="150"/>
      <c r="BF36" s="150"/>
      <c r="BG36" s="150"/>
      <c r="BH36" s="150"/>
      <c r="BI36" s="150"/>
      <c r="BJ36" s="152"/>
      <c r="BK36" s="32" t="str">
        <f t="shared" si="16"/>
        <v>ENT_01_A3-18_バックアップ_医薬品マスタ.sql</v>
      </c>
    </row>
    <row r="37" spans="1:63" ht="37.5" customHeight="1" outlineLevel="1">
      <c r="A37" s="34" t="str">
        <f t="shared" si="17"/>
        <v>バックアップ_医薬品ブランドマスタ</v>
      </c>
      <c r="B37" s="143" t="str">
        <f t="shared" si="8"/>
        <v>01</v>
      </c>
      <c r="C37" s="144"/>
      <c r="D37" s="144"/>
      <c r="E37" s="144"/>
      <c r="F37" s="145"/>
      <c r="G37" s="146" t="s">
        <v>196</v>
      </c>
      <c r="H37" s="147"/>
      <c r="I37" s="147"/>
      <c r="J37" s="147"/>
      <c r="K37" s="147"/>
      <c r="L37" s="147"/>
      <c r="M37" s="147"/>
      <c r="N37" s="148"/>
      <c r="O37" s="81" t="s">
        <v>3239</v>
      </c>
      <c r="P37" s="140" t="s">
        <v>3259</v>
      </c>
      <c r="Q37" s="141"/>
      <c r="R37" s="141"/>
      <c r="S37" s="141"/>
      <c r="T37" s="141"/>
      <c r="U37" s="141"/>
      <c r="V37" s="141"/>
      <c r="W37" s="141"/>
      <c r="X37" s="141"/>
      <c r="Y37" s="141"/>
      <c r="Z37" s="141"/>
      <c r="AA37" s="141"/>
      <c r="AB37" s="141"/>
      <c r="AC37" s="141"/>
      <c r="AD37" s="142"/>
      <c r="AE37" s="149" t="str">
        <f t="shared" ca="1" si="18"/>
        <v>sny_202310_backup_mt_iyakuhin_brand</v>
      </c>
      <c r="AF37" s="150"/>
      <c r="AG37" s="150"/>
      <c r="AH37" s="150"/>
      <c r="AI37" s="150"/>
      <c r="AJ37" s="150"/>
      <c r="AK37" s="150"/>
      <c r="AL37" s="151"/>
      <c r="AM37" s="149" t="str">
        <f t="shared" ca="1" si="19"/>
        <v>医薬品ブランドマスタテーブルから組入れ条件の第一条件で絞り込んだ結果を格納するテーブル</v>
      </c>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2"/>
      <c r="BK37" s="32" t="str">
        <f t="shared" si="16"/>
        <v>ENT_01_A3-19_バックアップ_医薬品ブランドマスタ.sql</v>
      </c>
    </row>
    <row r="38" spans="1:63" ht="37.5" customHeight="1" outlineLevel="1">
      <c r="A38" s="34" t="str">
        <f t="shared" si="17"/>
        <v>バックアップ_医薬品一般名マスタ</v>
      </c>
      <c r="B38" s="143" t="str">
        <f t="shared" ref="B38:B100" si="20">TEXT(1,"00")</f>
        <v>01</v>
      </c>
      <c r="C38" s="144"/>
      <c r="D38" s="144"/>
      <c r="E38" s="144"/>
      <c r="F38" s="145"/>
      <c r="G38" s="146" t="s">
        <v>196</v>
      </c>
      <c r="H38" s="147"/>
      <c r="I38" s="147"/>
      <c r="J38" s="147"/>
      <c r="K38" s="147"/>
      <c r="L38" s="147"/>
      <c r="M38" s="147"/>
      <c r="N38" s="148"/>
      <c r="O38" s="81" t="s">
        <v>3240</v>
      </c>
      <c r="P38" s="140" t="s">
        <v>3260</v>
      </c>
      <c r="Q38" s="141"/>
      <c r="R38" s="141"/>
      <c r="S38" s="141"/>
      <c r="T38" s="141"/>
      <c r="U38" s="141"/>
      <c r="V38" s="141"/>
      <c r="W38" s="141"/>
      <c r="X38" s="141"/>
      <c r="Y38" s="141"/>
      <c r="Z38" s="141"/>
      <c r="AA38" s="141"/>
      <c r="AB38" s="141"/>
      <c r="AC38" s="141"/>
      <c r="AD38" s="142"/>
      <c r="AE38" s="149" t="str">
        <f t="shared" ca="1" si="18"/>
        <v>sny_202310_backup_mt_iyakuhin_ippan_name</v>
      </c>
      <c r="AF38" s="150"/>
      <c r="AG38" s="150"/>
      <c r="AH38" s="150"/>
      <c r="AI38" s="150"/>
      <c r="AJ38" s="150"/>
      <c r="AK38" s="150"/>
      <c r="AL38" s="151"/>
      <c r="AM38" s="149" t="str">
        <f t="shared" ca="1" si="19"/>
        <v>医薬品一般名マスタテーブルから組入れ条件の第一条件で絞り込んだ結果を格納するテーブル</v>
      </c>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2"/>
      <c r="BK38" s="32" t="str">
        <f t="shared" si="16"/>
        <v>ENT_01_A3-20_バックアップ_医薬品一般名マスタ.sql</v>
      </c>
    </row>
    <row r="39" spans="1:63" ht="37.5" customHeight="1" outlineLevel="1">
      <c r="A39" s="34" t="str">
        <f t="shared" si="17"/>
        <v>バックアップ_医薬品販売会社マスタ</v>
      </c>
      <c r="B39" s="143" t="str">
        <f t="shared" si="20"/>
        <v>01</v>
      </c>
      <c r="C39" s="144"/>
      <c r="D39" s="144"/>
      <c r="E39" s="144"/>
      <c r="F39" s="145"/>
      <c r="G39" s="146" t="s">
        <v>196</v>
      </c>
      <c r="H39" s="147"/>
      <c r="I39" s="147"/>
      <c r="J39" s="147"/>
      <c r="K39" s="147"/>
      <c r="L39" s="147"/>
      <c r="M39" s="147"/>
      <c r="N39" s="148"/>
      <c r="O39" s="81" t="s">
        <v>3241</v>
      </c>
      <c r="P39" s="140" t="s">
        <v>3261</v>
      </c>
      <c r="Q39" s="141"/>
      <c r="R39" s="141"/>
      <c r="S39" s="141"/>
      <c r="T39" s="141"/>
      <c r="U39" s="141"/>
      <c r="V39" s="141"/>
      <c r="W39" s="141"/>
      <c r="X39" s="141"/>
      <c r="Y39" s="141"/>
      <c r="Z39" s="141"/>
      <c r="AA39" s="141"/>
      <c r="AB39" s="141"/>
      <c r="AC39" s="141"/>
      <c r="AD39" s="142"/>
      <c r="AE39" s="149" t="str">
        <f t="shared" ca="1" si="18"/>
        <v>sny_202310_backup_mt_iyakuhin_sales_kaisha</v>
      </c>
      <c r="AF39" s="150"/>
      <c r="AG39" s="150"/>
      <c r="AH39" s="150"/>
      <c r="AI39" s="150"/>
      <c r="AJ39" s="150"/>
      <c r="AK39" s="150"/>
      <c r="AL39" s="151"/>
      <c r="AM39" s="149" t="str">
        <f t="shared" ca="1" si="19"/>
        <v>医薬品販売会社マスタテーブルから組入れ条件の第一条件で絞り込んだ結果を格納するテーブル</v>
      </c>
      <c r="AN39" s="150"/>
      <c r="AO39" s="150"/>
      <c r="AP39" s="150"/>
      <c r="AQ39" s="150"/>
      <c r="AR39" s="150"/>
      <c r="AS39" s="150"/>
      <c r="AT39" s="150"/>
      <c r="AU39" s="150"/>
      <c r="AV39" s="150"/>
      <c r="AW39" s="150"/>
      <c r="AX39" s="150"/>
      <c r="AY39" s="150"/>
      <c r="AZ39" s="150"/>
      <c r="BA39" s="150"/>
      <c r="BB39" s="150"/>
      <c r="BC39" s="150"/>
      <c r="BD39" s="150"/>
      <c r="BE39" s="150"/>
      <c r="BF39" s="150"/>
      <c r="BG39" s="150"/>
      <c r="BH39" s="150"/>
      <c r="BI39" s="150"/>
      <c r="BJ39" s="152"/>
      <c r="BK39" s="32" t="str">
        <f t="shared" si="16"/>
        <v>ENT_01_A3-21_バックアップ_医薬品販売会社マスタ.sql</v>
      </c>
    </row>
    <row r="40" spans="1:63" ht="37.5" customHeight="1" outlineLevel="1">
      <c r="A40" s="34" t="str">
        <f t="shared" si="17"/>
        <v>バックアップ_メーカマスタ</v>
      </c>
      <c r="B40" s="143" t="str">
        <f t="shared" si="20"/>
        <v>01</v>
      </c>
      <c r="C40" s="144"/>
      <c r="D40" s="144"/>
      <c r="E40" s="144"/>
      <c r="F40" s="145"/>
      <c r="G40" s="146" t="s">
        <v>196</v>
      </c>
      <c r="H40" s="147"/>
      <c r="I40" s="147"/>
      <c r="J40" s="147"/>
      <c r="K40" s="147"/>
      <c r="L40" s="147"/>
      <c r="M40" s="147"/>
      <c r="N40" s="148"/>
      <c r="O40" s="81" t="s">
        <v>3242</v>
      </c>
      <c r="P40" s="140" t="s">
        <v>3262</v>
      </c>
      <c r="Q40" s="141"/>
      <c r="R40" s="141"/>
      <c r="S40" s="141"/>
      <c r="T40" s="141"/>
      <c r="U40" s="141"/>
      <c r="V40" s="141"/>
      <c r="W40" s="141"/>
      <c r="X40" s="141"/>
      <c r="Y40" s="141"/>
      <c r="Z40" s="141"/>
      <c r="AA40" s="141"/>
      <c r="AB40" s="141"/>
      <c r="AC40" s="141"/>
      <c r="AD40" s="142"/>
      <c r="AE40" s="149" t="str">
        <f t="shared" ca="1" si="18"/>
        <v>sny_202310_backup_mt_maker</v>
      </c>
      <c r="AF40" s="150"/>
      <c r="AG40" s="150"/>
      <c r="AH40" s="150"/>
      <c r="AI40" s="150"/>
      <c r="AJ40" s="150"/>
      <c r="AK40" s="150"/>
      <c r="AL40" s="151"/>
      <c r="AM40" s="149" t="str">
        <f t="shared" ca="1" si="19"/>
        <v>メーカマスタテーブルから組入れ条件の第一条件で絞り込んだ結果を格納するテーブル</v>
      </c>
      <c r="AN40" s="150"/>
      <c r="AO40" s="150"/>
      <c r="AP40" s="150"/>
      <c r="AQ40" s="150"/>
      <c r="AR40" s="150"/>
      <c r="AS40" s="150"/>
      <c r="AT40" s="150"/>
      <c r="AU40" s="150"/>
      <c r="AV40" s="150"/>
      <c r="AW40" s="150"/>
      <c r="AX40" s="150"/>
      <c r="AY40" s="150"/>
      <c r="AZ40" s="150"/>
      <c r="BA40" s="150"/>
      <c r="BB40" s="150"/>
      <c r="BC40" s="150"/>
      <c r="BD40" s="150"/>
      <c r="BE40" s="150"/>
      <c r="BF40" s="150"/>
      <c r="BG40" s="150"/>
      <c r="BH40" s="150"/>
      <c r="BI40" s="150"/>
      <c r="BJ40" s="152"/>
      <c r="BK40" s="32" t="str">
        <f t="shared" si="16"/>
        <v>ENT_01_A3-22_バックアップ_メーカマスタ.sql</v>
      </c>
    </row>
    <row r="41" spans="1:63" ht="37.5" customHeight="1" outlineLevel="1">
      <c r="A41" s="34" t="str">
        <f t="shared" si="17"/>
        <v>バックアップ_薬価マスタ</v>
      </c>
      <c r="B41" s="143" t="str">
        <f t="shared" si="20"/>
        <v>01</v>
      </c>
      <c r="C41" s="144"/>
      <c r="D41" s="144"/>
      <c r="E41" s="144"/>
      <c r="F41" s="145"/>
      <c r="G41" s="146" t="s">
        <v>196</v>
      </c>
      <c r="H41" s="147"/>
      <c r="I41" s="147"/>
      <c r="J41" s="147"/>
      <c r="K41" s="147"/>
      <c r="L41" s="147"/>
      <c r="M41" s="147"/>
      <c r="N41" s="148"/>
      <c r="O41" s="81" t="s">
        <v>3243</v>
      </c>
      <c r="P41" s="140" t="s">
        <v>3263</v>
      </c>
      <c r="Q41" s="141"/>
      <c r="R41" s="141"/>
      <c r="S41" s="141"/>
      <c r="T41" s="141"/>
      <c r="U41" s="141"/>
      <c r="V41" s="141"/>
      <c r="W41" s="141"/>
      <c r="X41" s="141"/>
      <c r="Y41" s="141"/>
      <c r="Z41" s="141"/>
      <c r="AA41" s="141"/>
      <c r="AB41" s="141"/>
      <c r="AC41" s="141"/>
      <c r="AD41" s="142"/>
      <c r="AE41" s="149" t="str">
        <f t="shared" ca="1" si="18"/>
        <v>sny_202310_backup_mt_price</v>
      </c>
      <c r="AF41" s="150"/>
      <c r="AG41" s="150"/>
      <c r="AH41" s="150"/>
      <c r="AI41" s="150"/>
      <c r="AJ41" s="150"/>
      <c r="AK41" s="150"/>
      <c r="AL41" s="151"/>
      <c r="AM41" s="149" t="str">
        <f t="shared" ca="1" si="19"/>
        <v>薬価マスタテーブルから組入れ条件の第一条件で絞り込んだ結果を格納するテーブル</v>
      </c>
      <c r="AN41" s="150"/>
      <c r="AO41" s="150"/>
      <c r="AP41" s="150"/>
      <c r="AQ41" s="150"/>
      <c r="AR41" s="150"/>
      <c r="AS41" s="150"/>
      <c r="AT41" s="150"/>
      <c r="AU41" s="150"/>
      <c r="AV41" s="150"/>
      <c r="AW41" s="150"/>
      <c r="AX41" s="150"/>
      <c r="AY41" s="150"/>
      <c r="AZ41" s="150"/>
      <c r="BA41" s="150"/>
      <c r="BB41" s="150"/>
      <c r="BC41" s="150"/>
      <c r="BD41" s="150"/>
      <c r="BE41" s="150"/>
      <c r="BF41" s="150"/>
      <c r="BG41" s="150"/>
      <c r="BH41" s="150"/>
      <c r="BI41" s="150"/>
      <c r="BJ41" s="152"/>
      <c r="BK41" s="32" t="str">
        <f t="shared" si="16"/>
        <v>ENT_01_A3-23_バックアップ_薬価マスタ.sql</v>
      </c>
    </row>
    <row r="42" spans="1:63" ht="37.5" customHeight="1" outlineLevel="1">
      <c r="A42" s="34" t="str">
        <f t="shared" si="17"/>
        <v>バックアップ_薬効ATC分類1マスタ</v>
      </c>
      <c r="B42" s="143" t="str">
        <f t="shared" si="20"/>
        <v>01</v>
      </c>
      <c r="C42" s="144"/>
      <c r="D42" s="144"/>
      <c r="E42" s="144"/>
      <c r="F42" s="145"/>
      <c r="G42" s="146" t="s">
        <v>196</v>
      </c>
      <c r="H42" s="147"/>
      <c r="I42" s="147"/>
      <c r="J42" s="147"/>
      <c r="K42" s="147"/>
      <c r="L42" s="147"/>
      <c r="M42" s="147"/>
      <c r="N42" s="148"/>
      <c r="O42" s="81" t="s">
        <v>3244</v>
      </c>
      <c r="P42" s="140" t="s">
        <v>3264</v>
      </c>
      <c r="Q42" s="141"/>
      <c r="R42" s="141"/>
      <c r="S42" s="141"/>
      <c r="T42" s="141"/>
      <c r="U42" s="141"/>
      <c r="V42" s="141"/>
      <c r="W42" s="141"/>
      <c r="X42" s="141"/>
      <c r="Y42" s="141"/>
      <c r="Z42" s="141"/>
      <c r="AA42" s="141"/>
      <c r="AB42" s="141"/>
      <c r="AC42" s="141"/>
      <c r="AD42" s="142"/>
      <c r="AE42" s="149" t="str">
        <f t="shared" ca="1" si="18"/>
        <v>sny_202310_backup_mt_yakko_atc1</v>
      </c>
      <c r="AF42" s="150"/>
      <c r="AG42" s="150"/>
      <c r="AH42" s="150"/>
      <c r="AI42" s="150"/>
      <c r="AJ42" s="150"/>
      <c r="AK42" s="150"/>
      <c r="AL42" s="151"/>
      <c r="AM42" s="149" t="str">
        <f t="shared" ca="1" si="19"/>
        <v>薬効ATC分類1マスタテーブルから組入れ条件の第一条件で絞り込んだ結果を格納するテーブル</v>
      </c>
      <c r="AN42" s="150"/>
      <c r="AO42" s="150"/>
      <c r="AP42" s="150"/>
      <c r="AQ42" s="150"/>
      <c r="AR42" s="150"/>
      <c r="AS42" s="150"/>
      <c r="AT42" s="150"/>
      <c r="AU42" s="150"/>
      <c r="AV42" s="150"/>
      <c r="AW42" s="150"/>
      <c r="AX42" s="150"/>
      <c r="AY42" s="150"/>
      <c r="AZ42" s="150"/>
      <c r="BA42" s="150"/>
      <c r="BB42" s="150"/>
      <c r="BC42" s="150"/>
      <c r="BD42" s="150"/>
      <c r="BE42" s="150"/>
      <c r="BF42" s="150"/>
      <c r="BG42" s="150"/>
      <c r="BH42" s="150"/>
      <c r="BI42" s="150"/>
      <c r="BJ42" s="152"/>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43" t="str">
        <f t="shared" si="20"/>
        <v>01</v>
      </c>
      <c r="C43" s="144"/>
      <c r="D43" s="144"/>
      <c r="E43" s="144"/>
      <c r="F43" s="145"/>
      <c r="G43" s="146" t="s">
        <v>196</v>
      </c>
      <c r="H43" s="147"/>
      <c r="I43" s="147"/>
      <c r="J43" s="147"/>
      <c r="K43" s="147"/>
      <c r="L43" s="147"/>
      <c r="M43" s="147"/>
      <c r="N43" s="148"/>
      <c r="O43" s="81" t="s">
        <v>3245</v>
      </c>
      <c r="P43" s="140" t="s">
        <v>3265</v>
      </c>
      <c r="Q43" s="141"/>
      <c r="R43" s="141"/>
      <c r="S43" s="141"/>
      <c r="T43" s="141"/>
      <c r="U43" s="141"/>
      <c r="V43" s="141"/>
      <c r="W43" s="141"/>
      <c r="X43" s="141"/>
      <c r="Y43" s="141"/>
      <c r="Z43" s="141"/>
      <c r="AA43" s="141"/>
      <c r="AB43" s="141"/>
      <c r="AC43" s="141"/>
      <c r="AD43" s="142"/>
      <c r="AE43" s="149" t="str">
        <f t="shared" ca="1" si="18"/>
        <v>sny_202310_backup_mt_yakko_atc2</v>
      </c>
      <c r="AF43" s="150"/>
      <c r="AG43" s="150"/>
      <c r="AH43" s="150"/>
      <c r="AI43" s="150"/>
      <c r="AJ43" s="150"/>
      <c r="AK43" s="150"/>
      <c r="AL43" s="151"/>
      <c r="AM43" s="149" t="str">
        <f t="shared" ca="1" si="19"/>
        <v>薬効ATC分類2マスタテーブルから組入れ条件の第一条件で絞り込んだ結果を格納するテーブル</v>
      </c>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2"/>
      <c r="BK43" s="32" t="str">
        <f t="shared" si="21"/>
        <v>ENT_01_A3-25_バックアップ_薬効ATC分類2マスタ.sql</v>
      </c>
    </row>
    <row r="44" spans="1:63" ht="37.5" customHeight="1" outlineLevel="1">
      <c r="A44" s="34" t="str">
        <f t="shared" si="17"/>
        <v>バックアップ_薬効ATC分類3マスタ</v>
      </c>
      <c r="B44" s="143" t="str">
        <f t="shared" si="20"/>
        <v>01</v>
      </c>
      <c r="C44" s="144"/>
      <c r="D44" s="144"/>
      <c r="E44" s="144"/>
      <c r="F44" s="145"/>
      <c r="G44" s="146" t="s">
        <v>196</v>
      </c>
      <c r="H44" s="147"/>
      <c r="I44" s="147"/>
      <c r="J44" s="147"/>
      <c r="K44" s="147"/>
      <c r="L44" s="147"/>
      <c r="M44" s="147"/>
      <c r="N44" s="148"/>
      <c r="O44" s="81" t="s">
        <v>3246</v>
      </c>
      <c r="P44" s="140" t="s">
        <v>3266</v>
      </c>
      <c r="Q44" s="141"/>
      <c r="R44" s="141"/>
      <c r="S44" s="141"/>
      <c r="T44" s="141"/>
      <c r="U44" s="141"/>
      <c r="V44" s="141"/>
      <c r="W44" s="141"/>
      <c r="X44" s="141"/>
      <c r="Y44" s="141"/>
      <c r="Z44" s="141"/>
      <c r="AA44" s="141"/>
      <c r="AB44" s="141"/>
      <c r="AC44" s="141"/>
      <c r="AD44" s="142"/>
      <c r="AE44" s="149" t="str">
        <f t="shared" ca="1" si="18"/>
        <v>sny_202310_backup_mt_yakko_atc3</v>
      </c>
      <c r="AF44" s="150"/>
      <c r="AG44" s="150"/>
      <c r="AH44" s="150"/>
      <c r="AI44" s="150"/>
      <c r="AJ44" s="150"/>
      <c r="AK44" s="150"/>
      <c r="AL44" s="151"/>
      <c r="AM44" s="149" t="str">
        <f t="shared" ca="1" si="19"/>
        <v>薬効ATC分類3マスタテーブルから組入れ条件の第一条件で絞り込んだ結果を格納するテーブル</v>
      </c>
      <c r="AN44" s="150"/>
      <c r="AO44" s="150"/>
      <c r="AP44" s="150"/>
      <c r="AQ44" s="150"/>
      <c r="AR44" s="150"/>
      <c r="AS44" s="150"/>
      <c r="AT44" s="150"/>
      <c r="AU44" s="150"/>
      <c r="AV44" s="150"/>
      <c r="AW44" s="150"/>
      <c r="AX44" s="150"/>
      <c r="AY44" s="150"/>
      <c r="AZ44" s="150"/>
      <c r="BA44" s="150"/>
      <c r="BB44" s="150"/>
      <c r="BC44" s="150"/>
      <c r="BD44" s="150"/>
      <c r="BE44" s="150"/>
      <c r="BF44" s="150"/>
      <c r="BG44" s="150"/>
      <c r="BH44" s="150"/>
      <c r="BI44" s="150"/>
      <c r="BJ44" s="152"/>
      <c r="BK44" s="32" t="str">
        <f t="shared" si="21"/>
        <v>ENT_01_A3-26_バックアップ_薬効ATC分類3マスタ.sql</v>
      </c>
    </row>
    <row r="45" spans="1:63" ht="37.5" customHeight="1" outlineLevel="1">
      <c r="A45" s="34" t="str">
        <f t="shared" si="17"/>
        <v>バックアップ_薬効ATC分類4マスタ</v>
      </c>
      <c r="B45" s="143" t="str">
        <f t="shared" si="20"/>
        <v>01</v>
      </c>
      <c r="C45" s="144"/>
      <c r="D45" s="144"/>
      <c r="E45" s="144"/>
      <c r="F45" s="145"/>
      <c r="G45" s="146" t="s">
        <v>196</v>
      </c>
      <c r="H45" s="147"/>
      <c r="I45" s="147"/>
      <c r="J45" s="147"/>
      <c r="K45" s="147"/>
      <c r="L45" s="147"/>
      <c r="M45" s="147"/>
      <c r="N45" s="148"/>
      <c r="O45" s="81" t="s">
        <v>3247</v>
      </c>
      <c r="P45" s="140" t="s">
        <v>3267</v>
      </c>
      <c r="Q45" s="141"/>
      <c r="R45" s="141"/>
      <c r="S45" s="141"/>
      <c r="T45" s="141"/>
      <c r="U45" s="141"/>
      <c r="V45" s="141"/>
      <c r="W45" s="141"/>
      <c r="X45" s="141"/>
      <c r="Y45" s="141"/>
      <c r="Z45" s="141"/>
      <c r="AA45" s="141"/>
      <c r="AB45" s="141"/>
      <c r="AC45" s="141"/>
      <c r="AD45" s="142"/>
      <c r="AE45" s="149" t="str">
        <f t="shared" ca="1" si="18"/>
        <v>sny_202310_backup_mt_yakko_atc4</v>
      </c>
      <c r="AF45" s="150"/>
      <c r="AG45" s="150"/>
      <c r="AH45" s="150"/>
      <c r="AI45" s="150"/>
      <c r="AJ45" s="150"/>
      <c r="AK45" s="150"/>
      <c r="AL45" s="151"/>
      <c r="AM45" s="149" t="str">
        <f t="shared" ca="1" si="19"/>
        <v>薬効ATC分類4マスタテーブルから組入れ条件の第一条件で絞り込んだ結果を格納するテーブル</v>
      </c>
      <c r="AN45" s="150"/>
      <c r="AO45" s="150"/>
      <c r="AP45" s="150"/>
      <c r="AQ45" s="150"/>
      <c r="AR45" s="150"/>
      <c r="AS45" s="150"/>
      <c r="AT45" s="150"/>
      <c r="AU45" s="150"/>
      <c r="AV45" s="150"/>
      <c r="AW45" s="150"/>
      <c r="AX45" s="150"/>
      <c r="AY45" s="150"/>
      <c r="AZ45" s="150"/>
      <c r="BA45" s="150"/>
      <c r="BB45" s="150"/>
      <c r="BC45" s="150"/>
      <c r="BD45" s="150"/>
      <c r="BE45" s="150"/>
      <c r="BF45" s="150"/>
      <c r="BG45" s="150"/>
      <c r="BH45" s="150"/>
      <c r="BI45" s="150"/>
      <c r="BJ45" s="152"/>
      <c r="BK45" s="32" t="str">
        <f t="shared" si="21"/>
        <v>ENT_01_A3-27_バックアップ_薬効ATC分類4マスタ.sql</v>
      </c>
    </row>
    <row r="46" spans="1:63" ht="37.5" customHeight="1" outlineLevel="1">
      <c r="A46" s="34" t="str">
        <f t="shared" si="17"/>
        <v>バックアップ_薬効ATC分類5マスタ</v>
      </c>
      <c r="B46" s="143" t="str">
        <f t="shared" si="20"/>
        <v>01</v>
      </c>
      <c r="C46" s="144"/>
      <c r="D46" s="144"/>
      <c r="E46" s="144"/>
      <c r="F46" s="145"/>
      <c r="G46" s="146" t="s">
        <v>196</v>
      </c>
      <c r="H46" s="147"/>
      <c r="I46" s="147"/>
      <c r="J46" s="147"/>
      <c r="K46" s="147"/>
      <c r="L46" s="147"/>
      <c r="M46" s="147"/>
      <c r="N46" s="148"/>
      <c r="O46" s="81" t="s">
        <v>3248</v>
      </c>
      <c r="P46" s="140" t="s">
        <v>3268</v>
      </c>
      <c r="Q46" s="141"/>
      <c r="R46" s="141"/>
      <c r="S46" s="141"/>
      <c r="T46" s="141"/>
      <c r="U46" s="141"/>
      <c r="V46" s="141"/>
      <c r="W46" s="141"/>
      <c r="X46" s="141"/>
      <c r="Y46" s="141"/>
      <c r="Z46" s="141"/>
      <c r="AA46" s="141"/>
      <c r="AB46" s="141"/>
      <c r="AC46" s="141"/>
      <c r="AD46" s="142"/>
      <c r="AE46" s="149" t="str">
        <f t="shared" ref="AE46" ca="1" si="22">IFERROR(INDIRECT(P46&amp;"!D8"),"")</f>
        <v>sny_202310_backup_mt_yakko_atc5</v>
      </c>
      <c r="AF46" s="150"/>
      <c r="AG46" s="150"/>
      <c r="AH46" s="150"/>
      <c r="AI46" s="150"/>
      <c r="AJ46" s="150"/>
      <c r="AK46" s="150"/>
      <c r="AL46" s="151"/>
      <c r="AM46" s="149" t="str">
        <f t="shared" ref="AM46" ca="1" si="23">IFERROR(INDIRECT(P46&amp;"!D9"),"")</f>
        <v>薬効ATC分類5マスタテーブルから組入れ条件の第一条件で絞り込んだ結果を格納するテーブル</v>
      </c>
      <c r="AN46" s="150"/>
      <c r="AO46" s="150"/>
      <c r="AP46" s="150"/>
      <c r="AQ46" s="150"/>
      <c r="AR46" s="150"/>
      <c r="AS46" s="150"/>
      <c r="AT46" s="150"/>
      <c r="AU46" s="150"/>
      <c r="AV46" s="150"/>
      <c r="AW46" s="150"/>
      <c r="AX46" s="150"/>
      <c r="AY46" s="150"/>
      <c r="AZ46" s="150"/>
      <c r="BA46" s="150"/>
      <c r="BB46" s="150"/>
      <c r="BC46" s="150"/>
      <c r="BD46" s="150"/>
      <c r="BE46" s="150"/>
      <c r="BF46" s="150"/>
      <c r="BG46" s="150"/>
      <c r="BH46" s="150"/>
      <c r="BI46" s="150"/>
      <c r="BJ46" s="152"/>
      <c r="BK46" s="32" t="str">
        <f t="shared" si="21"/>
        <v>ENT_01_A3-28_バックアップ_薬効ATC分類5マスタ.sql</v>
      </c>
    </row>
    <row r="47" spans="1:63" ht="37.5" customHeight="1" outlineLevel="1">
      <c r="A47" s="34" t="str">
        <f t="shared" si="17"/>
        <v>バックアップ_疾病マスタ</v>
      </c>
      <c r="B47" s="143" t="str">
        <f t="shared" si="20"/>
        <v>01</v>
      </c>
      <c r="C47" s="144"/>
      <c r="D47" s="144"/>
      <c r="E47" s="144"/>
      <c r="F47" s="145"/>
      <c r="G47" s="146" t="s">
        <v>196</v>
      </c>
      <c r="H47" s="147"/>
      <c r="I47" s="147"/>
      <c r="J47" s="147"/>
      <c r="K47" s="147"/>
      <c r="L47" s="147"/>
      <c r="M47" s="147"/>
      <c r="N47" s="148"/>
      <c r="O47" s="81" t="s">
        <v>3249</v>
      </c>
      <c r="P47" s="140" t="s">
        <v>3269</v>
      </c>
      <c r="Q47" s="141"/>
      <c r="R47" s="141"/>
      <c r="S47" s="141"/>
      <c r="T47" s="141"/>
      <c r="U47" s="141"/>
      <c r="V47" s="141"/>
      <c r="W47" s="141"/>
      <c r="X47" s="141"/>
      <c r="Y47" s="141"/>
      <c r="Z47" s="141"/>
      <c r="AA47" s="141"/>
      <c r="AB47" s="141"/>
      <c r="AC47" s="141"/>
      <c r="AD47" s="142"/>
      <c r="AE47" s="149" t="str">
        <f t="shared" ref="AE47:AE51" ca="1" si="24">IFERROR(INDIRECT(P47&amp;"!D8"),"")</f>
        <v>sny_202310_backup_mt_shippei</v>
      </c>
      <c r="AF47" s="150"/>
      <c r="AG47" s="150"/>
      <c r="AH47" s="150"/>
      <c r="AI47" s="150"/>
      <c r="AJ47" s="150"/>
      <c r="AK47" s="150"/>
      <c r="AL47" s="151"/>
      <c r="AM47" s="149" t="str">
        <f t="shared" ref="AM47:AM51" ca="1" si="25">IFERROR(INDIRECT(P47&amp;"!D9"),"")</f>
        <v>疾病マスタテーブルから組入れ条件の第一条件で絞り込んだ結果を格納するテーブル</v>
      </c>
      <c r="AN47" s="150"/>
      <c r="AO47" s="150"/>
      <c r="AP47" s="150"/>
      <c r="AQ47" s="150"/>
      <c r="AR47" s="150"/>
      <c r="AS47" s="150"/>
      <c r="AT47" s="150"/>
      <c r="AU47" s="150"/>
      <c r="AV47" s="150"/>
      <c r="AW47" s="150"/>
      <c r="AX47" s="150"/>
      <c r="AY47" s="150"/>
      <c r="AZ47" s="150"/>
      <c r="BA47" s="150"/>
      <c r="BB47" s="150"/>
      <c r="BC47" s="150"/>
      <c r="BD47" s="150"/>
      <c r="BE47" s="150"/>
      <c r="BF47" s="150"/>
      <c r="BG47" s="150"/>
      <c r="BH47" s="150"/>
      <c r="BI47" s="150"/>
      <c r="BJ47" s="152"/>
      <c r="BK47" s="32" t="str">
        <f t="shared" si="21"/>
        <v>ENT_01_A3-29_バックアップ_疾病マスタ.sql</v>
      </c>
    </row>
    <row r="48" spans="1:63" ht="37.5" customHeight="1" outlineLevel="1">
      <c r="A48" s="34" t="str">
        <f t="shared" si="17"/>
        <v>バックアップ_ICD10大分類マスタ</v>
      </c>
      <c r="B48" s="143" t="str">
        <f t="shared" si="20"/>
        <v>01</v>
      </c>
      <c r="C48" s="144"/>
      <c r="D48" s="144"/>
      <c r="E48" s="144"/>
      <c r="F48" s="145"/>
      <c r="G48" s="146" t="s">
        <v>196</v>
      </c>
      <c r="H48" s="147"/>
      <c r="I48" s="147"/>
      <c r="J48" s="147"/>
      <c r="K48" s="147"/>
      <c r="L48" s="147"/>
      <c r="M48" s="147"/>
      <c r="N48" s="148"/>
      <c r="O48" s="81" t="s">
        <v>3253</v>
      </c>
      <c r="P48" s="140" t="s">
        <v>3270</v>
      </c>
      <c r="Q48" s="141"/>
      <c r="R48" s="141"/>
      <c r="S48" s="141"/>
      <c r="T48" s="141"/>
      <c r="U48" s="141"/>
      <c r="V48" s="141"/>
      <c r="W48" s="141"/>
      <c r="X48" s="141"/>
      <c r="Y48" s="141"/>
      <c r="Z48" s="141"/>
      <c r="AA48" s="141"/>
      <c r="AB48" s="141"/>
      <c r="AC48" s="141"/>
      <c r="AD48" s="142"/>
      <c r="AE48" s="149" t="str">
        <f t="shared" ca="1" si="24"/>
        <v>sny_202310_backup_mt_icd10_l</v>
      </c>
      <c r="AF48" s="150"/>
      <c r="AG48" s="150"/>
      <c r="AH48" s="150"/>
      <c r="AI48" s="150"/>
      <c r="AJ48" s="150"/>
      <c r="AK48" s="150"/>
      <c r="AL48" s="151"/>
      <c r="AM48" s="149" t="str">
        <f t="shared" ca="1" si="25"/>
        <v>ICD10大分類マスタテーブルから組入れ条件の第一条件で絞り込んだ結果を格納するテーブル</v>
      </c>
      <c r="AN48" s="150"/>
      <c r="AO48" s="150"/>
      <c r="AP48" s="150"/>
      <c r="AQ48" s="150"/>
      <c r="AR48" s="150"/>
      <c r="AS48" s="150"/>
      <c r="AT48" s="150"/>
      <c r="AU48" s="150"/>
      <c r="AV48" s="150"/>
      <c r="AW48" s="150"/>
      <c r="AX48" s="150"/>
      <c r="AY48" s="150"/>
      <c r="AZ48" s="150"/>
      <c r="BA48" s="150"/>
      <c r="BB48" s="150"/>
      <c r="BC48" s="150"/>
      <c r="BD48" s="150"/>
      <c r="BE48" s="150"/>
      <c r="BF48" s="150"/>
      <c r="BG48" s="150"/>
      <c r="BH48" s="150"/>
      <c r="BI48" s="150"/>
      <c r="BJ48" s="152"/>
      <c r="BK48" s="32" t="str">
        <f t="shared" si="21"/>
        <v>ENT_01_A3-30_バックアップ_ICD10大分類マスタ.sql</v>
      </c>
    </row>
    <row r="49" spans="1:63" ht="37.5" customHeight="1" outlineLevel="1">
      <c r="A49" s="34" t="str">
        <f t="shared" si="17"/>
        <v>バックアップ_ICD10中分類マスタ</v>
      </c>
      <c r="B49" s="143" t="str">
        <f t="shared" si="20"/>
        <v>01</v>
      </c>
      <c r="C49" s="144"/>
      <c r="D49" s="144"/>
      <c r="E49" s="144"/>
      <c r="F49" s="145"/>
      <c r="G49" s="146" t="s">
        <v>196</v>
      </c>
      <c r="H49" s="147"/>
      <c r="I49" s="147"/>
      <c r="J49" s="147"/>
      <c r="K49" s="147"/>
      <c r="L49" s="147"/>
      <c r="M49" s="147"/>
      <c r="N49" s="148"/>
      <c r="O49" s="81" t="s">
        <v>3250</v>
      </c>
      <c r="P49" s="140" t="s">
        <v>3271</v>
      </c>
      <c r="Q49" s="141"/>
      <c r="R49" s="141"/>
      <c r="S49" s="141"/>
      <c r="T49" s="141"/>
      <c r="U49" s="141"/>
      <c r="V49" s="141"/>
      <c r="W49" s="141"/>
      <c r="X49" s="141"/>
      <c r="Y49" s="141"/>
      <c r="Z49" s="141"/>
      <c r="AA49" s="141"/>
      <c r="AB49" s="141"/>
      <c r="AC49" s="141"/>
      <c r="AD49" s="142"/>
      <c r="AE49" s="149" t="str">
        <f t="shared" ca="1" si="24"/>
        <v>sny_202310_backup_mt_icd10_m</v>
      </c>
      <c r="AF49" s="150"/>
      <c r="AG49" s="150"/>
      <c r="AH49" s="150"/>
      <c r="AI49" s="150"/>
      <c r="AJ49" s="150"/>
      <c r="AK49" s="150"/>
      <c r="AL49" s="151"/>
      <c r="AM49" s="149" t="str">
        <f t="shared" ca="1" si="25"/>
        <v>ICD10中分類マスタテーブルから組入れ条件の第一条件で絞り込んだ結果を格納するテーブル</v>
      </c>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2"/>
      <c r="BK49" s="32" t="str">
        <f t="shared" si="21"/>
        <v>ENT_01_A3-31_バックアップ_ICD10中分類マスタ.sql</v>
      </c>
    </row>
    <row r="50" spans="1:63" ht="37.5" customHeight="1" outlineLevel="1">
      <c r="A50" s="34" t="str">
        <f t="shared" si="17"/>
        <v>バックアップ_ICD10小分類マスタ</v>
      </c>
      <c r="B50" s="143" t="str">
        <f t="shared" si="20"/>
        <v>01</v>
      </c>
      <c r="C50" s="144"/>
      <c r="D50" s="144"/>
      <c r="E50" s="144"/>
      <c r="F50" s="145"/>
      <c r="G50" s="146" t="s">
        <v>196</v>
      </c>
      <c r="H50" s="147"/>
      <c r="I50" s="147"/>
      <c r="J50" s="147"/>
      <c r="K50" s="147"/>
      <c r="L50" s="147"/>
      <c r="M50" s="147"/>
      <c r="N50" s="148"/>
      <c r="O50" s="81" t="s">
        <v>3251</v>
      </c>
      <c r="P50" s="140" t="s">
        <v>3272</v>
      </c>
      <c r="Q50" s="141"/>
      <c r="R50" s="141"/>
      <c r="S50" s="141"/>
      <c r="T50" s="141"/>
      <c r="U50" s="141"/>
      <c r="V50" s="141"/>
      <c r="W50" s="141"/>
      <c r="X50" s="141"/>
      <c r="Y50" s="141"/>
      <c r="Z50" s="141"/>
      <c r="AA50" s="141"/>
      <c r="AB50" s="141"/>
      <c r="AC50" s="141"/>
      <c r="AD50" s="142"/>
      <c r="AE50" s="149" t="str">
        <f t="shared" ca="1" si="24"/>
        <v>sny_202310_backup_mt_icd10_s</v>
      </c>
      <c r="AF50" s="150"/>
      <c r="AG50" s="150"/>
      <c r="AH50" s="150"/>
      <c r="AI50" s="150"/>
      <c r="AJ50" s="150"/>
      <c r="AK50" s="150"/>
      <c r="AL50" s="151"/>
      <c r="AM50" s="149" t="str">
        <f t="shared" ca="1" si="25"/>
        <v>ICD10小分類マスタテーブルから組入れ条件の第一条件で絞り込んだ結果を格納するテーブル</v>
      </c>
      <c r="AN50" s="150"/>
      <c r="AO50" s="150"/>
      <c r="AP50" s="150"/>
      <c r="AQ50" s="150"/>
      <c r="AR50" s="150"/>
      <c r="AS50" s="150"/>
      <c r="AT50" s="150"/>
      <c r="AU50" s="150"/>
      <c r="AV50" s="150"/>
      <c r="AW50" s="150"/>
      <c r="AX50" s="150"/>
      <c r="AY50" s="150"/>
      <c r="AZ50" s="150"/>
      <c r="BA50" s="150"/>
      <c r="BB50" s="150"/>
      <c r="BC50" s="150"/>
      <c r="BD50" s="150"/>
      <c r="BE50" s="150"/>
      <c r="BF50" s="150"/>
      <c r="BG50" s="150"/>
      <c r="BH50" s="150"/>
      <c r="BI50" s="150"/>
      <c r="BJ50" s="152"/>
      <c r="BK50" s="32" t="str">
        <f t="shared" si="21"/>
        <v>ENT_01_A3-32_バックアップ_ICD10小分類マスタ.sql</v>
      </c>
    </row>
    <row r="51" spans="1:63" ht="37.5" customHeight="1" outlineLevel="1">
      <c r="A51" s="34" t="str">
        <f t="shared" si="17"/>
        <v>バックアップ_ICD10細分類マスタ</v>
      </c>
      <c r="B51" s="143" t="str">
        <f t="shared" si="20"/>
        <v>01</v>
      </c>
      <c r="C51" s="144"/>
      <c r="D51" s="144"/>
      <c r="E51" s="144"/>
      <c r="F51" s="145"/>
      <c r="G51" s="146" t="s">
        <v>196</v>
      </c>
      <c r="H51" s="147"/>
      <c r="I51" s="147"/>
      <c r="J51" s="147"/>
      <c r="K51" s="147"/>
      <c r="L51" s="147"/>
      <c r="M51" s="147"/>
      <c r="N51" s="148"/>
      <c r="O51" s="81" t="s">
        <v>3252</v>
      </c>
      <c r="P51" s="140" t="s">
        <v>3273</v>
      </c>
      <c r="Q51" s="141"/>
      <c r="R51" s="141"/>
      <c r="S51" s="141"/>
      <c r="T51" s="141"/>
      <c r="U51" s="141"/>
      <c r="V51" s="141"/>
      <c r="W51" s="141"/>
      <c r="X51" s="141"/>
      <c r="Y51" s="141"/>
      <c r="Z51" s="141"/>
      <c r="AA51" s="141"/>
      <c r="AB51" s="141"/>
      <c r="AC51" s="141"/>
      <c r="AD51" s="142"/>
      <c r="AE51" s="149" t="str">
        <f t="shared" ca="1" si="24"/>
        <v>sny_202310_backup_mt_icd10_ss</v>
      </c>
      <c r="AF51" s="150"/>
      <c r="AG51" s="150"/>
      <c r="AH51" s="150"/>
      <c r="AI51" s="150"/>
      <c r="AJ51" s="150"/>
      <c r="AK51" s="150"/>
      <c r="AL51" s="151"/>
      <c r="AM51" s="149" t="str">
        <f t="shared" ca="1" si="25"/>
        <v>ICD10細分類マスタテーブルから組入れ条件の第一条件で絞り込んだ結果を格納するテーブル</v>
      </c>
      <c r="AN51" s="150"/>
      <c r="AO51" s="150"/>
      <c r="AP51" s="150"/>
      <c r="AQ51" s="150"/>
      <c r="AR51" s="150"/>
      <c r="AS51" s="150"/>
      <c r="AT51" s="150"/>
      <c r="AU51" s="150"/>
      <c r="AV51" s="150"/>
      <c r="AW51" s="150"/>
      <c r="AX51" s="150"/>
      <c r="AY51" s="150"/>
      <c r="AZ51" s="150"/>
      <c r="BA51" s="150"/>
      <c r="BB51" s="150"/>
      <c r="BC51" s="150"/>
      <c r="BD51" s="150"/>
      <c r="BE51" s="150"/>
      <c r="BF51" s="150"/>
      <c r="BG51" s="150"/>
      <c r="BH51" s="150"/>
      <c r="BI51" s="150"/>
      <c r="BJ51" s="152"/>
      <c r="BK51" s="32" t="str">
        <f t="shared" si="21"/>
        <v>ENT_01_A3-33_バックアップ_ICD10細分類マスタ.sql</v>
      </c>
    </row>
    <row r="52" spans="1:63" ht="37.5" customHeight="1" outlineLevel="1">
      <c r="A52" s="34" t="str">
        <f t="shared" ref="A52:A55" si="26">P52</f>
        <v>バックアップ_DPC2桁マスタ</v>
      </c>
      <c r="B52" s="143" t="str">
        <f t="shared" si="20"/>
        <v>01</v>
      </c>
      <c r="C52" s="144"/>
      <c r="D52" s="144"/>
      <c r="E52" s="144"/>
      <c r="F52" s="145"/>
      <c r="G52" s="146" t="s">
        <v>196</v>
      </c>
      <c r="H52" s="147"/>
      <c r="I52" s="147"/>
      <c r="J52" s="147"/>
      <c r="K52" s="147"/>
      <c r="L52" s="147"/>
      <c r="M52" s="147"/>
      <c r="N52" s="148"/>
      <c r="O52" s="81" t="s">
        <v>3254</v>
      </c>
      <c r="P52" s="140" t="s">
        <v>3274</v>
      </c>
      <c r="Q52" s="141"/>
      <c r="R52" s="141"/>
      <c r="S52" s="141"/>
      <c r="T52" s="141"/>
      <c r="U52" s="141"/>
      <c r="V52" s="141"/>
      <c r="W52" s="141"/>
      <c r="X52" s="141"/>
      <c r="Y52" s="141"/>
      <c r="Z52" s="141"/>
      <c r="AA52" s="141"/>
      <c r="AB52" s="141"/>
      <c r="AC52" s="141"/>
      <c r="AD52" s="142"/>
      <c r="AE52" s="149" t="str">
        <f t="shared" ref="AE52:AE55" ca="1" si="27">IFERROR(INDIRECT(P52&amp;"!D8"),"")</f>
        <v>sny_202310_backup_mt_dpc2</v>
      </c>
      <c r="AF52" s="150"/>
      <c r="AG52" s="150"/>
      <c r="AH52" s="150"/>
      <c r="AI52" s="150"/>
      <c r="AJ52" s="150"/>
      <c r="AK52" s="150"/>
      <c r="AL52" s="151"/>
      <c r="AM52" s="149" t="str">
        <f t="shared" ref="AM52:AM55" ca="1" si="28">IFERROR(INDIRECT(P52&amp;"!D9"),"")</f>
        <v>DPC2桁マスタテーブルから組入れ条件の第一条件で絞り込んだ結果を格納するテーブル</v>
      </c>
      <c r="AN52" s="150"/>
      <c r="AO52" s="150"/>
      <c r="AP52" s="150"/>
      <c r="AQ52" s="150"/>
      <c r="AR52" s="150"/>
      <c r="AS52" s="150"/>
      <c r="AT52" s="150"/>
      <c r="AU52" s="150"/>
      <c r="AV52" s="150"/>
      <c r="AW52" s="150"/>
      <c r="AX52" s="150"/>
      <c r="AY52" s="150"/>
      <c r="AZ52" s="150"/>
      <c r="BA52" s="150"/>
      <c r="BB52" s="150"/>
      <c r="BC52" s="150"/>
      <c r="BD52" s="150"/>
      <c r="BE52" s="150"/>
      <c r="BF52" s="150"/>
      <c r="BG52" s="150"/>
      <c r="BH52" s="150"/>
      <c r="BI52" s="150"/>
      <c r="BJ52" s="152"/>
      <c r="BK52" s="32" t="str">
        <f t="shared" ref="BK52:BK55" si="29">IF(P52&lt;&gt;"",O52&amp;"_"&amp;P52&amp;".sql","")</f>
        <v>ENT_01_A3-34_バックアップ_DPC2桁マスタ.sql</v>
      </c>
    </row>
    <row r="53" spans="1:63" ht="37.5" customHeight="1" outlineLevel="1">
      <c r="A53" s="34" t="str">
        <f t="shared" si="26"/>
        <v>バックアップ_DPC6桁マスタ</v>
      </c>
      <c r="B53" s="143" t="str">
        <f t="shared" si="20"/>
        <v>01</v>
      </c>
      <c r="C53" s="144"/>
      <c r="D53" s="144"/>
      <c r="E53" s="144"/>
      <c r="F53" s="145"/>
      <c r="G53" s="146" t="s">
        <v>196</v>
      </c>
      <c r="H53" s="147"/>
      <c r="I53" s="147"/>
      <c r="J53" s="147"/>
      <c r="K53" s="147"/>
      <c r="L53" s="147"/>
      <c r="M53" s="147"/>
      <c r="N53" s="148"/>
      <c r="O53" s="81" t="s">
        <v>3255</v>
      </c>
      <c r="P53" s="140" t="s">
        <v>3275</v>
      </c>
      <c r="Q53" s="141"/>
      <c r="R53" s="141"/>
      <c r="S53" s="141"/>
      <c r="T53" s="141"/>
      <c r="U53" s="141"/>
      <c r="V53" s="141"/>
      <c r="W53" s="141"/>
      <c r="X53" s="141"/>
      <c r="Y53" s="141"/>
      <c r="Z53" s="141"/>
      <c r="AA53" s="141"/>
      <c r="AB53" s="141"/>
      <c r="AC53" s="141"/>
      <c r="AD53" s="142"/>
      <c r="AE53" s="149" t="str">
        <f t="shared" ca="1" si="27"/>
        <v>sny_202310_backup_mt_dpc6</v>
      </c>
      <c r="AF53" s="150"/>
      <c r="AG53" s="150"/>
      <c r="AH53" s="150"/>
      <c r="AI53" s="150"/>
      <c r="AJ53" s="150"/>
      <c r="AK53" s="150"/>
      <c r="AL53" s="151"/>
      <c r="AM53" s="149" t="str">
        <f t="shared" ca="1" si="28"/>
        <v>DPC6桁マスタテーブルから組入れ条件の第一条件で絞り込んだ結果を格納するテーブル</v>
      </c>
      <c r="AN53" s="150"/>
      <c r="AO53" s="150"/>
      <c r="AP53" s="150"/>
      <c r="AQ53" s="150"/>
      <c r="AR53" s="150"/>
      <c r="AS53" s="150"/>
      <c r="AT53" s="150"/>
      <c r="AU53" s="150"/>
      <c r="AV53" s="150"/>
      <c r="AW53" s="150"/>
      <c r="AX53" s="150"/>
      <c r="AY53" s="150"/>
      <c r="AZ53" s="150"/>
      <c r="BA53" s="150"/>
      <c r="BB53" s="150"/>
      <c r="BC53" s="150"/>
      <c r="BD53" s="150"/>
      <c r="BE53" s="150"/>
      <c r="BF53" s="150"/>
      <c r="BG53" s="150"/>
      <c r="BH53" s="150"/>
      <c r="BI53" s="150"/>
      <c r="BJ53" s="152"/>
      <c r="BK53" s="32" t="str">
        <f t="shared" si="29"/>
        <v>ENT_01_A3-35_バックアップ_DPC6桁マスタ.sql</v>
      </c>
    </row>
    <row r="54" spans="1:63" ht="37.5" customHeight="1" outlineLevel="1">
      <c r="A54" s="34" t="str">
        <f t="shared" si="26"/>
        <v>バックアップ_郵便番号マスタ</v>
      </c>
      <c r="B54" s="143" t="str">
        <f t="shared" si="20"/>
        <v>01</v>
      </c>
      <c r="C54" s="144"/>
      <c r="D54" s="144"/>
      <c r="E54" s="144"/>
      <c r="F54" s="145"/>
      <c r="G54" s="146" t="s">
        <v>196</v>
      </c>
      <c r="H54" s="147"/>
      <c r="I54" s="147"/>
      <c r="J54" s="147"/>
      <c r="K54" s="147"/>
      <c r="L54" s="147"/>
      <c r="M54" s="147"/>
      <c r="N54" s="148"/>
      <c r="O54" s="81" t="s">
        <v>3256</v>
      </c>
      <c r="P54" s="140" t="s">
        <v>3276</v>
      </c>
      <c r="Q54" s="141"/>
      <c r="R54" s="141"/>
      <c r="S54" s="141"/>
      <c r="T54" s="141"/>
      <c r="U54" s="141"/>
      <c r="V54" s="141"/>
      <c r="W54" s="141"/>
      <c r="X54" s="141"/>
      <c r="Y54" s="141"/>
      <c r="Z54" s="141"/>
      <c r="AA54" s="141"/>
      <c r="AB54" s="141"/>
      <c r="AC54" s="141"/>
      <c r="AD54" s="142"/>
      <c r="AE54" s="149" t="str">
        <f t="shared" ca="1" si="27"/>
        <v>sny_202310_backup_mt_postal</v>
      </c>
      <c r="AF54" s="150"/>
      <c r="AG54" s="150"/>
      <c r="AH54" s="150"/>
      <c r="AI54" s="150"/>
      <c r="AJ54" s="150"/>
      <c r="AK54" s="150"/>
      <c r="AL54" s="151"/>
      <c r="AM54" s="149" t="str">
        <f t="shared" ca="1" si="28"/>
        <v>郵便番号マスタテーブルから組入れ条件の第一条件で絞り込んだ結果を格納するテーブル</v>
      </c>
      <c r="AN54" s="150"/>
      <c r="AO54" s="150"/>
      <c r="AP54" s="150"/>
      <c r="AQ54" s="150"/>
      <c r="AR54" s="150"/>
      <c r="AS54" s="150"/>
      <c r="AT54" s="150"/>
      <c r="AU54" s="150"/>
      <c r="AV54" s="150"/>
      <c r="AW54" s="150"/>
      <c r="AX54" s="150"/>
      <c r="AY54" s="150"/>
      <c r="AZ54" s="150"/>
      <c r="BA54" s="150"/>
      <c r="BB54" s="150"/>
      <c r="BC54" s="150"/>
      <c r="BD54" s="150"/>
      <c r="BE54" s="150"/>
      <c r="BF54" s="150"/>
      <c r="BG54" s="150"/>
      <c r="BH54" s="150"/>
      <c r="BI54" s="150"/>
      <c r="BJ54" s="152"/>
      <c r="BK54" s="32" t="str">
        <f t="shared" si="29"/>
        <v>ENT_01_A3-36_バックアップ_郵便番号マスタ.sql</v>
      </c>
    </row>
    <row r="55" spans="1:63" ht="37.5" customHeight="1" outlineLevel="1">
      <c r="A55" s="34" t="str">
        <f t="shared" si="26"/>
        <v>バックアップ_特定機材マスタ</v>
      </c>
      <c r="B55" s="143" t="str">
        <f t="shared" si="20"/>
        <v>01</v>
      </c>
      <c r="C55" s="144"/>
      <c r="D55" s="144"/>
      <c r="E55" s="144"/>
      <c r="F55" s="145"/>
      <c r="G55" s="146" t="s">
        <v>196</v>
      </c>
      <c r="H55" s="147"/>
      <c r="I55" s="147"/>
      <c r="J55" s="147"/>
      <c r="K55" s="147"/>
      <c r="L55" s="147"/>
      <c r="M55" s="147"/>
      <c r="N55" s="148"/>
      <c r="O55" s="81" t="s">
        <v>3257</v>
      </c>
      <c r="P55" s="140" t="s">
        <v>3277</v>
      </c>
      <c r="Q55" s="141"/>
      <c r="R55" s="141"/>
      <c r="S55" s="141"/>
      <c r="T55" s="141"/>
      <c r="U55" s="141"/>
      <c r="V55" s="141"/>
      <c r="W55" s="141"/>
      <c r="X55" s="141"/>
      <c r="Y55" s="141"/>
      <c r="Z55" s="141"/>
      <c r="AA55" s="141"/>
      <c r="AB55" s="141"/>
      <c r="AC55" s="141"/>
      <c r="AD55" s="142"/>
      <c r="AE55" s="149" t="str">
        <f t="shared" ca="1" si="27"/>
        <v>sny_202310_backup_mt_tokutei_kizai</v>
      </c>
      <c r="AF55" s="150"/>
      <c r="AG55" s="150"/>
      <c r="AH55" s="150"/>
      <c r="AI55" s="150"/>
      <c r="AJ55" s="150"/>
      <c r="AK55" s="150"/>
      <c r="AL55" s="151"/>
      <c r="AM55" s="149" t="str">
        <f t="shared" ca="1" si="28"/>
        <v>特定機材マスタテーブルから組入れ条件の第一条件で絞り込んだ結果を格納するテーブル</v>
      </c>
      <c r="AN55" s="150"/>
      <c r="AO55" s="150"/>
      <c r="AP55" s="150"/>
      <c r="AQ55" s="150"/>
      <c r="AR55" s="150"/>
      <c r="AS55" s="150"/>
      <c r="AT55" s="150"/>
      <c r="AU55" s="150"/>
      <c r="AV55" s="150"/>
      <c r="AW55" s="150"/>
      <c r="AX55" s="150"/>
      <c r="AY55" s="150"/>
      <c r="AZ55" s="150"/>
      <c r="BA55" s="150"/>
      <c r="BB55" s="150"/>
      <c r="BC55" s="150"/>
      <c r="BD55" s="150"/>
      <c r="BE55" s="150"/>
      <c r="BF55" s="150"/>
      <c r="BG55" s="150"/>
      <c r="BH55" s="150"/>
      <c r="BI55" s="150"/>
      <c r="BJ55" s="152"/>
      <c r="BK55" s="32" t="str">
        <f t="shared" si="29"/>
        <v>ENT_01_A3-37_バックアップ_特定機材マスタ.sql</v>
      </c>
    </row>
    <row r="56" spans="1:63" ht="37.5" customHeight="1" outlineLevel="1">
      <c r="A56" s="34" t="str">
        <f t="shared" ref="A56:A68" si="30">P56</f>
        <v>バックアップ_年度マスタ</v>
      </c>
      <c r="B56" s="143" t="str">
        <f t="shared" si="20"/>
        <v>01</v>
      </c>
      <c r="C56" s="144"/>
      <c r="D56" s="144"/>
      <c r="E56" s="144"/>
      <c r="F56" s="145"/>
      <c r="G56" s="146" t="s">
        <v>196</v>
      </c>
      <c r="H56" s="147"/>
      <c r="I56" s="147"/>
      <c r="J56" s="147"/>
      <c r="K56" s="147"/>
      <c r="L56" s="147"/>
      <c r="M56" s="147"/>
      <c r="N56" s="148"/>
      <c r="O56" s="81" t="s">
        <v>3179</v>
      </c>
      <c r="P56" s="140" t="s">
        <v>2450</v>
      </c>
      <c r="Q56" s="141"/>
      <c r="R56" s="141"/>
      <c r="S56" s="141"/>
      <c r="T56" s="141"/>
      <c r="U56" s="141"/>
      <c r="V56" s="141"/>
      <c r="W56" s="141"/>
      <c r="X56" s="141"/>
      <c r="Y56" s="141"/>
      <c r="Z56" s="141"/>
      <c r="AA56" s="141"/>
      <c r="AB56" s="141"/>
      <c r="AC56" s="141"/>
      <c r="AD56" s="142"/>
      <c r="AE56" s="149" t="str">
        <f t="shared" ref="AE56:AE68" ca="1" si="31">IFERROR(INDIRECT(P56&amp;"!D8"),"")</f>
        <v>sny_202310_backup_mt2_nendo</v>
      </c>
      <c r="AF56" s="150"/>
      <c r="AG56" s="150"/>
      <c r="AH56" s="150"/>
      <c r="AI56" s="150"/>
      <c r="AJ56" s="150"/>
      <c r="AK56" s="150"/>
      <c r="AL56" s="151"/>
      <c r="AM56" s="149" t="str">
        <f t="shared" ref="AM56:AM68" ca="1" si="32">IFERROR(INDIRECT(P56&amp;"!D9"),"")</f>
        <v>年度マスタテーブルから組入れ条件の第一条件で絞り込んだ結果を格納するテーブル</v>
      </c>
      <c r="AN56" s="150"/>
      <c r="AO56" s="150"/>
      <c r="AP56" s="150"/>
      <c r="AQ56" s="150"/>
      <c r="AR56" s="150"/>
      <c r="AS56" s="150"/>
      <c r="AT56" s="150"/>
      <c r="AU56" s="150"/>
      <c r="AV56" s="150"/>
      <c r="AW56" s="150"/>
      <c r="AX56" s="150"/>
      <c r="AY56" s="150"/>
      <c r="AZ56" s="150"/>
      <c r="BA56" s="150"/>
      <c r="BB56" s="150"/>
      <c r="BC56" s="150"/>
      <c r="BD56" s="150"/>
      <c r="BE56" s="150"/>
      <c r="BF56" s="150"/>
      <c r="BG56" s="150"/>
      <c r="BH56" s="150"/>
      <c r="BI56" s="150"/>
      <c r="BJ56" s="152"/>
      <c r="BK56" s="32" t="str">
        <f t="shared" si="16"/>
        <v>ENT_01_A4-01_バックアップ_年度マスタ.sql</v>
      </c>
    </row>
    <row r="57" spans="1:63" ht="37.5" customHeight="1" outlineLevel="1">
      <c r="A57" s="34" t="str">
        <f t="shared" si="30"/>
        <v>バックアップ_都道府県地方コードマスタ</v>
      </c>
      <c r="B57" s="143" t="str">
        <f t="shared" si="20"/>
        <v>01</v>
      </c>
      <c r="C57" s="144"/>
      <c r="D57" s="144"/>
      <c r="E57" s="144"/>
      <c r="F57" s="145"/>
      <c r="G57" s="146" t="s">
        <v>196</v>
      </c>
      <c r="H57" s="147"/>
      <c r="I57" s="147"/>
      <c r="J57" s="147"/>
      <c r="K57" s="147"/>
      <c r="L57" s="147"/>
      <c r="M57" s="147"/>
      <c r="N57" s="148"/>
      <c r="O57" s="81" t="s">
        <v>3180</v>
      </c>
      <c r="P57" s="140" t="s">
        <v>2474</v>
      </c>
      <c r="Q57" s="141"/>
      <c r="R57" s="141"/>
      <c r="S57" s="141"/>
      <c r="T57" s="141"/>
      <c r="U57" s="141"/>
      <c r="V57" s="141"/>
      <c r="W57" s="141"/>
      <c r="X57" s="141"/>
      <c r="Y57" s="141"/>
      <c r="Z57" s="141"/>
      <c r="AA57" s="141"/>
      <c r="AB57" s="141"/>
      <c r="AC57" s="141"/>
      <c r="AD57" s="142"/>
      <c r="AE57" s="149" t="str">
        <f t="shared" ca="1" si="31"/>
        <v>sny_202310_backup_mt2_prefecture_region</v>
      </c>
      <c r="AF57" s="150"/>
      <c r="AG57" s="150"/>
      <c r="AH57" s="150"/>
      <c r="AI57" s="150"/>
      <c r="AJ57" s="150"/>
      <c r="AK57" s="150"/>
      <c r="AL57" s="151"/>
      <c r="AM57" s="149" t="str">
        <f t="shared" ca="1" si="32"/>
        <v>都道府県地方コードマスタテーブルから組入れ条件の第一条件で絞り込んだ結果を格納するテーブル</v>
      </c>
      <c r="AN57" s="150"/>
      <c r="AO57" s="150"/>
      <c r="AP57" s="150"/>
      <c r="AQ57" s="150"/>
      <c r="AR57" s="150"/>
      <c r="AS57" s="150"/>
      <c r="AT57" s="150"/>
      <c r="AU57" s="150"/>
      <c r="AV57" s="150"/>
      <c r="AW57" s="150"/>
      <c r="AX57" s="150"/>
      <c r="AY57" s="150"/>
      <c r="AZ57" s="150"/>
      <c r="BA57" s="150"/>
      <c r="BB57" s="150"/>
      <c r="BC57" s="150"/>
      <c r="BD57" s="150"/>
      <c r="BE57" s="150"/>
      <c r="BF57" s="150"/>
      <c r="BG57" s="150"/>
      <c r="BH57" s="150"/>
      <c r="BI57" s="150"/>
      <c r="BJ57" s="152"/>
      <c r="BK57" s="32" t="str">
        <f t="shared" si="16"/>
        <v>ENT_01_A4-02_バックアップ_都道府県地方コードマスタ.sql</v>
      </c>
    </row>
    <row r="58" spans="1:63" ht="37.5" customHeight="1" outlineLevel="1">
      <c r="A58" s="34" t="str">
        <f t="shared" si="30"/>
        <v>バックアップ_施設属性マスタ</v>
      </c>
      <c r="B58" s="143" t="str">
        <f t="shared" si="20"/>
        <v>01</v>
      </c>
      <c r="C58" s="144"/>
      <c r="D58" s="144"/>
      <c r="E58" s="144"/>
      <c r="F58" s="145"/>
      <c r="G58" s="146" t="s">
        <v>196</v>
      </c>
      <c r="H58" s="147"/>
      <c r="I58" s="147"/>
      <c r="J58" s="147"/>
      <c r="K58" s="147"/>
      <c r="L58" s="147"/>
      <c r="M58" s="147"/>
      <c r="N58" s="148"/>
      <c r="O58" s="81" t="s">
        <v>3181</v>
      </c>
      <c r="P58" s="140" t="s">
        <v>2510</v>
      </c>
      <c r="Q58" s="141"/>
      <c r="R58" s="141"/>
      <c r="S58" s="141"/>
      <c r="T58" s="141"/>
      <c r="U58" s="141"/>
      <c r="V58" s="141"/>
      <c r="W58" s="141"/>
      <c r="X58" s="141"/>
      <c r="Y58" s="141"/>
      <c r="Z58" s="141"/>
      <c r="AA58" s="141"/>
      <c r="AB58" s="141"/>
      <c r="AC58" s="141"/>
      <c r="AD58" s="142"/>
      <c r="AE58" s="149" t="str">
        <f t="shared" ca="1" si="31"/>
        <v>sny_202310_backup_mt2_shisetsu_zokusei</v>
      </c>
      <c r="AF58" s="150"/>
      <c r="AG58" s="150"/>
      <c r="AH58" s="150"/>
      <c r="AI58" s="150"/>
      <c r="AJ58" s="150"/>
      <c r="AK58" s="150"/>
      <c r="AL58" s="151"/>
      <c r="AM58" s="149" t="str">
        <f t="shared" ca="1" si="32"/>
        <v>施設属性マスタテーブルから組入れ条件の第一条件で絞り込んだ結果を格納するテーブル</v>
      </c>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2"/>
      <c r="BK58" s="32" t="str">
        <f t="shared" si="16"/>
        <v>ENT_01_A4-03_バックアップ_施設属性マスタ.sql</v>
      </c>
    </row>
    <row r="59" spans="1:63" ht="37.5" customHeight="1" outlineLevel="1">
      <c r="A59" s="34" t="str">
        <f t="shared" si="30"/>
        <v>バックアップ_二次医療圏マスタ</v>
      </c>
      <c r="B59" s="143" t="str">
        <f t="shared" si="20"/>
        <v>01</v>
      </c>
      <c r="C59" s="144"/>
      <c r="D59" s="144"/>
      <c r="E59" s="144"/>
      <c r="F59" s="145"/>
      <c r="G59" s="146" t="s">
        <v>196</v>
      </c>
      <c r="H59" s="147"/>
      <c r="I59" s="147"/>
      <c r="J59" s="147"/>
      <c r="K59" s="147"/>
      <c r="L59" s="147"/>
      <c r="M59" s="147"/>
      <c r="N59" s="148"/>
      <c r="O59" s="81" t="s">
        <v>3182</v>
      </c>
      <c r="P59" s="140" t="s">
        <v>2553</v>
      </c>
      <c r="Q59" s="141"/>
      <c r="R59" s="141"/>
      <c r="S59" s="141"/>
      <c r="T59" s="141"/>
      <c r="U59" s="141"/>
      <c r="V59" s="141"/>
      <c r="W59" s="141"/>
      <c r="X59" s="141"/>
      <c r="Y59" s="141"/>
      <c r="Z59" s="141"/>
      <c r="AA59" s="141"/>
      <c r="AB59" s="141"/>
      <c r="AC59" s="141"/>
      <c r="AD59" s="142"/>
      <c r="AE59" s="149" t="str">
        <f t="shared" ca="1" si="31"/>
        <v>sny_202310_backup_mt2_iryouken2</v>
      </c>
      <c r="AF59" s="150"/>
      <c r="AG59" s="150"/>
      <c r="AH59" s="150"/>
      <c r="AI59" s="150"/>
      <c r="AJ59" s="150"/>
      <c r="AK59" s="150"/>
      <c r="AL59" s="151"/>
      <c r="AM59" s="149" t="str">
        <f t="shared" ca="1" si="32"/>
        <v>二次医療圏マスタテーブルから組入れ条件の第一条件で絞り込んだ結果を格納するテーブル</v>
      </c>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2"/>
      <c r="BK59" s="32" t="str">
        <f t="shared" si="16"/>
        <v>ENT_01_A4-04_バックアップ_二次医療圏マスタ.sql</v>
      </c>
    </row>
    <row r="60" spans="1:63" ht="37.5" customHeight="1" outlineLevel="1">
      <c r="A60" s="34" t="str">
        <f t="shared" si="30"/>
        <v>バックアップ_施設ID対応マスタ</v>
      </c>
      <c r="B60" s="143" t="str">
        <f t="shared" si="20"/>
        <v>01</v>
      </c>
      <c r="C60" s="144"/>
      <c r="D60" s="144"/>
      <c r="E60" s="144"/>
      <c r="F60" s="145"/>
      <c r="G60" s="146" t="s">
        <v>196</v>
      </c>
      <c r="H60" s="147"/>
      <c r="I60" s="147"/>
      <c r="J60" s="147"/>
      <c r="K60" s="147"/>
      <c r="L60" s="147"/>
      <c r="M60" s="147"/>
      <c r="N60" s="148"/>
      <c r="O60" s="81" t="s">
        <v>3183</v>
      </c>
      <c r="P60" s="140" t="s">
        <v>2558</v>
      </c>
      <c r="Q60" s="141"/>
      <c r="R60" s="141"/>
      <c r="S60" s="141"/>
      <c r="T60" s="141"/>
      <c r="U60" s="141"/>
      <c r="V60" s="141"/>
      <c r="W60" s="141"/>
      <c r="X60" s="141"/>
      <c r="Y60" s="141"/>
      <c r="Z60" s="141"/>
      <c r="AA60" s="141"/>
      <c r="AB60" s="141"/>
      <c r="AC60" s="141"/>
      <c r="AD60" s="142"/>
      <c r="AE60" s="149" t="str">
        <f t="shared" ca="1" si="31"/>
        <v>sny_202310_backup_mt2_old_new_shisetsu</v>
      </c>
      <c r="AF60" s="150"/>
      <c r="AG60" s="150"/>
      <c r="AH60" s="150"/>
      <c r="AI60" s="150"/>
      <c r="AJ60" s="150"/>
      <c r="AK60" s="150"/>
      <c r="AL60" s="151"/>
      <c r="AM60" s="149" t="str">
        <f t="shared" ca="1" si="32"/>
        <v>施設ID対応マスタテーブルから組入れ条件の第一条件で絞り込んだ結果を格納するテーブル</v>
      </c>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2"/>
      <c r="BK60" s="32" t="str">
        <f t="shared" si="16"/>
        <v>ENT_01_A4-05_バックアップ_施設ID対応マスタ.sql</v>
      </c>
    </row>
    <row r="61" spans="1:63" ht="37.5" customHeight="1" outlineLevel="1">
      <c r="A61" s="34" t="str">
        <f t="shared" si="30"/>
        <v>バックアップ_医薬品関連マスタ</v>
      </c>
      <c r="B61" s="143" t="str">
        <f t="shared" si="20"/>
        <v>01</v>
      </c>
      <c r="C61" s="144"/>
      <c r="D61" s="144"/>
      <c r="E61" s="144"/>
      <c r="F61" s="145"/>
      <c r="G61" s="146" t="s">
        <v>196</v>
      </c>
      <c r="H61" s="147"/>
      <c r="I61" s="147"/>
      <c r="J61" s="147"/>
      <c r="K61" s="147"/>
      <c r="L61" s="147"/>
      <c r="M61" s="147"/>
      <c r="N61" s="148"/>
      <c r="O61" s="81" t="s">
        <v>3184</v>
      </c>
      <c r="P61" s="140" t="s">
        <v>2566</v>
      </c>
      <c r="Q61" s="141"/>
      <c r="R61" s="141"/>
      <c r="S61" s="141"/>
      <c r="T61" s="141"/>
      <c r="U61" s="141"/>
      <c r="V61" s="141"/>
      <c r="W61" s="141"/>
      <c r="X61" s="141"/>
      <c r="Y61" s="141"/>
      <c r="Z61" s="141"/>
      <c r="AA61" s="141"/>
      <c r="AB61" s="141"/>
      <c r="AC61" s="141"/>
      <c r="AD61" s="142"/>
      <c r="AE61" s="149" t="str">
        <f t="shared" ca="1" si="31"/>
        <v>sny_202310_backup_mt2_iyakuhin_kanren</v>
      </c>
      <c r="AF61" s="150"/>
      <c r="AG61" s="150"/>
      <c r="AH61" s="150"/>
      <c r="AI61" s="150"/>
      <c r="AJ61" s="150"/>
      <c r="AK61" s="150"/>
      <c r="AL61" s="151"/>
      <c r="AM61" s="149" t="str">
        <f t="shared" ca="1" si="32"/>
        <v>医薬品関連マスタテーブルから組入れ条件の第一条件で絞り込んだ結果を格納するテーブル</v>
      </c>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2"/>
      <c r="BK61" s="32" t="str">
        <f t="shared" si="16"/>
        <v>ENT_01_A4-07_バックアップ_医薬品関連マスタ.sql</v>
      </c>
    </row>
    <row r="62" spans="1:63" ht="37.5" customHeight="1" outlineLevel="1">
      <c r="A62" s="34" t="str">
        <f t="shared" si="30"/>
        <v>バックアップ_薬価関連マスタ</v>
      </c>
      <c r="B62" s="143" t="str">
        <f t="shared" si="20"/>
        <v>01</v>
      </c>
      <c r="C62" s="144"/>
      <c r="D62" s="144"/>
      <c r="E62" s="144"/>
      <c r="F62" s="145"/>
      <c r="G62" s="146" t="s">
        <v>196</v>
      </c>
      <c r="H62" s="147"/>
      <c r="I62" s="147"/>
      <c r="J62" s="147"/>
      <c r="K62" s="147"/>
      <c r="L62" s="147"/>
      <c r="M62" s="147"/>
      <c r="N62" s="148"/>
      <c r="O62" s="81" t="s">
        <v>3185</v>
      </c>
      <c r="P62" s="140" t="s">
        <v>2622</v>
      </c>
      <c r="Q62" s="141"/>
      <c r="R62" s="141"/>
      <c r="S62" s="141"/>
      <c r="T62" s="141"/>
      <c r="U62" s="141"/>
      <c r="V62" s="141"/>
      <c r="W62" s="141"/>
      <c r="X62" s="141"/>
      <c r="Y62" s="141"/>
      <c r="Z62" s="141"/>
      <c r="AA62" s="141"/>
      <c r="AB62" s="141"/>
      <c r="AC62" s="141"/>
      <c r="AD62" s="142"/>
      <c r="AE62" s="149" t="str">
        <f t="shared" ca="1" si="31"/>
        <v>sny_202310_backup_mt2_price_kanren</v>
      </c>
      <c r="AF62" s="150"/>
      <c r="AG62" s="150"/>
      <c r="AH62" s="150"/>
      <c r="AI62" s="150"/>
      <c r="AJ62" s="150"/>
      <c r="AK62" s="150"/>
      <c r="AL62" s="151"/>
      <c r="AM62" s="149" t="str">
        <f t="shared" ca="1" si="32"/>
        <v>薬価関連マスタテーブルから組入れ条件の第一条件で絞り込んだ結果を格納するテーブル</v>
      </c>
      <c r="AN62" s="150"/>
      <c r="AO62" s="150"/>
      <c r="AP62" s="150"/>
      <c r="AQ62" s="150"/>
      <c r="AR62" s="150"/>
      <c r="AS62" s="150"/>
      <c r="AT62" s="150"/>
      <c r="AU62" s="150"/>
      <c r="AV62" s="150"/>
      <c r="AW62" s="150"/>
      <c r="AX62" s="150"/>
      <c r="AY62" s="150"/>
      <c r="AZ62" s="150"/>
      <c r="BA62" s="150"/>
      <c r="BB62" s="150"/>
      <c r="BC62" s="150"/>
      <c r="BD62" s="150"/>
      <c r="BE62" s="150"/>
      <c r="BF62" s="150"/>
      <c r="BG62" s="150"/>
      <c r="BH62" s="150"/>
      <c r="BI62" s="150"/>
      <c r="BJ62" s="152"/>
      <c r="BK62" s="32" t="str">
        <f t="shared" si="16"/>
        <v>ENT_01_A4-08_バックアップ_薬価関連マスタ.sql</v>
      </c>
    </row>
    <row r="63" spans="1:63" ht="37.5" customHeight="1" outlineLevel="1">
      <c r="A63" s="34" t="str">
        <f t="shared" si="30"/>
        <v>バックアップ_診療行為関連マスタ</v>
      </c>
      <c r="B63" s="143" t="str">
        <f t="shared" si="20"/>
        <v>01</v>
      </c>
      <c r="C63" s="144"/>
      <c r="D63" s="144"/>
      <c r="E63" s="144"/>
      <c r="F63" s="145"/>
      <c r="G63" s="146" t="s">
        <v>196</v>
      </c>
      <c r="H63" s="147"/>
      <c r="I63" s="147"/>
      <c r="J63" s="147"/>
      <c r="K63" s="147"/>
      <c r="L63" s="147"/>
      <c r="M63" s="147"/>
      <c r="N63" s="148"/>
      <c r="O63" s="81" t="s">
        <v>3186</v>
      </c>
      <c r="P63" s="140" t="s">
        <v>2629</v>
      </c>
      <c r="Q63" s="141"/>
      <c r="R63" s="141"/>
      <c r="S63" s="141"/>
      <c r="T63" s="141"/>
      <c r="U63" s="141"/>
      <c r="V63" s="141"/>
      <c r="W63" s="141"/>
      <c r="X63" s="141"/>
      <c r="Y63" s="141"/>
      <c r="Z63" s="141"/>
      <c r="AA63" s="141"/>
      <c r="AB63" s="141"/>
      <c r="AC63" s="141"/>
      <c r="AD63" s="142"/>
      <c r="AE63" s="149" t="str">
        <f t="shared" ca="1" si="31"/>
        <v>sny_202310_backup_mt2_shinryo_koi_kanren</v>
      </c>
      <c r="AF63" s="150"/>
      <c r="AG63" s="150"/>
      <c r="AH63" s="150"/>
      <c r="AI63" s="150"/>
      <c r="AJ63" s="150"/>
      <c r="AK63" s="150"/>
      <c r="AL63" s="151"/>
      <c r="AM63" s="149" t="str">
        <f t="shared" ca="1" si="32"/>
        <v>診療行為関連マスタテーブルから組入れ条件の第一条件で絞り込んだ結果を格納するテーブル</v>
      </c>
      <c r="AN63" s="150"/>
      <c r="AO63" s="150"/>
      <c r="AP63" s="150"/>
      <c r="AQ63" s="150"/>
      <c r="AR63" s="150"/>
      <c r="AS63" s="150"/>
      <c r="AT63" s="150"/>
      <c r="AU63" s="150"/>
      <c r="AV63" s="150"/>
      <c r="AW63" s="150"/>
      <c r="AX63" s="150"/>
      <c r="AY63" s="150"/>
      <c r="AZ63" s="150"/>
      <c r="BA63" s="150"/>
      <c r="BB63" s="150"/>
      <c r="BC63" s="150"/>
      <c r="BD63" s="150"/>
      <c r="BE63" s="150"/>
      <c r="BF63" s="150"/>
      <c r="BG63" s="150"/>
      <c r="BH63" s="150"/>
      <c r="BI63" s="150"/>
      <c r="BJ63" s="152"/>
      <c r="BK63" s="32" t="str">
        <f t="shared" si="16"/>
        <v>ENT_01_A4-09_バックアップ_診療行為関連マスタ.sql</v>
      </c>
    </row>
    <row r="64" spans="1:63" ht="37.5" customHeight="1" outlineLevel="1">
      <c r="A64" s="34" t="str">
        <f t="shared" si="30"/>
        <v>バックアップ_特定器材関連マスタ</v>
      </c>
      <c r="B64" s="143" t="str">
        <f t="shared" si="20"/>
        <v>01</v>
      </c>
      <c r="C64" s="144"/>
      <c r="D64" s="144"/>
      <c r="E64" s="144"/>
      <c r="F64" s="145"/>
      <c r="G64" s="146" t="s">
        <v>196</v>
      </c>
      <c r="H64" s="147"/>
      <c r="I64" s="147"/>
      <c r="J64" s="147"/>
      <c r="K64" s="147"/>
      <c r="L64" s="147"/>
      <c r="M64" s="147"/>
      <c r="N64" s="148"/>
      <c r="O64" s="81" t="s">
        <v>3187</v>
      </c>
      <c r="P64" s="140" t="s">
        <v>2649</v>
      </c>
      <c r="Q64" s="141"/>
      <c r="R64" s="141"/>
      <c r="S64" s="141"/>
      <c r="T64" s="141"/>
      <c r="U64" s="141"/>
      <c r="V64" s="141"/>
      <c r="W64" s="141"/>
      <c r="X64" s="141"/>
      <c r="Y64" s="141"/>
      <c r="Z64" s="141"/>
      <c r="AA64" s="141"/>
      <c r="AB64" s="141"/>
      <c r="AC64" s="141"/>
      <c r="AD64" s="142"/>
      <c r="AE64" s="149" t="str">
        <f t="shared" ca="1" si="31"/>
        <v>sny_202310_backup_mt2_tokutei_kizai_kanren</v>
      </c>
      <c r="AF64" s="150"/>
      <c r="AG64" s="150"/>
      <c r="AH64" s="150"/>
      <c r="AI64" s="150"/>
      <c r="AJ64" s="150"/>
      <c r="AK64" s="150"/>
      <c r="AL64" s="151"/>
      <c r="AM64" s="149" t="str">
        <f t="shared" ca="1" si="32"/>
        <v>特定器材関連マスタテーブルから組入れ条件の第一条件で絞り込んだ結果を格納するテーブル</v>
      </c>
      <c r="AN64" s="150"/>
      <c r="AO64" s="150"/>
      <c r="AP64" s="150"/>
      <c r="AQ64" s="150"/>
      <c r="AR64" s="150"/>
      <c r="AS64" s="150"/>
      <c r="AT64" s="150"/>
      <c r="AU64" s="150"/>
      <c r="AV64" s="150"/>
      <c r="AW64" s="150"/>
      <c r="AX64" s="150"/>
      <c r="AY64" s="150"/>
      <c r="AZ64" s="150"/>
      <c r="BA64" s="150"/>
      <c r="BB64" s="150"/>
      <c r="BC64" s="150"/>
      <c r="BD64" s="150"/>
      <c r="BE64" s="150"/>
      <c r="BF64" s="150"/>
      <c r="BG64" s="150"/>
      <c r="BH64" s="150"/>
      <c r="BI64" s="150"/>
      <c r="BJ64" s="152"/>
      <c r="BK64" s="32" t="str">
        <f t="shared" si="16"/>
        <v>ENT_01_A4-10_バックアップ_特定器材関連マスタ.sql</v>
      </c>
    </row>
    <row r="65" spans="1:64" ht="37.5" customHeight="1" outlineLevel="1">
      <c r="A65" s="34" t="str">
        <f t="shared" si="30"/>
        <v>バックアップ_DPC関連マスタ</v>
      </c>
      <c r="B65" s="143" t="str">
        <f t="shared" si="20"/>
        <v>01</v>
      </c>
      <c r="C65" s="144"/>
      <c r="D65" s="144"/>
      <c r="E65" s="144"/>
      <c r="F65" s="145"/>
      <c r="G65" s="146" t="s">
        <v>196</v>
      </c>
      <c r="H65" s="147"/>
      <c r="I65" s="147"/>
      <c r="J65" s="147"/>
      <c r="K65" s="147"/>
      <c r="L65" s="147"/>
      <c r="M65" s="147"/>
      <c r="N65" s="148"/>
      <c r="O65" s="81" t="s">
        <v>3188</v>
      </c>
      <c r="P65" s="140" t="s">
        <v>2661</v>
      </c>
      <c r="Q65" s="141"/>
      <c r="R65" s="141"/>
      <c r="S65" s="141"/>
      <c r="T65" s="141"/>
      <c r="U65" s="141"/>
      <c r="V65" s="141"/>
      <c r="W65" s="141"/>
      <c r="X65" s="141"/>
      <c r="Y65" s="141"/>
      <c r="Z65" s="141"/>
      <c r="AA65" s="141"/>
      <c r="AB65" s="141"/>
      <c r="AC65" s="141"/>
      <c r="AD65" s="142"/>
      <c r="AE65" s="149" t="str">
        <f t="shared" ca="1" si="31"/>
        <v>sny_202310_backup_mt2_dpc_kanren</v>
      </c>
      <c r="AF65" s="150"/>
      <c r="AG65" s="150"/>
      <c r="AH65" s="150"/>
      <c r="AI65" s="150"/>
      <c r="AJ65" s="150"/>
      <c r="AK65" s="150"/>
      <c r="AL65" s="151"/>
      <c r="AM65" s="149" t="str">
        <f t="shared" ca="1" si="32"/>
        <v>DPC関連マスタテーブルから組入れ条件の第一条件で絞り込んだ結果を格納するテーブル</v>
      </c>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2"/>
      <c r="BK65" s="32" t="str">
        <f t="shared" si="16"/>
        <v>ENT_01_A4-11_バックアップ_DPC関連マスタ.sql</v>
      </c>
    </row>
    <row r="66" spans="1:64" ht="37.5" customHeight="1" outlineLevel="1">
      <c r="A66" s="34" t="str">
        <f t="shared" si="30"/>
        <v>バックアップ_疾患関連マスタ</v>
      </c>
      <c r="B66" s="143" t="str">
        <f t="shared" si="20"/>
        <v>01</v>
      </c>
      <c r="C66" s="144"/>
      <c r="D66" s="144"/>
      <c r="E66" s="144"/>
      <c r="F66" s="145"/>
      <c r="G66" s="146" t="s">
        <v>196</v>
      </c>
      <c r="H66" s="147"/>
      <c r="I66" s="147"/>
      <c r="J66" s="147"/>
      <c r="K66" s="147"/>
      <c r="L66" s="147"/>
      <c r="M66" s="147"/>
      <c r="N66" s="148"/>
      <c r="O66" s="81" t="s">
        <v>3189</v>
      </c>
      <c r="P66" s="140" t="s">
        <v>2670</v>
      </c>
      <c r="Q66" s="141"/>
      <c r="R66" s="141"/>
      <c r="S66" s="141"/>
      <c r="T66" s="141"/>
      <c r="U66" s="141"/>
      <c r="V66" s="141"/>
      <c r="W66" s="141"/>
      <c r="X66" s="141"/>
      <c r="Y66" s="141"/>
      <c r="Z66" s="141"/>
      <c r="AA66" s="141"/>
      <c r="AB66" s="141"/>
      <c r="AC66" s="141"/>
      <c r="AD66" s="142"/>
      <c r="AE66" s="149" t="str">
        <f t="shared" ca="1" si="31"/>
        <v>sny_202310_backup_mt2_shikkan_kanren</v>
      </c>
      <c r="AF66" s="150"/>
      <c r="AG66" s="150"/>
      <c r="AH66" s="150"/>
      <c r="AI66" s="150"/>
      <c r="AJ66" s="150"/>
      <c r="AK66" s="150"/>
      <c r="AL66" s="151"/>
      <c r="AM66" s="149" t="str">
        <f t="shared" ca="1" si="32"/>
        <v>疾患関連マスタテーブルから組入れ条件の第一条件で絞り込んだ結果を格納するテーブル</v>
      </c>
      <c r="AN66" s="150"/>
      <c r="AO66" s="150"/>
      <c r="AP66" s="150"/>
      <c r="AQ66" s="150"/>
      <c r="AR66" s="150"/>
      <c r="AS66" s="150"/>
      <c r="AT66" s="150"/>
      <c r="AU66" s="150"/>
      <c r="AV66" s="150"/>
      <c r="AW66" s="150"/>
      <c r="AX66" s="150"/>
      <c r="AY66" s="150"/>
      <c r="AZ66" s="150"/>
      <c r="BA66" s="150"/>
      <c r="BB66" s="150"/>
      <c r="BC66" s="150"/>
      <c r="BD66" s="150"/>
      <c r="BE66" s="150"/>
      <c r="BF66" s="150"/>
      <c r="BG66" s="150"/>
      <c r="BH66" s="150"/>
      <c r="BI66" s="150"/>
      <c r="BJ66" s="152"/>
      <c r="BK66" s="32" t="str">
        <f t="shared" si="16"/>
        <v>ENT_01_A4-12_バックアップ_疾患関連マスタ.sql</v>
      </c>
    </row>
    <row r="67" spans="1:64" ht="37.5" customHeight="1" outlineLevel="1">
      <c r="A67" s="34" t="str">
        <f t="shared" si="30"/>
        <v>バックアップ_医薬品成分関連マスタ</v>
      </c>
      <c r="B67" s="143" t="str">
        <f t="shared" si="20"/>
        <v>01</v>
      </c>
      <c r="C67" s="144"/>
      <c r="D67" s="144"/>
      <c r="E67" s="144"/>
      <c r="F67" s="145"/>
      <c r="G67" s="146" t="s">
        <v>196</v>
      </c>
      <c r="H67" s="147"/>
      <c r="I67" s="147"/>
      <c r="J67" s="147"/>
      <c r="K67" s="147"/>
      <c r="L67" s="147"/>
      <c r="M67" s="147"/>
      <c r="N67" s="148"/>
      <c r="O67" s="81" t="s">
        <v>3190</v>
      </c>
      <c r="P67" s="140" t="s">
        <v>2699</v>
      </c>
      <c r="Q67" s="141"/>
      <c r="R67" s="141"/>
      <c r="S67" s="141"/>
      <c r="T67" s="141"/>
      <c r="U67" s="141"/>
      <c r="V67" s="141"/>
      <c r="W67" s="141"/>
      <c r="X67" s="141"/>
      <c r="Y67" s="141"/>
      <c r="Z67" s="141"/>
      <c r="AA67" s="141"/>
      <c r="AB67" s="141"/>
      <c r="AC67" s="141"/>
      <c r="AD67" s="142"/>
      <c r="AE67" s="149" t="str">
        <f t="shared" ca="1" si="31"/>
        <v>sny_202310_backup_mt2_iyakuhin_seibun_kanren</v>
      </c>
      <c r="AF67" s="150"/>
      <c r="AG67" s="150"/>
      <c r="AH67" s="150"/>
      <c r="AI67" s="150"/>
      <c r="AJ67" s="150"/>
      <c r="AK67" s="150"/>
      <c r="AL67" s="151"/>
      <c r="AM67" s="149" t="str">
        <f t="shared" ca="1" si="32"/>
        <v>医薬品成分関連マスタテーブルから組入れ条件の第一条件で絞り込んだ結果を格納するテーブル</v>
      </c>
      <c r="AN67" s="150"/>
      <c r="AO67" s="150"/>
      <c r="AP67" s="150"/>
      <c r="AQ67" s="150"/>
      <c r="AR67" s="150"/>
      <c r="AS67" s="150"/>
      <c r="AT67" s="150"/>
      <c r="AU67" s="150"/>
      <c r="AV67" s="150"/>
      <c r="AW67" s="150"/>
      <c r="AX67" s="150"/>
      <c r="AY67" s="150"/>
      <c r="AZ67" s="150"/>
      <c r="BA67" s="150"/>
      <c r="BB67" s="150"/>
      <c r="BC67" s="150"/>
      <c r="BD67" s="150"/>
      <c r="BE67" s="150"/>
      <c r="BF67" s="150"/>
      <c r="BG67" s="150"/>
      <c r="BH67" s="150"/>
      <c r="BI67" s="150"/>
      <c r="BJ67" s="152"/>
      <c r="BK67" s="32" t="str">
        <f t="shared" si="16"/>
        <v>ENT_01_A4-13_バックアップ_医薬品成分関連マスタ.sql</v>
      </c>
    </row>
    <row r="68" spans="1:64" ht="37.5" customHeight="1" outlineLevel="1">
      <c r="A68" s="34" t="str">
        <f t="shared" si="30"/>
        <v>バックアップ_医薬品適用病名関連マスタ</v>
      </c>
      <c r="B68" s="143" t="str">
        <f t="shared" si="20"/>
        <v>01</v>
      </c>
      <c r="C68" s="144"/>
      <c r="D68" s="144"/>
      <c r="E68" s="144"/>
      <c r="F68" s="145"/>
      <c r="G68" s="146" t="s">
        <v>196</v>
      </c>
      <c r="H68" s="147"/>
      <c r="I68" s="147"/>
      <c r="J68" s="147"/>
      <c r="K68" s="147"/>
      <c r="L68" s="147"/>
      <c r="M68" s="147"/>
      <c r="N68" s="148"/>
      <c r="O68" s="81" t="s">
        <v>3191</v>
      </c>
      <c r="P68" s="140" t="s">
        <v>2720</v>
      </c>
      <c r="Q68" s="141"/>
      <c r="R68" s="141"/>
      <c r="S68" s="141"/>
      <c r="T68" s="141"/>
      <c r="U68" s="141"/>
      <c r="V68" s="141"/>
      <c r="W68" s="141"/>
      <c r="X68" s="141"/>
      <c r="Y68" s="141"/>
      <c r="Z68" s="141"/>
      <c r="AA68" s="141"/>
      <c r="AB68" s="141"/>
      <c r="AC68" s="141"/>
      <c r="AD68" s="142"/>
      <c r="AE68" s="149" t="str">
        <f t="shared" ca="1" si="31"/>
        <v>sny_202310_backup_mt2_iyakuhin_tekiyou_byomei_kanren</v>
      </c>
      <c r="AF68" s="150"/>
      <c r="AG68" s="150"/>
      <c r="AH68" s="150"/>
      <c r="AI68" s="150"/>
      <c r="AJ68" s="150"/>
      <c r="AK68" s="150"/>
      <c r="AL68" s="151"/>
      <c r="AM68" s="149" t="str">
        <f t="shared" ca="1" si="32"/>
        <v>医薬品適用病名関連マスタテーブルから組入れ条件の第一条件で絞り込んだ結果を格納するテーブル</v>
      </c>
      <c r="AN68" s="150"/>
      <c r="AO68" s="150"/>
      <c r="AP68" s="150"/>
      <c r="AQ68" s="150"/>
      <c r="AR68" s="150"/>
      <c r="AS68" s="150"/>
      <c r="AT68" s="150"/>
      <c r="AU68" s="150"/>
      <c r="AV68" s="150"/>
      <c r="AW68" s="150"/>
      <c r="AX68" s="150"/>
      <c r="AY68" s="150"/>
      <c r="AZ68" s="150"/>
      <c r="BA68" s="150"/>
      <c r="BB68" s="150"/>
      <c r="BC68" s="150"/>
      <c r="BD68" s="150"/>
      <c r="BE68" s="150"/>
      <c r="BF68" s="150"/>
      <c r="BG68" s="150"/>
      <c r="BH68" s="150"/>
      <c r="BI68" s="150"/>
      <c r="BJ68" s="152"/>
      <c r="BK68" s="32" t="str">
        <f t="shared" si="16"/>
        <v>ENT_01_A4-14_バックアップ_医薬品適用病名関連マスタ.sql</v>
      </c>
    </row>
    <row r="69" spans="1:64" ht="37.5" customHeight="1" outlineLevel="1">
      <c r="A69" s="34" t="str">
        <f t="shared" si="12"/>
        <v>バックアップ_MML共通</v>
      </c>
      <c r="B69" s="143" t="str">
        <f t="shared" si="20"/>
        <v>01</v>
      </c>
      <c r="C69" s="144"/>
      <c r="D69" s="144"/>
      <c r="E69" s="144"/>
      <c r="F69" s="145"/>
      <c r="G69" s="146" t="s">
        <v>196</v>
      </c>
      <c r="H69" s="147"/>
      <c r="I69" s="147"/>
      <c r="J69" s="147"/>
      <c r="K69" s="147"/>
      <c r="L69" s="147"/>
      <c r="M69" s="147"/>
      <c r="N69" s="148"/>
      <c r="O69" s="81" t="s">
        <v>3203</v>
      </c>
      <c r="P69" s="140" t="s">
        <v>3204</v>
      </c>
      <c r="Q69" s="141"/>
      <c r="R69" s="141"/>
      <c r="S69" s="141"/>
      <c r="T69" s="141"/>
      <c r="U69" s="141"/>
      <c r="V69" s="141"/>
      <c r="W69" s="141"/>
      <c r="X69" s="141"/>
      <c r="Y69" s="141"/>
      <c r="Z69" s="141"/>
      <c r="AA69" s="141"/>
      <c r="AB69" s="141"/>
      <c r="AC69" s="141"/>
      <c r="AD69" s="142"/>
      <c r="AE69" s="149" t="str">
        <f t="shared" ca="1" si="13"/>
        <v>sny_202310_backup_text_mml_common</v>
      </c>
      <c r="AF69" s="150"/>
      <c r="AG69" s="150"/>
      <c r="AH69" s="150"/>
      <c r="AI69" s="150"/>
      <c r="AJ69" s="150"/>
      <c r="AK69" s="150"/>
      <c r="AL69" s="151"/>
      <c r="AM69" s="149" t="str">
        <f t="shared" ca="1" si="14"/>
        <v>MML共通テーブルから組入れ条件の第一条件で絞り込んだ結果を格納するテーブル</v>
      </c>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2"/>
      <c r="BK69" s="32" t="str">
        <f t="shared" si="16"/>
        <v>ENT_01_A6-02_バックアップ_MML共通.sql</v>
      </c>
      <c r="BL69" s="32">
        <v>1</v>
      </c>
    </row>
    <row r="70" spans="1:64" ht="37.5" customHeight="1" outlineLevel="1">
      <c r="A70" s="34" t="str">
        <f t="shared" ref="A70" si="33">P70</f>
        <v>バックアップ_MML_診断履歴情報モジュール_本文</v>
      </c>
      <c r="B70" s="143" t="str">
        <f t="shared" si="20"/>
        <v>01</v>
      </c>
      <c r="C70" s="144"/>
      <c r="D70" s="144"/>
      <c r="E70" s="144"/>
      <c r="F70" s="145"/>
      <c r="G70" s="146" t="s">
        <v>196</v>
      </c>
      <c r="H70" s="147"/>
      <c r="I70" s="147"/>
      <c r="J70" s="147"/>
      <c r="K70" s="147"/>
      <c r="L70" s="147"/>
      <c r="M70" s="147"/>
      <c r="N70" s="148"/>
      <c r="O70" s="81" t="s">
        <v>3205</v>
      </c>
      <c r="P70" s="140" t="s">
        <v>2799</v>
      </c>
      <c r="Q70" s="141"/>
      <c r="R70" s="141"/>
      <c r="S70" s="141"/>
      <c r="T70" s="141"/>
      <c r="U70" s="141"/>
      <c r="V70" s="141"/>
      <c r="W70" s="141"/>
      <c r="X70" s="141"/>
      <c r="Y70" s="141"/>
      <c r="Z70" s="141"/>
      <c r="AA70" s="141"/>
      <c r="AB70" s="141"/>
      <c r="AC70" s="141"/>
      <c r="AD70" s="142"/>
      <c r="AE70" s="149" t="str">
        <f t="shared" ref="AE70" ca="1" si="34">IFERROR(INDIRECT(P70&amp;"!D8"),"")</f>
        <v>sny_202310_backup_text_mml_mmlrd_body</v>
      </c>
      <c r="AF70" s="150"/>
      <c r="AG70" s="150"/>
      <c r="AH70" s="150"/>
      <c r="AI70" s="150"/>
      <c r="AJ70" s="150"/>
      <c r="AK70" s="150"/>
      <c r="AL70" s="151"/>
      <c r="AM70" s="149" t="str">
        <f t="shared" ref="AM70" ca="1" si="35">IFERROR(INDIRECT(P70&amp;"!D9"),"")</f>
        <v>MML_診断履歴情報モジュール_本文テーブルから組入れ条件の第一条件で絞り込んだ結果を格納するテーブル</v>
      </c>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2"/>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43" t="str">
        <f t="shared" si="20"/>
        <v>01</v>
      </c>
      <c r="C71" s="144"/>
      <c r="D71" s="144"/>
      <c r="E71" s="144"/>
      <c r="F71" s="145"/>
      <c r="G71" s="146" t="s">
        <v>196</v>
      </c>
      <c r="H71" s="147"/>
      <c r="I71" s="147"/>
      <c r="J71" s="147"/>
      <c r="K71" s="147"/>
      <c r="L71" s="147"/>
      <c r="M71" s="147"/>
      <c r="N71" s="148"/>
      <c r="O71" s="81" t="s">
        <v>3206</v>
      </c>
      <c r="P71" s="140" t="s">
        <v>2815</v>
      </c>
      <c r="Q71" s="141"/>
      <c r="R71" s="141"/>
      <c r="S71" s="141"/>
      <c r="T71" s="141"/>
      <c r="U71" s="141"/>
      <c r="V71" s="141"/>
      <c r="W71" s="141"/>
      <c r="X71" s="141"/>
      <c r="Y71" s="141"/>
      <c r="Z71" s="141"/>
      <c r="AA71" s="141"/>
      <c r="AB71" s="141"/>
      <c r="AC71" s="141"/>
      <c r="AD71" s="142"/>
      <c r="AE71" s="149" t="str">
        <f t="shared" ca="1" si="13"/>
        <v>sny_202310_backup_text_mml_mmlrd_byomei</v>
      </c>
      <c r="AF71" s="150"/>
      <c r="AG71" s="150"/>
      <c r="AH71" s="150"/>
      <c r="AI71" s="150"/>
      <c r="AJ71" s="150"/>
      <c r="AK71" s="150"/>
      <c r="AL71" s="151"/>
      <c r="AM71" s="149" t="str">
        <f t="shared" ca="1" si="14"/>
        <v>MML_診断履歴情報モジュール_病名テーブルから組入れ条件の第一条件で絞り込んだ結果を格納するテーブル</v>
      </c>
      <c r="AN71" s="150"/>
      <c r="AO71" s="150"/>
      <c r="AP71" s="150"/>
      <c r="AQ71" s="150"/>
      <c r="AR71" s="150"/>
      <c r="AS71" s="150"/>
      <c r="AT71" s="150"/>
      <c r="AU71" s="150"/>
      <c r="AV71" s="150"/>
      <c r="AW71" s="150"/>
      <c r="AX71" s="150"/>
      <c r="AY71" s="150"/>
      <c r="AZ71" s="150"/>
      <c r="BA71" s="150"/>
      <c r="BB71" s="150"/>
      <c r="BC71" s="150"/>
      <c r="BD71" s="150"/>
      <c r="BE71" s="150"/>
      <c r="BF71" s="150"/>
      <c r="BG71" s="150"/>
      <c r="BH71" s="150"/>
      <c r="BI71" s="150"/>
      <c r="BJ71" s="152"/>
      <c r="BK71" s="32" t="str">
        <f t="shared" si="16"/>
        <v>ENT_01_A6-04_バックアップ_MML_診断履歴情報モジュール_病名.sql</v>
      </c>
      <c r="BL71" s="32">
        <v>1</v>
      </c>
    </row>
    <row r="72" spans="1:64" ht="37.5" customHeight="1" outlineLevel="1">
      <c r="A72" s="34" t="str">
        <f t="shared" ref="A72:A98" si="36">P72</f>
        <v>バックアップ_MML_診断履歴情報モジュール_カテゴリ名</v>
      </c>
      <c r="B72" s="143" t="str">
        <f t="shared" si="20"/>
        <v>01</v>
      </c>
      <c r="C72" s="144"/>
      <c r="D72" s="144"/>
      <c r="E72" s="144"/>
      <c r="F72" s="145"/>
      <c r="G72" s="146" t="s">
        <v>196</v>
      </c>
      <c r="H72" s="147"/>
      <c r="I72" s="147"/>
      <c r="J72" s="147"/>
      <c r="K72" s="147"/>
      <c r="L72" s="147"/>
      <c r="M72" s="147"/>
      <c r="N72" s="148"/>
      <c r="O72" s="81" t="s">
        <v>3207</v>
      </c>
      <c r="P72" s="140" t="s">
        <v>2826</v>
      </c>
      <c r="Q72" s="141"/>
      <c r="R72" s="141"/>
      <c r="S72" s="141"/>
      <c r="T72" s="141"/>
      <c r="U72" s="141"/>
      <c r="V72" s="141"/>
      <c r="W72" s="141"/>
      <c r="X72" s="141"/>
      <c r="Y72" s="141"/>
      <c r="Z72" s="141"/>
      <c r="AA72" s="141"/>
      <c r="AB72" s="141"/>
      <c r="AC72" s="141"/>
      <c r="AD72" s="142"/>
      <c r="AE72" s="149" t="str">
        <f t="shared" ref="AE72:AE98" ca="1" si="37">IFERROR(INDIRECT(P72&amp;"!D8"),"")</f>
        <v>sny_202310_backup_text_mml_mmlrd_category</v>
      </c>
      <c r="AF72" s="150"/>
      <c r="AG72" s="150"/>
      <c r="AH72" s="150"/>
      <c r="AI72" s="150"/>
      <c r="AJ72" s="150"/>
      <c r="AK72" s="150"/>
      <c r="AL72" s="151"/>
      <c r="AM72" s="149" t="str">
        <f t="shared" ref="AM72:AM98" ca="1" si="38">IFERROR(INDIRECT(P72&amp;"!D9"),"")</f>
        <v>MML_診断履歴情報モジュール_カテゴリ名テーブルから組入れ条件の第一条件で絞り込んだ結果を格納するテーブル</v>
      </c>
      <c r="AN72" s="150"/>
      <c r="AO72" s="150"/>
      <c r="AP72" s="150"/>
      <c r="AQ72" s="150"/>
      <c r="AR72" s="150"/>
      <c r="AS72" s="150"/>
      <c r="AT72" s="150"/>
      <c r="AU72" s="150"/>
      <c r="AV72" s="150"/>
      <c r="AW72" s="150"/>
      <c r="AX72" s="150"/>
      <c r="AY72" s="150"/>
      <c r="AZ72" s="150"/>
      <c r="BA72" s="150"/>
      <c r="BB72" s="150"/>
      <c r="BC72" s="150"/>
      <c r="BD72" s="150"/>
      <c r="BE72" s="150"/>
      <c r="BF72" s="150"/>
      <c r="BG72" s="150"/>
      <c r="BH72" s="150"/>
      <c r="BI72" s="150"/>
      <c r="BJ72" s="152"/>
      <c r="BK72" s="32" t="str">
        <f t="shared" si="16"/>
        <v>ENT_01_A6-05_バックアップ_MML_診断履歴情報モジュール_カテゴリ名.sql</v>
      </c>
    </row>
    <row r="73" spans="1:64" ht="37.5" customHeight="1" outlineLevel="1">
      <c r="A73" s="34" t="str">
        <f t="shared" si="36"/>
        <v>バックアップ_MML_処方箋モジュール_本文</v>
      </c>
      <c r="B73" s="143" t="str">
        <f t="shared" si="20"/>
        <v>01</v>
      </c>
      <c r="C73" s="144"/>
      <c r="D73" s="144"/>
      <c r="E73" s="144"/>
      <c r="F73" s="145"/>
      <c r="G73" s="146" t="s">
        <v>196</v>
      </c>
      <c r="H73" s="147"/>
      <c r="I73" s="147"/>
      <c r="J73" s="147"/>
      <c r="K73" s="147"/>
      <c r="L73" s="147"/>
      <c r="M73" s="147"/>
      <c r="N73" s="148"/>
      <c r="O73" s="81" t="s">
        <v>3208</v>
      </c>
      <c r="P73" s="140" t="s">
        <v>2831</v>
      </c>
      <c r="Q73" s="141"/>
      <c r="R73" s="141"/>
      <c r="S73" s="141"/>
      <c r="T73" s="141"/>
      <c r="U73" s="141"/>
      <c r="V73" s="141"/>
      <c r="W73" s="141"/>
      <c r="X73" s="141"/>
      <c r="Y73" s="141"/>
      <c r="Z73" s="141"/>
      <c r="AA73" s="141"/>
      <c r="AB73" s="141"/>
      <c r="AC73" s="141"/>
      <c r="AD73" s="142"/>
      <c r="AE73" s="149" t="str">
        <f t="shared" ca="1" si="37"/>
        <v>sny_202310_backup_text_mml_mmlps_body</v>
      </c>
      <c r="AF73" s="150"/>
      <c r="AG73" s="150"/>
      <c r="AH73" s="150"/>
      <c r="AI73" s="150"/>
      <c r="AJ73" s="150"/>
      <c r="AK73" s="150"/>
      <c r="AL73" s="151"/>
      <c r="AM73" s="149" t="str">
        <f t="shared" ca="1" si="38"/>
        <v>MML_処方箋モジュール_本文テーブルから組入れ条件の第一条件で絞り込んだ結果を格納するテーブル</v>
      </c>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2"/>
      <c r="BK73" s="32" t="str">
        <f t="shared" si="16"/>
        <v>ENT_01_A6-24_バックアップ_MML_処方箋モジュール_本文.sql</v>
      </c>
      <c r="BL73" s="32">
        <v>1</v>
      </c>
    </row>
    <row r="74" spans="1:64" ht="37.5" customHeight="1" outlineLevel="1">
      <c r="A74" s="34" t="str">
        <f t="shared" si="36"/>
        <v>バックアップ_MML_処方箋モジュール_投薬</v>
      </c>
      <c r="B74" s="143" t="str">
        <f t="shared" si="20"/>
        <v>01</v>
      </c>
      <c r="C74" s="144"/>
      <c r="D74" s="144"/>
      <c r="E74" s="144"/>
      <c r="F74" s="145"/>
      <c r="G74" s="146" t="s">
        <v>196</v>
      </c>
      <c r="H74" s="147"/>
      <c r="I74" s="147"/>
      <c r="J74" s="147"/>
      <c r="K74" s="147"/>
      <c r="L74" s="147"/>
      <c r="M74" s="147"/>
      <c r="N74" s="148"/>
      <c r="O74" s="81" t="s">
        <v>3209</v>
      </c>
      <c r="P74" s="140" t="s">
        <v>2839</v>
      </c>
      <c r="Q74" s="141"/>
      <c r="R74" s="141"/>
      <c r="S74" s="141"/>
      <c r="T74" s="141"/>
      <c r="U74" s="141"/>
      <c r="V74" s="141"/>
      <c r="W74" s="141"/>
      <c r="X74" s="141"/>
      <c r="Y74" s="141"/>
      <c r="Z74" s="141"/>
      <c r="AA74" s="141"/>
      <c r="AB74" s="141"/>
      <c r="AC74" s="141"/>
      <c r="AD74" s="142"/>
      <c r="AE74" s="149" t="str">
        <f t="shared" ca="1" si="37"/>
        <v>sny_202310_backup_text_mml_mmlps_medication</v>
      </c>
      <c r="AF74" s="150"/>
      <c r="AG74" s="150"/>
      <c r="AH74" s="150"/>
      <c r="AI74" s="150"/>
      <c r="AJ74" s="150"/>
      <c r="AK74" s="150"/>
      <c r="AL74" s="151"/>
      <c r="AM74" s="149" t="str">
        <f t="shared" ca="1" si="38"/>
        <v>MML_処方箋モジュール_投薬テーブルから組入れ条件の第一条件で絞り込んだ結果を格納するテーブル</v>
      </c>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2"/>
      <c r="BK74" s="32" t="str">
        <f t="shared" si="16"/>
        <v>ENT_01_A6-25_バックアップ_MML_処方箋モジュール_投薬.sql</v>
      </c>
      <c r="BL74" s="32">
        <v>1</v>
      </c>
    </row>
    <row r="75" spans="1:64" ht="37.5" customHeight="1" outlineLevel="1">
      <c r="A75" s="34" t="str">
        <f t="shared" si="36"/>
        <v>バックアップ_MML_処方箋モジュール_薬剤</v>
      </c>
      <c r="B75" s="143" t="str">
        <f t="shared" si="20"/>
        <v>01</v>
      </c>
      <c r="C75" s="144"/>
      <c r="D75" s="144"/>
      <c r="E75" s="144"/>
      <c r="F75" s="145"/>
      <c r="G75" s="146" t="s">
        <v>196</v>
      </c>
      <c r="H75" s="147"/>
      <c r="I75" s="147"/>
      <c r="J75" s="147"/>
      <c r="K75" s="147"/>
      <c r="L75" s="147"/>
      <c r="M75" s="147"/>
      <c r="N75" s="148"/>
      <c r="O75" s="81" t="s">
        <v>3210</v>
      </c>
      <c r="P75" s="140" t="s">
        <v>2875</v>
      </c>
      <c r="Q75" s="141"/>
      <c r="R75" s="141"/>
      <c r="S75" s="141"/>
      <c r="T75" s="141"/>
      <c r="U75" s="141"/>
      <c r="V75" s="141"/>
      <c r="W75" s="141"/>
      <c r="X75" s="141"/>
      <c r="Y75" s="141"/>
      <c r="Z75" s="141"/>
      <c r="AA75" s="141"/>
      <c r="AB75" s="141"/>
      <c r="AC75" s="141"/>
      <c r="AD75" s="142"/>
      <c r="AE75" s="149" t="str">
        <f t="shared" ca="1" si="37"/>
        <v>sny_202310_backup_text_mml_mmlps_medicine</v>
      </c>
      <c r="AF75" s="150"/>
      <c r="AG75" s="150"/>
      <c r="AH75" s="150"/>
      <c r="AI75" s="150"/>
      <c r="AJ75" s="150"/>
      <c r="AK75" s="150"/>
      <c r="AL75" s="151"/>
      <c r="AM75" s="149" t="str">
        <f t="shared" ca="1" si="38"/>
        <v>MML_処方箋モジュール_薬剤テーブルから組入れ条件の第一条件で絞り込んだ結果を格納するテーブル</v>
      </c>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2"/>
      <c r="BK75" s="32" t="str">
        <f t="shared" si="16"/>
        <v>ENT_01_A6-26_バックアップ_MML_処方箋モジュール_薬剤.sql</v>
      </c>
      <c r="BL75" s="32">
        <v>1</v>
      </c>
    </row>
    <row r="76" spans="1:64" ht="37.5" customHeight="1" outlineLevel="1">
      <c r="A76" s="34" t="str">
        <f t="shared" si="36"/>
        <v>バックアップ_MML_注射記録モジュール_本文</v>
      </c>
      <c r="B76" s="143" t="str">
        <f t="shared" si="20"/>
        <v>01</v>
      </c>
      <c r="C76" s="144"/>
      <c r="D76" s="144"/>
      <c r="E76" s="144"/>
      <c r="F76" s="145"/>
      <c r="G76" s="146" t="s">
        <v>196</v>
      </c>
      <c r="H76" s="147"/>
      <c r="I76" s="147"/>
      <c r="J76" s="147"/>
      <c r="K76" s="147"/>
      <c r="L76" s="147"/>
      <c r="M76" s="147"/>
      <c r="N76" s="148"/>
      <c r="O76" s="81" t="s">
        <v>3211</v>
      </c>
      <c r="P76" s="140" t="s">
        <v>2880</v>
      </c>
      <c r="Q76" s="141"/>
      <c r="R76" s="141"/>
      <c r="S76" s="141"/>
      <c r="T76" s="141"/>
      <c r="U76" s="141"/>
      <c r="V76" s="141"/>
      <c r="W76" s="141"/>
      <c r="X76" s="141"/>
      <c r="Y76" s="141"/>
      <c r="Z76" s="141"/>
      <c r="AA76" s="141"/>
      <c r="AB76" s="141"/>
      <c r="AC76" s="141"/>
      <c r="AD76" s="142"/>
      <c r="AE76" s="149" t="str">
        <f t="shared" ca="1" si="37"/>
        <v>sny_202310_backup_text_mml_mmlinj_body</v>
      </c>
      <c r="AF76" s="150"/>
      <c r="AG76" s="150"/>
      <c r="AH76" s="150"/>
      <c r="AI76" s="150"/>
      <c r="AJ76" s="150"/>
      <c r="AK76" s="150"/>
      <c r="AL76" s="151"/>
      <c r="AM76" s="149" t="str">
        <f t="shared" ca="1" si="38"/>
        <v>MML_注射記録モジュール_本文テーブルから組入れ条件の第一条件で絞り込んだ結果を格納するテーブル</v>
      </c>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2"/>
      <c r="BK76" s="32" t="str">
        <f t="shared" si="16"/>
        <v>ENT_01_A6-27_バックアップ_MML_注射記録モジュール_本文.sql</v>
      </c>
    </row>
    <row r="77" spans="1:64" ht="37.5" customHeight="1" outlineLevel="1">
      <c r="A77" s="34" t="str">
        <f t="shared" si="36"/>
        <v>バックアップ_MML_注射記録モジュール_投薬</v>
      </c>
      <c r="B77" s="143" t="str">
        <f t="shared" si="20"/>
        <v>01</v>
      </c>
      <c r="C77" s="144"/>
      <c r="D77" s="144"/>
      <c r="E77" s="144"/>
      <c r="F77" s="145"/>
      <c r="G77" s="146" t="s">
        <v>196</v>
      </c>
      <c r="H77" s="147"/>
      <c r="I77" s="147"/>
      <c r="J77" s="147"/>
      <c r="K77" s="147"/>
      <c r="L77" s="147"/>
      <c r="M77" s="147"/>
      <c r="N77" s="148"/>
      <c r="O77" s="81" t="s">
        <v>3212</v>
      </c>
      <c r="P77" s="140" t="s">
        <v>2889</v>
      </c>
      <c r="Q77" s="141"/>
      <c r="R77" s="141"/>
      <c r="S77" s="141"/>
      <c r="T77" s="141"/>
      <c r="U77" s="141"/>
      <c r="V77" s="141"/>
      <c r="W77" s="141"/>
      <c r="X77" s="141"/>
      <c r="Y77" s="141"/>
      <c r="Z77" s="141"/>
      <c r="AA77" s="141"/>
      <c r="AB77" s="141"/>
      <c r="AC77" s="141"/>
      <c r="AD77" s="142"/>
      <c r="AE77" s="149" t="str">
        <f t="shared" ca="1" si="37"/>
        <v>sny_202310_backup_text_mml_mmlinj_medication</v>
      </c>
      <c r="AF77" s="150"/>
      <c r="AG77" s="150"/>
      <c r="AH77" s="150"/>
      <c r="AI77" s="150"/>
      <c r="AJ77" s="150"/>
      <c r="AK77" s="150"/>
      <c r="AL77" s="151"/>
      <c r="AM77" s="149" t="str">
        <f t="shared" ca="1" si="38"/>
        <v>MML_注射記録モジュール_投薬テーブルから組入れ条件の第一条件で絞り込んだ結果を格納するテーブル</v>
      </c>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2"/>
      <c r="BK77" s="32" t="str">
        <f t="shared" si="16"/>
        <v>ENT_01_A6-28_バックアップ_MML_注射記録モジュール_投薬.sql</v>
      </c>
    </row>
    <row r="78" spans="1:64" ht="37.5" customHeight="1" outlineLevel="1">
      <c r="A78" s="34" t="str">
        <f t="shared" si="36"/>
        <v>バックアップ_MML_注射記録モジュール_薬剤</v>
      </c>
      <c r="B78" s="143" t="str">
        <f t="shared" si="20"/>
        <v>01</v>
      </c>
      <c r="C78" s="144"/>
      <c r="D78" s="144"/>
      <c r="E78" s="144"/>
      <c r="F78" s="145"/>
      <c r="G78" s="146" t="s">
        <v>196</v>
      </c>
      <c r="H78" s="147"/>
      <c r="I78" s="147"/>
      <c r="J78" s="147"/>
      <c r="K78" s="147"/>
      <c r="L78" s="147"/>
      <c r="M78" s="147"/>
      <c r="N78" s="148"/>
      <c r="O78" s="81" t="s">
        <v>3213</v>
      </c>
      <c r="P78" s="140" t="s">
        <v>2890</v>
      </c>
      <c r="Q78" s="141"/>
      <c r="R78" s="141"/>
      <c r="S78" s="141"/>
      <c r="T78" s="141"/>
      <c r="U78" s="141"/>
      <c r="V78" s="141"/>
      <c r="W78" s="141"/>
      <c r="X78" s="141"/>
      <c r="Y78" s="141"/>
      <c r="Z78" s="141"/>
      <c r="AA78" s="141"/>
      <c r="AB78" s="141"/>
      <c r="AC78" s="141"/>
      <c r="AD78" s="142"/>
      <c r="AE78" s="149" t="str">
        <f t="shared" ca="1" si="37"/>
        <v>sny_202310_backup_text_mml_mmlinj_medicine</v>
      </c>
      <c r="AF78" s="150"/>
      <c r="AG78" s="150"/>
      <c r="AH78" s="150"/>
      <c r="AI78" s="150"/>
      <c r="AJ78" s="150"/>
      <c r="AK78" s="150"/>
      <c r="AL78" s="151"/>
      <c r="AM78" s="149" t="str">
        <f t="shared" ca="1" si="38"/>
        <v>MML_注射記録モジュール_薬剤テーブルから組入れ条件の第一条件で絞り込んだ結果を格納するテーブル</v>
      </c>
      <c r="AN78" s="150"/>
      <c r="AO78" s="150"/>
      <c r="AP78" s="150"/>
      <c r="AQ78" s="150"/>
      <c r="AR78" s="150"/>
      <c r="AS78" s="150"/>
      <c r="AT78" s="150"/>
      <c r="AU78" s="150"/>
      <c r="AV78" s="150"/>
      <c r="AW78" s="150"/>
      <c r="AX78" s="150"/>
      <c r="AY78" s="150"/>
      <c r="AZ78" s="150"/>
      <c r="BA78" s="150"/>
      <c r="BB78" s="150"/>
      <c r="BC78" s="150"/>
      <c r="BD78" s="150"/>
      <c r="BE78" s="150"/>
      <c r="BF78" s="150"/>
      <c r="BG78" s="150"/>
      <c r="BH78" s="150"/>
      <c r="BI78" s="150"/>
      <c r="BJ78" s="152"/>
      <c r="BK78" s="32" t="str">
        <f t="shared" ref="BK78:BK192" si="39">IF(P78&lt;&gt;"",O78&amp;"_"&amp;P78&amp;".sql","")</f>
        <v>ENT_01_A6-29_バックアップ_MML_注射記録モジュール_薬剤.sql</v>
      </c>
    </row>
    <row r="79" spans="1:64" ht="37.5" customHeight="1" outlineLevel="1">
      <c r="A79" s="34" t="str">
        <f t="shared" ref="A79:A86" si="40">P79</f>
        <v>バックアップ_MML_手術モジュール_手術項目</v>
      </c>
      <c r="B79" s="143" t="str">
        <f t="shared" si="20"/>
        <v>01</v>
      </c>
      <c r="C79" s="144"/>
      <c r="D79" s="144"/>
      <c r="E79" s="144"/>
      <c r="F79" s="145"/>
      <c r="G79" s="146" t="s">
        <v>196</v>
      </c>
      <c r="H79" s="147"/>
      <c r="I79" s="147"/>
      <c r="J79" s="147"/>
      <c r="K79" s="147"/>
      <c r="L79" s="147"/>
      <c r="M79" s="147"/>
      <c r="N79" s="148"/>
      <c r="O79" s="81" t="s">
        <v>3214</v>
      </c>
      <c r="P79" s="140" t="s">
        <v>2891</v>
      </c>
      <c r="Q79" s="141"/>
      <c r="R79" s="141"/>
      <c r="S79" s="141"/>
      <c r="T79" s="141"/>
      <c r="U79" s="141"/>
      <c r="V79" s="141"/>
      <c r="W79" s="141"/>
      <c r="X79" s="141"/>
      <c r="Y79" s="141"/>
      <c r="Z79" s="141"/>
      <c r="AA79" s="141"/>
      <c r="AB79" s="141"/>
      <c r="AC79" s="141"/>
      <c r="AD79" s="142"/>
      <c r="AE79" s="149" t="str">
        <f t="shared" ref="AE79:AE86" ca="1" si="41">IFERROR(INDIRECT(P79&amp;"!D8"),"")</f>
        <v>sny_202310_backup_text_mml_mmlsg_surgery_item</v>
      </c>
      <c r="AF79" s="150"/>
      <c r="AG79" s="150"/>
      <c r="AH79" s="150"/>
      <c r="AI79" s="150"/>
      <c r="AJ79" s="150"/>
      <c r="AK79" s="150"/>
      <c r="AL79" s="151"/>
      <c r="AM79" s="149" t="str">
        <f t="shared" ref="AM79:AM86" ca="1" si="42">IFERROR(INDIRECT(P79&amp;"!D9"),"")</f>
        <v>MML_手術モジュール_手術項目テーブルから組入れ条件の第一条件で絞り込んだ結果を格納するテーブル</v>
      </c>
      <c r="AN79" s="150"/>
      <c r="AO79" s="150"/>
      <c r="AP79" s="150"/>
      <c r="AQ79" s="150"/>
      <c r="AR79" s="150"/>
      <c r="AS79" s="150"/>
      <c r="AT79" s="150"/>
      <c r="AU79" s="150"/>
      <c r="AV79" s="150"/>
      <c r="AW79" s="150"/>
      <c r="AX79" s="150"/>
      <c r="AY79" s="150"/>
      <c r="AZ79" s="150"/>
      <c r="BA79" s="150"/>
      <c r="BB79" s="150"/>
      <c r="BC79" s="150"/>
      <c r="BD79" s="150"/>
      <c r="BE79" s="150"/>
      <c r="BF79" s="150"/>
      <c r="BG79" s="150"/>
      <c r="BH79" s="150"/>
      <c r="BI79" s="150"/>
      <c r="BJ79" s="152"/>
      <c r="BK79" s="32" t="str">
        <f t="shared" si="39"/>
        <v>ENT_01_A6-42_バックアップ_MML_手術モジュール_手術項目.sql</v>
      </c>
    </row>
    <row r="80" spans="1:64" ht="37.5" customHeight="1" outlineLevel="1">
      <c r="A80" s="34" t="str">
        <f t="shared" si="40"/>
        <v>バックアップ_MML_手術モジュール_診療科情報</v>
      </c>
      <c r="B80" s="143" t="str">
        <f t="shared" si="20"/>
        <v>01</v>
      </c>
      <c r="C80" s="144"/>
      <c r="D80" s="144"/>
      <c r="E80" s="144"/>
      <c r="F80" s="145"/>
      <c r="G80" s="146" t="s">
        <v>196</v>
      </c>
      <c r="H80" s="147"/>
      <c r="I80" s="147"/>
      <c r="J80" s="147"/>
      <c r="K80" s="147"/>
      <c r="L80" s="147"/>
      <c r="M80" s="147"/>
      <c r="N80" s="148"/>
      <c r="O80" s="81" t="s">
        <v>3215</v>
      </c>
      <c r="P80" s="140" t="s">
        <v>2910</v>
      </c>
      <c r="Q80" s="141"/>
      <c r="R80" s="141"/>
      <c r="S80" s="141"/>
      <c r="T80" s="141"/>
      <c r="U80" s="141"/>
      <c r="V80" s="141"/>
      <c r="W80" s="141"/>
      <c r="X80" s="141"/>
      <c r="Y80" s="141"/>
      <c r="Z80" s="141"/>
      <c r="AA80" s="141"/>
      <c r="AB80" s="141"/>
      <c r="AC80" s="141"/>
      <c r="AD80" s="142"/>
      <c r="AE80" s="149" t="str">
        <f t="shared" ca="1" si="41"/>
        <v>sny_202310_backup_text_mml_mmlsg_dp</v>
      </c>
      <c r="AF80" s="150"/>
      <c r="AG80" s="150"/>
      <c r="AH80" s="150"/>
      <c r="AI80" s="150"/>
      <c r="AJ80" s="150"/>
      <c r="AK80" s="150"/>
      <c r="AL80" s="151"/>
      <c r="AM80" s="149" t="str">
        <f t="shared" ca="1" si="42"/>
        <v>MML_手術モジュール_診療科情報テーブルから組入れ条件の第一条件で絞り込んだ結果を格納するテーブル</v>
      </c>
      <c r="AN80" s="150"/>
      <c r="AO80" s="150"/>
      <c r="AP80" s="150"/>
      <c r="AQ80" s="150"/>
      <c r="AR80" s="150"/>
      <c r="AS80" s="150"/>
      <c r="AT80" s="150"/>
      <c r="AU80" s="150"/>
      <c r="AV80" s="150"/>
      <c r="AW80" s="150"/>
      <c r="AX80" s="150"/>
      <c r="AY80" s="150"/>
      <c r="AZ80" s="150"/>
      <c r="BA80" s="150"/>
      <c r="BB80" s="150"/>
      <c r="BC80" s="150"/>
      <c r="BD80" s="150"/>
      <c r="BE80" s="150"/>
      <c r="BF80" s="150"/>
      <c r="BG80" s="150"/>
      <c r="BH80" s="150"/>
      <c r="BI80" s="150"/>
      <c r="BJ80" s="152"/>
      <c r="BK80" s="32" t="str">
        <f t="shared" si="39"/>
        <v>ENT_01_A6-43_バックアップ_MML_手術モジュール_診療科情報.sql</v>
      </c>
    </row>
    <row r="81" spans="1:63" ht="37.5" customHeight="1" outlineLevel="1">
      <c r="A81" s="34" t="str">
        <f t="shared" si="40"/>
        <v>バックアップ_MML_手術モジュール_診断履歴情報</v>
      </c>
      <c r="B81" s="143" t="str">
        <f t="shared" si="20"/>
        <v>01</v>
      </c>
      <c r="C81" s="144"/>
      <c r="D81" s="144"/>
      <c r="E81" s="144"/>
      <c r="F81" s="145"/>
      <c r="G81" s="146" t="s">
        <v>196</v>
      </c>
      <c r="H81" s="147"/>
      <c r="I81" s="147"/>
      <c r="J81" s="147"/>
      <c r="K81" s="147"/>
      <c r="L81" s="147"/>
      <c r="M81" s="147"/>
      <c r="N81" s="148"/>
      <c r="O81" s="81" t="s">
        <v>3216</v>
      </c>
      <c r="P81" s="140" t="s">
        <v>2935</v>
      </c>
      <c r="Q81" s="141"/>
      <c r="R81" s="141"/>
      <c r="S81" s="141"/>
      <c r="T81" s="141"/>
      <c r="U81" s="141"/>
      <c r="V81" s="141"/>
      <c r="W81" s="141"/>
      <c r="X81" s="141"/>
      <c r="Y81" s="141"/>
      <c r="Z81" s="141"/>
      <c r="AA81" s="141"/>
      <c r="AB81" s="141"/>
      <c r="AC81" s="141"/>
      <c r="AD81" s="142"/>
      <c r="AE81" s="149" t="str">
        <f t="shared" ca="1" si="41"/>
        <v>sny_202310_backup_text_mml_mmlsg_rd</v>
      </c>
      <c r="AF81" s="150"/>
      <c r="AG81" s="150"/>
      <c r="AH81" s="150"/>
      <c r="AI81" s="150"/>
      <c r="AJ81" s="150"/>
      <c r="AK81" s="150"/>
      <c r="AL81" s="151"/>
      <c r="AM81" s="149" t="str">
        <f t="shared" ca="1" si="42"/>
        <v>MML_手術モジュール_診断履歴情報テーブルから組入れ条件の第一条件で絞り込んだ結果を格納するテーブル</v>
      </c>
      <c r="AN81" s="150"/>
      <c r="AO81" s="150"/>
      <c r="AP81" s="150"/>
      <c r="AQ81" s="150"/>
      <c r="AR81" s="150"/>
      <c r="AS81" s="150"/>
      <c r="AT81" s="150"/>
      <c r="AU81" s="150"/>
      <c r="AV81" s="150"/>
      <c r="AW81" s="150"/>
      <c r="AX81" s="150"/>
      <c r="AY81" s="150"/>
      <c r="AZ81" s="150"/>
      <c r="BA81" s="150"/>
      <c r="BB81" s="150"/>
      <c r="BC81" s="150"/>
      <c r="BD81" s="150"/>
      <c r="BE81" s="150"/>
      <c r="BF81" s="150"/>
      <c r="BG81" s="150"/>
      <c r="BH81" s="150"/>
      <c r="BI81" s="150"/>
      <c r="BJ81" s="152"/>
      <c r="BK81" s="32" t="str">
        <f t="shared" si="39"/>
        <v>ENT_01_A6-44_バックアップ_MML_手術モジュール_診断履歴情報.sql</v>
      </c>
    </row>
    <row r="82" spans="1:63" ht="37.5" customHeight="1" outlineLevel="1">
      <c r="A82" s="34" t="str">
        <f t="shared" si="40"/>
        <v>バックアップ_MML_手術モジュール_病名</v>
      </c>
      <c r="B82" s="143" t="str">
        <f t="shared" si="20"/>
        <v>01</v>
      </c>
      <c r="C82" s="144"/>
      <c r="D82" s="144"/>
      <c r="E82" s="144"/>
      <c r="F82" s="145"/>
      <c r="G82" s="146" t="s">
        <v>196</v>
      </c>
      <c r="H82" s="147"/>
      <c r="I82" s="147"/>
      <c r="J82" s="147"/>
      <c r="K82" s="147"/>
      <c r="L82" s="147"/>
      <c r="M82" s="147"/>
      <c r="N82" s="148"/>
      <c r="O82" s="81" t="s">
        <v>3217</v>
      </c>
      <c r="P82" s="140" t="s">
        <v>2938</v>
      </c>
      <c r="Q82" s="141"/>
      <c r="R82" s="141"/>
      <c r="S82" s="141"/>
      <c r="T82" s="141"/>
      <c r="U82" s="141"/>
      <c r="V82" s="141"/>
      <c r="W82" s="141"/>
      <c r="X82" s="141"/>
      <c r="Y82" s="141"/>
      <c r="Z82" s="141"/>
      <c r="AA82" s="141"/>
      <c r="AB82" s="141"/>
      <c r="AC82" s="141"/>
      <c r="AD82" s="142"/>
      <c r="AE82" s="149" t="str">
        <f t="shared" ca="1" si="41"/>
        <v>sny_202310_backup_text_mml_mmlsg_rd_byomei</v>
      </c>
      <c r="AF82" s="150"/>
      <c r="AG82" s="150"/>
      <c r="AH82" s="150"/>
      <c r="AI82" s="150"/>
      <c r="AJ82" s="150"/>
      <c r="AK82" s="150"/>
      <c r="AL82" s="151"/>
      <c r="AM82" s="149" t="str">
        <f t="shared" ca="1" si="42"/>
        <v>MML_手術モジュール_病名テーブルから組入れ条件の第一条件で絞り込んだ結果を格納するテーブル</v>
      </c>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2"/>
      <c r="BK82" s="32" t="str">
        <f t="shared" si="39"/>
        <v>ENT_01_A6-45_バックアップ_MML_手術モジュール_病名.sql</v>
      </c>
    </row>
    <row r="83" spans="1:63" ht="37.5" customHeight="1" outlineLevel="1">
      <c r="A83" s="34" t="str">
        <f t="shared" si="40"/>
        <v>バックアップ_MML_手術モジュール_カテゴリ名</v>
      </c>
      <c r="B83" s="143" t="str">
        <f t="shared" si="20"/>
        <v>01</v>
      </c>
      <c r="C83" s="144"/>
      <c r="D83" s="144"/>
      <c r="E83" s="144"/>
      <c r="F83" s="145"/>
      <c r="G83" s="146" t="s">
        <v>196</v>
      </c>
      <c r="H83" s="147"/>
      <c r="I83" s="147"/>
      <c r="J83" s="147"/>
      <c r="K83" s="147"/>
      <c r="L83" s="147"/>
      <c r="M83" s="147"/>
      <c r="N83" s="148"/>
      <c r="O83" s="81" t="s">
        <v>3218</v>
      </c>
      <c r="P83" s="140" t="s">
        <v>2939</v>
      </c>
      <c r="Q83" s="141"/>
      <c r="R83" s="141"/>
      <c r="S83" s="141"/>
      <c r="T83" s="141"/>
      <c r="U83" s="141"/>
      <c r="V83" s="141"/>
      <c r="W83" s="141"/>
      <c r="X83" s="141"/>
      <c r="Y83" s="141"/>
      <c r="Z83" s="141"/>
      <c r="AA83" s="141"/>
      <c r="AB83" s="141"/>
      <c r="AC83" s="141"/>
      <c r="AD83" s="142"/>
      <c r="AE83" s="149" t="str">
        <f t="shared" ca="1" si="41"/>
        <v>sny_202310_backup_text_mml_mmlsg_rd_category</v>
      </c>
      <c r="AF83" s="150"/>
      <c r="AG83" s="150"/>
      <c r="AH83" s="150"/>
      <c r="AI83" s="150"/>
      <c r="AJ83" s="150"/>
      <c r="AK83" s="150"/>
      <c r="AL83" s="151"/>
      <c r="AM83" s="149" t="str">
        <f t="shared" ca="1" si="42"/>
        <v>MML_手術モジュール_カテゴリ名テーブルから組入れ条件の第一条件で絞り込んだ結果を格納するテーブル</v>
      </c>
      <c r="AN83" s="150"/>
      <c r="AO83" s="150"/>
      <c r="AP83" s="150"/>
      <c r="AQ83" s="150"/>
      <c r="AR83" s="150"/>
      <c r="AS83" s="150"/>
      <c r="AT83" s="150"/>
      <c r="AU83" s="150"/>
      <c r="AV83" s="150"/>
      <c r="AW83" s="150"/>
      <c r="AX83" s="150"/>
      <c r="AY83" s="150"/>
      <c r="AZ83" s="150"/>
      <c r="BA83" s="150"/>
      <c r="BB83" s="150"/>
      <c r="BC83" s="150"/>
      <c r="BD83" s="150"/>
      <c r="BE83" s="150"/>
      <c r="BF83" s="150"/>
      <c r="BG83" s="150"/>
      <c r="BH83" s="150"/>
      <c r="BI83" s="150"/>
      <c r="BJ83" s="152"/>
      <c r="BK83" s="32" t="str">
        <f t="shared" si="39"/>
        <v>ENT_01_A6-46_バックアップ_MML_手術モジュール_カテゴリ名.sql</v>
      </c>
    </row>
    <row r="84" spans="1:63" ht="37.5" customHeight="1" outlineLevel="1">
      <c r="A84" s="34" t="str">
        <f t="shared" si="40"/>
        <v>バックアップ_MML_手術モジュール_手術法</v>
      </c>
      <c r="B84" s="143" t="str">
        <f t="shared" si="20"/>
        <v>01</v>
      </c>
      <c r="C84" s="144"/>
      <c r="D84" s="144"/>
      <c r="E84" s="144"/>
      <c r="F84" s="145"/>
      <c r="G84" s="146" t="s">
        <v>196</v>
      </c>
      <c r="H84" s="147"/>
      <c r="I84" s="147"/>
      <c r="J84" s="147"/>
      <c r="K84" s="147"/>
      <c r="L84" s="147"/>
      <c r="M84" s="147"/>
      <c r="N84" s="148"/>
      <c r="O84" s="81" t="s">
        <v>3219</v>
      </c>
      <c r="P84" s="140" t="s">
        <v>2940</v>
      </c>
      <c r="Q84" s="141"/>
      <c r="R84" s="141"/>
      <c r="S84" s="141"/>
      <c r="T84" s="141"/>
      <c r="U84" s="141"/>
      <c r="V84" s="141"/>
      <c r="W84" s="141"/>
      <c r="X84" s="141"/>
      <c r="Y84" s="141"/>
      <c r="Z84" s="141"/>
      <c r="AA84" s="141"/>
      <c r="AB84" s="141"/>
      <c r="AC84" s="141"/>
      <c r="AD84" s="142"/>
      <c r="AE84" s="149" t="str">
        <f t="shared" ca="1" si="41"/>
        <v>sny_202310_backup_text_mml_mmlsg_procedure_item</v>
      </c>
      <c r="AF84" s="150"/>
      <c r="AG84" s="150"/>
      <c r="AH84" s="150"/>
      <c r="AI84" s="150"/>
      <c r="AJ84" s="150"/>
      <c r="AK84" s="150"/>
      <c r="AL84" s="151"/>
      <c r="AM84" s="149" t="str">
        <f t="shared" ca="1" si="42"/>
        <v>MML_手術モジュール_手術法テーブルから組入れ条件の第一条件で絞り込んだ結果を格納するテーブル</v>
      </c>
      <c r="AN84" s="150"/>
      <c r="AO84" s="150"/>
      <c r="AP84" s="150"/>
      <c r="AQ84" s="150"/>
      <c r="AR84" s="150"/>
      <c r="AS84" s="150"/>
      <c r="AT84" s="150"/>
      <c r="AU84" s="150"/>
      <c r="AV84" s="150"/>
      <c r="AW84" s="150"/>
      <c r="AX84" s="150"/>
      <c r="AY84" s="150"/>
      <c r="AZ84" s="150"/>
      <c r="BA84" s="150"/>
      <c r="BB84" s="150"/>
      <c r="BC84" s="150"/>
      <c r="BD84" s="150"/>
      <c r="BE84" s="150"/>
      <c r="BF84" s="150"/>
      <c r="BG84" s="150"/>
      <c r="BH84" s="150"/>
      <c r="BI84" s="150"/>
      <c r="BJ84" s="152"/>
      <c r="BK84" s="32" t="str">
        <f t="shared" si="39"/>
        <v>ENT_01_A6-47_バックアップ_MML_手術モジュール_手術法.sql</v>
      </c>
    </row>
    <row r="85" spans="1:63" ht="37.5" customHeight="1" outlineLevel="1">
      <c r="A85" s="34" t="str">
        <f t="shared" si="40"/>
        <v>バックアップ_MML_手術モジュール_手術要素</v>
      </c>
      <c r="B85" s="143" t="str">
        <f t="shared" si="20"/>
        <v>01</v>
      </c>
      <c r="C85" s="144"/>
      <c r="D85" s="144"/>
      <c r="E85" s="144"/>
      <c r="F85" s="145"/>
      <c r="G85" s="146" t="s">
        <v>196</v>
      </c>
      <c r="H85" s="147"/>
      <c r="I85" s="147"/>
      <c r="J85" s="147"/>
      <c r="K85" s="147"/>
      <c r="L85" s="147"/>
      <c r="M85" s="147"/>
      <c r="N85" s="148"/>
      <c r="O85" s="81" t="s">
        <v>3220</v>
      </c>
      <c r="P85" s="140" t="s">
        <v>2949</v>
      </c>
      <c r="Q85" s="141"/>
      <c r="R85" s="141"/>
      <c r="S85" s="141"/>
      <c r="T85" s="141"/>
      <c r="U85" s="141"/>
      <c r="V85" s="141"/>
      <c r="W85" s="141"/>
      <c r="X85" s="141"/>
      <c r="Y85" s="141"/>
      <c r="Z85" s="141"/>
      <c r="AA85" s="141"/>
      <c r="AB85" s="141"/>
      <c r="AC85" s="141"/>
      <c r="AD85" s="142"/>
      <c r="AE85" s="149" t="str">
        <f t="shared" ca="1" si="41"/>
        <v>sny_202310_backup_text_mml_mmlsg_operation_element</v>
      </c>
      <c r="AF85" s="150"/>
      <c r="AG85" s="150"/>
      <c r="AH85" s="150"/>
      <c r="AI85" s="150"/>
      <c r="AJ85" s="150"/>
      <c r="AK85" s="150"/>
      <c r="AL85" s="151"/>
      <c r="AM85" s="149" t="str">
        <f t="shared" ca="1" si="42"/>
        <v>MML_手術モジュール_手術要素テーブルから組入れ条件の第一条件で絞り込んだ結果を格納するテーブル</v>
      </c>
      <c r="AN85" s="150"/>
      <c r="AO85" s="150"/>
      <c r="AP85" s="150"/>
      <c r="AQ85" s="150"/>
      <c r="AR85" s="150"/>
      <c r="AS85" s="150"/>
      <c r="AT85" s="150"/>
      <c r="AU85" s="150"/>
      <c r="AV85" s="150"/>
      <c r="AW85" s="150"/>
      <c r="AX85" s="150"/>
      <c r="AY85" s="150"/>
      <c r="AZ85" s="150"/>
      <c r="BA85" s="150"/>
      <c r="BB85" s="150"/>
      <c r="BC85" s="150"/>
      <c r="BD85" s="150"/>
      <c r="BE85" s="150"/>
      <c r="BF85" s="150"/>
      <c r="BG85" s="150"/>
      <c r="BH85" s="150"/>
      <c r="BI85" s="150"/>
      <c r="BJ85" s="152"/>
      <c r="BK85" s="32" t="str">
        <f t="shared" si="39"/>
        <v>ENT_01_A6-48_バックアップ_MML_手術モジュール_手術要素.sql</v>
      </c>
    </row>
    <row r="86" spans="1:63" ht="37.5" customHeight="1" outlineLevel="1">
      <c r="A86" s="34" t="str">
        <f t="shared" si="40"/>
        <v>バックアップ_MML_手術モジュール_麻酔法</v>
      </c>
      <c r="B86" s="143" t="str">
        <f t="shared" si="20"/>
        <v>01</v>
      </c>
      <c r="C86" s="144"/>
      <c r="D86" s="144"/>
      <c r="E86" s="144"/>
      <c r="F86" s="145"/>
      <c r="G86" s="146" t="s">
        <v>196</v>
      </c>
      <c r="H86" s="147"/>
      <c r="I86" s="147"/>
      <c r="J86" s="147"/>
      <c r="K86" s="147"/>
      <c r="L86" s="147"/>
      <c r="M86" s="147"/>
      <c r="N86" s="148"/>
      <c r="O86" s="81" t="s">
        <v>3221</v>
      </c>
      <c r="P86" s="140" t="s">
        <v>2953</v>
      </c>
      <c r="Q86" s="141"/>
      <c r="R86" s="141"/>
      <c r="S86" s="141"/>
      <c r="T86" s="141"/>
      <c r="U86" s="141"/>
      <c r="V86" s="141"/>
      <c r="W86" s="141"/>
      <c r="X86" s="141"/>
      <c r="Y86" s="141"/>
      <c r="Z86" s="141"/>
      <c r="AA86" s="141"/>
      <c r="AB86" s="141"/>
      <c r="AC86" s="141"/>
      <c r="AD86" s="142"/>
      <c r="AE86" s="149" t="str">
        <f t="shared" ca="1" si="41"/>
        <v>sny_202310_backup_text_mml_mmlsg_anesthesia_procedure</v>
      </c>
      <c r="AF86" s="150"/>
      <c r="AG86" s="150"/>
      <c r="AH86" s="150"/>
      <c r="AI86" s="150"/>
      <c r="AJ86" s="150"/>
      <c r="AK86" s="150"/>
      <c r="AL86" s="151"/>
      <c r="AM86" s="149" t="str">
        <f t="shared" ca="1" si="42"/>
        <v>MML_手術モジュール_麻酔法テーブルから組入れ条件の第一条件で絞り込んだ結果を格納するテーブル</v>
      </c>
      <c r="AN86" s="150"/>
      <c r="AO86" s="150"/>
      <c r="AP86" s="150"/>
      <c r="AQ86" s="150"/>
      <c r="AR86" s="150"/>
      <c r="AS86" s="150"/>
      <c r="AT86" s="150"/>
      <c r="AU86" s="150"/>
      <c r="AV86" s="150"/>
      <c r="AW86" s="150"/>
      <c r="AX86" s="150"/>
      <c r="AY86" s="150"/>
      <c r="AZ86" s="150"/>
      <c r="BA86" s="150"/>
      <c r="BB86" s="150"/>
      <c r="BC86" s="150"/>
      <c r="BD86" s="150"/>
      <c r="BE86" s="150"/>
      <c r="BF86" s="150"/>
      <c r="BG86" s="150"/>
      <c r="BH86" s="150"/>
      <c r="BI86" s="150"/>
      <c r="BJ86" s="152"/>
      <c r="BK86" s="32" t="str">
        <f t="shared" si="39"/>
        <v>ENT_01_A6-49_バックアップ_MML_手術モジュール_麻酔法.sql</v>
      </c>
    </row>
    <row r="87" spans="1:63" ht="37.5" customHeight="1" outlineLevel="1">
      <c r="A87" s="34" t="str">
        <f t="shared" si="36"/>
        <v>バックアップ_MML_報告書情報モジュール_本文</v>
      </c>
      <c r="B87" s="143" t="str">
        <f t="shared" si="20"/>
        <v>01</v>
      </c>
      <c r="C87" s="144"/>
      <c r="D87" s="144"/>
      <c r="E87" s="144"/>
      <c r="F87" s="145"/>
      <c r="G87" s="146" t="s">
        <v>196</v>
      </c>
      <c r="H87" s="147"/>
      <c r="I87" s="147"/>
      <c r="J87" s="147"/>
      <c r="K87" s="147"/>
      <c r="L87" s="147"/>
      <c r="M87" s="147"/>
      <c r="N87" s="148"/>
      <c r="O87" s="81" t="s">
        <v>3222</v>
      </c>
      <c r="P87" s="140" t="s">
        <v>2960</v>
      </c>
      <c r="Q87" s="141"/>
      <c r="R87" s="141"/>
      <c r="S87" s="141"/>
      <c r="T87" s="141"/>
      <c r="U87" s="141"/>
      <c r="V87" s="141"/>
      <c r="W87" s="141"/>
      <c r="X87" s="141"/>
      <c r="Y87" s="141"/>
      <c r="Z87" s="141"/>
      <c r="AA87" s="141"/>
      <c r="AB87" s="141"/>
      <c r="AC87" s="141"/>
      <c r="AD87" s="142"/>
      <c r="AE87" s="149" t="str">
        <f t="shared" ca="1" si="37"/>
        <v>sny_202310_backup_text_mml_mmlrp_body</v>
      </c>
      <c r="AF87" s="150"/>
      <c r="AG87" s="150"/>
      <c r="AH87" s="150"/>
      <c r="AI87" s="150"/>
      <c r="AJ87" s="150"/>
      <c r="AK87" s="150"/>
      <c r="AL87" s="151"/>
      <c r="AM87" s="149" t="str">
        <f t="shared" ca="1" si="38"/>
        <v>MML_報告書情報モジュール_本文テーブルから組入れ条件の第一条件で絞り込んだ結果を格納するテーブル</v>
      </c>
      <c r="AN87" s="150"/>
      <c r="AO87" s="150"/>
      <c r="AP87" s="150"/>
      <c r="AQ87" s="150"/>
      <c r="AR87" s="150"/>
      <c r="AS87" s="150"/>
      <c r="AT87" s="150"/>
      <c r="AU87" s="150"/>
      <c r="AV87" s="150"/>
      <c r="AW87" s="150"/>
      <c r="AX87" s="150"/>
      <c r="AY87" s="150"/>
      <c r="AZ87" s="150"/>
      <c r="BA87" s="150"/>
      <c r="BB87" s="150"/>
      <c r="BC87" s="150"/>
      <c r="BD87" s="150"/>
      <c r="BE87" s="150"/>
      <c r="BF87" s="150"/>
      <c r="BG87" s="150"/>
      <c r="BH87" s="150"/>
      <c r="BI87" s="150"/>
      <c r="BJ87" s="152"/>
      <c r="BK87" s="32" t="str">
        <f t="shared" si="39"/>
        <v>ENT_01_A6-50_バックアップ_MML_報告書情報モジュール_本文.sql</v>
      </c>
    </row>
    <row r="88" spans="1:63" ht="37.5" customHeight="1" outlineLevel="1">
      <c r="A88" s="34" t="str">
        <f t="shared" si="36"/>
        <v>バックアップ_MML_報告書情報モジュール_検査コメント</v>
      </c>
      <c r="B88" s="143" t="str">
        <f t="shared" si="20"/>
        <v>01</v>
      </c>
      <c r="C88" s="144"/>
      <c r="D88" s="144"/>
      <c r="E88" s="144"/>
      <c r="F88" s="145"/>
      <c r="G88" s="146" t="s">
        <v>196</v>
      </c>
      <c r="H88" s="147"/>
      <c r="I88" s="147"/>
      <c r="J88" s="147"/>
      <c r="K88" s="147"/>
      <c r="L88" s="147"/>
      <c r="M88" s="147"/>
      <c r="N88" s="148"/>
      <c r="O88" s="81" t="s">
        <v>3223</v>
      </c>
      <c r="P88" s="140" t="s">
        <v>3018</v>
      </c>
      <c r="Q88" s="141"/>
      <c r="R88" s="141"/>
      <c r="S88" s="141"/>
      <c r="T88" s="141"/>
      <c r="U88" s="141"/>
      <c r="V88" s="141"/>
      <c r="W88" s="141"/>
      <c r="X88" s="141"/>
      <c r="Y88" s="141"/>
      <c r="Z88" s="141"/>
      <c r="AA88" s="141"/>
      <c r="AB88" s="141"/>
      <c r="AC88" s="141"/>
      <c r="AD88" s="142"/>
      <c r="AE88" s="149" t="str">
        <f t="shared" ca="1" si="37"/>
        <v>sny_202310_backup_text_mml_mmlrp_test_memo</v>
      </c>
      <c r="AF88" s="150"/>
      <c r="AG88" s="150"/>
      <c r="AH88" s="150"/>
      <c r="AI88" s="150"/>
      <c r="AJ88" s="150"/>
      <c r="AK88" s="150"/>
      <c r="AL88" s="151"/>
      <c r="AM88" s="149" t="str">
        <f t="shared" ca="1" si="38"/>
        <v>MML_報告書情報モジュール_検査コメントテーブルから組入れ条件の第一条件で絞り込んだ結果を格納するテーブル</v>
      </c>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2"/>
      <c r="BK88" s="32" t="str">
        <f t="shared" si="39"/>
        <v>ENT_01_A6-51_バックアップ_MML_報告書情報モジュール_検査コメント.sql</v>
      </c>
    </row>
    <row r="89" spans="1:63" ht="37.5" customHeight="1" outlineLevel="1">
      <c r="A89" s="34" t="str">
        <f t="shared" ref="A89:A97" si="43">P89</f>
        <v>バックアップ_MML_生活習慣情報モジュール_本文</v>
      </c>
      <c r="B89" s="143" t="str">
        <f t="shared" si="20"/>
        <v>01</v>
      </c>
      <c r="C89" s="144"/>
      <c r="D89" s="144"/>
      <c r="E89" s="144"/>
      <c r="F89" s="145"/>
      <c r="G89" s="146" t="s">
        <v>196</v>
      </c>
      <c r="H89" s="147"/>
      <c r="I89" s="147"/>
      <c r="J89" s="147"/>
      <c r="K89" s="147"/>
      <c r="L89" s="147"/>
      <c r="M89" s="147"/>
      <c r="N89" s="148"/>
      <c r="O89" s="81" t="s">
        <v>3224</v>
      </c>
      <c r="P89" s="140" t="s">
        <v>3236</v>
      </c>
      <c r="Q89" s="141"/>
      <c r="R89" s="141"/>
      <c r="S89" s="141"/>
      <c r="T89" s="141"/>
      <c r="U89" s="141"/>
      <c r="V89" s="141"/>
      <c r="W89" s="141"/>
      <c r="X89" s="141"/>
      <c r="Y89" s="141"/>
      <c r="Z89" s="141"/>
      <c r="AA89" s="141"/>
      <c r="AB89" s="141"/>
      <c r="AC89" s="141"/>
      <c r="AD89" s="142"/>
      <c r="AE89" s="149" t="str">
        <f t="shared" ref="AE89:AE97" ca="1" si="44">IFERROR(INDIRECT(P89&amp;"!D8"),"")</f>
        <v>sny_202310_backup_text_mml_mmlls_body</v>
      </c>
      <c r="AF89" s="150"/>
      <c r="AG89" s="150"/>
      <c r="AH89" s="150"/>
      <c r="AI89" s="150"/>
      <c r="AJ89" s="150"/>
      <c r="AK89" s="150"/>
      <c r="AL89" s="151"/>
      <c r="AM89" s="149" t="str">
        <f t="shared" ref="AM89:AM97" ca="1" si="45">IFERROR(INDIRECT(P89&amp;"!D9"),"")</f>
        <v>MML_生活習慣情報モジュール_本文テーブルから組入れ条件の第一条件で絞り込んだ結果を格納するテーブル</v>
      </c>
      <c r="AN89" s="150"/>
      <c r="AO89" s="150"/>
      <c r="AP89" s="150"/>
      <c r="AQ89" s="150"/>
      <c r="AR89" s="150"/>
      <c r="AS89" s="150"/>
      <c r="AT89" s="150"/>
      <c r="AU89" s="150"/>
      <c r="AV89" s="150"/>
      <c r="AW89" s="150"/>
      <c r="AX89" s="150"/>
      <c r="AY89" s="150"/>
      <c r="AZ89" s="150"/>
      <c r="BA89" s="150"/>
      <c r="BB89" s="150"/>
      <c r="BC89" s="150"/>
      <c r="BD89" s="150"/>
      <c r="BE89" s="150"/>
      <c r="BF89" s="150"/>
      <c r="BG89" s="150"/>
      <c r="BH89" s="150"/>
      <c r="BI89" s="150"/>
      <c r="BJ89" s="152"/>
      <c r="BK89" s="32" t="str">
        <f t="shared" si="39"/>
        <v>ENT_01_A6-52_バックアップ_MML_生活習慣情報モジュール_本文.sql</v>
      </c>
    </row>
    <row r="90" spans="1:63" ht="37.5" customHeight="1" outlineLevel="1">
      <c r="A90" s="34" t="str">
        <f t="shared" ref="A90" si="46">P90</f>
        <v>バックアップ_MML_紹介状モジュール_本文</v>
      </c>
      <c r="B90" s="143" t="str">
        <f t="shared" si="20"/>
        <v>01</v>
      </c>
      <c r="C90" s="144"/>
      <c r="D90" s="144"/>
      <c r="E90" s="144"/>
      <c r="F90" s="145"/>
      <c r="G90" s="146" t="s">
        <v>196</v>
      </c>
      <c r="H90" s="147"/>
      <c r="I90" s="147"/>
      <c r="J90" s="147"/>
      <c r="K90" s="147"/>
      <c r="L90" s="147"/>
      <c r="M90" s="147"/>
      <c r="N90" s="148"/>
      <c r="O90" s="81" t="s">
        <v>3225</v>
      </c>
      <c r="P90" s="140" t="s">
        <v>3029</v>
      </c>
      <c r="Q90" s="141"/>
      <c r="R90" s="141"/>
      <c r="S90" s="141"/>
      <c r="T90" s="141"/>
      <c r="U90" s="141"/>
      <c r="V90" s="141"/>
      <c r="W90" s="141"/>
      <c r="X90" s="141"/>
      <c r="Y90" s="141"/>
      <c r="Z90" s="141"/>
      <c r="AA90" s="141"/>
      <c r="AB90" s="141"/>
      <c r="AC90" s="141"/>
      <c r="AD90" s="142"/>
      <c r="AE90" s="149" t="str">
        <f t="shared" ref="AE90" ca="1" si="47">IFERROR(INDIRECT(P90&amp;"!D8"),"")</f>
        <v>sny_202310_backup_text_mml_mmlre_body</v>
      </c>
      <c r="AF90" s="150"/>
      <c r="AG90" s="150"/>
      <c r="AH90" s="150"/>
      <c r="AI90" s="150"/>
      <c r="AJ90" s="150"/>
      <c r="AK90" s="150"/>
      <c r="AL90" s="151"/>
      <c r="AM90" s="149" t="str">
        <f t="shared" ref="AM90" ca="1" si="48">IFERROR(INDIRECT(P90&amp;"!D9"),"")</f>
        <v>MML_紹介状モジュール_本文テーブルから組入れ条件の第一条件で絞り込んだ結果を格納するテーブル</v>
      </c>
      <c r="AN90" s="150"/>
      <c r="AO90" s="150"/>
      <c r="AP90" s="150"/>
      <c r="AQ90" s="150"/>
      <c r="AR90" s="150"/>
      <c r="AS90" s="150"/>
      <c r="AT90" s="150"/>
      <c r="AU90" s="150"/>
      <c r="AV90" s="150"/>
      <c r="AW90" s="150"/>
      <c r="AX90" s="150"/>
      <c r="AY90" s="150"/>
      <c r="AZ90" s="150"/>
      <c r="BA90" s="150"/>
      <c r="BB90" s="150"/>
      <c r="BC90" s="150"/>
      <c r="BD90" s="150"/>
      <c r="BE90" s="150"/>
      <c r="BF90" s="150"/>
      <c r="BG90" s="150"/>
      <c r="BH90" s="150"/>
      <c r="BI90" s="150"/>
      <c r="BJ90" s="152"/>
      <c r="BK90" s="32" t="str">
        <f t="shared" si="39"/>
        <v>ENT_01_A6-53_バックアップ_MML_紹介状モジュール_本文.sql</v>
      </c>
    </row>
    <row r="91" spans="1:63" ht="37.5" customHeight="1" outlineLevel="1">
      <c r="A91" s="34" t="str">
        <f t="shared" ref="A91" si="49">P91</f>
        <v>バックアップ_MML_紹介状モジュール_注射記録</v>
      </c>
      <c r="B91" s="143" t="str">
        <f t="shared" si="20"/>
        <v>01</v>
      </c>
      <c r="C91" s="144"/>
      <c r="D91" s="144"/>
      <c r="E91" s="144"/>
      <c r="F91" s="145"/>
      <c r="G91" s="146" t="s">
        <v>196</v>
      </c>
      <c r="H91" s="147"/>
      <c r="I91" s="147"/>
      <c r="J91" s="147"/>
      <c r="K91" s="147"/>
      <c r="L91" s="147"/>
      <c r="M91" s="147"/>
      <c r="N91" s="148"/>
      <c r="O91" s="81" t="s">
        <v>3226</v>
      </c>
      <c r="P91" s="140" t="s">
        <v>3058</v>
      </c>
      <c r="Q91" s="141"/>
      <c r="R91" s="141"/>
      <c r="S91" s="141"/>
      <c r="T91" s="141"/>
      <c r="U91" s="141"/>
      <c r="V91" s="141"/>
      <c r="W91" s="141"/>
      <c r="X91" s="141"/>
      <c r="Y91" s="141"/>
      <c r="Z91" s="141"/>
      <c r="AA91" s="141"/>
      <c r="AB91" s="141"/>
      <c r="AC91" s="141"/>
      <c r="AD91" s="142"/>
      <c r="AE91" s="149" t="str">
        <f t="shared" ref="AE91" ca="1" si="50">IFERROR(INDIRECT(P91&amp;"!D8"),"")</f>
        <v>sny_202310_backup_text_mml_mmlre_inj</v>
      </c>
      <c r="AF91" s="150"/>
      <c r="AG91" s="150"/>
      <c r="AH91" s="150"/>
      <c r="AI91" s="150"/>
      <c r="AJ91" s="150"/>
      <c r="AK91" s="150"/>
      <c r="AL91" s="151"/>
      <c r="AM91" s="149" t="str">
        <f t="shared" ref="AM91" ca="1" si="51">IFERROR(INDIRECT(P91&amp;"!D9"),"")</f>
        <v>MML_紹介状モジュール_注射記録テーブルから組入れ条件の第一条件で絞り込んだ結果を格納するテーブル</v>
      </c>
      <c r="AN91" s="150"/>
      <c r="AO91" s="150"/>
      <c r="AP91" s="150"/>
      <c r="AQ91" s="150"/>
      <c r="AR91" s="150"/>
      <c r="AS91" s="150"/>
      <c r="AT91" s="150"/>
      <c r="AU91" s="150"/>
      <c r="AV91" s="150"/>
      <c r="AW91" s="150"/>
      <c r="AX91" s="150"/>
      <c r="AY91" s="150"/>
      <c r="AZ91" s="150"/>
      <c r="BA91" s="150"/>
      <c r="BB91" s="150"/>
      <c r="BC91" s="150"/>
      <c r="BD91" s="150"/>
      <c r="BE91" s="150"/>
      <c r="BF91" s="150"/>
      <c r="BG91" s="150"/>
      <c r="BH91" s="150"/>
      <c r="BI91" s="150"/>
      <c r="BJ91" s="152"/>
      <c r="BK91" s="32" t="str">
        <f t="shared" si="39"/>
        <v>ENT_01_A6-54_バックアップ_MML_紹介状モジュール_注射記録.sql</v>
      </c>
    </row>
    <row r="92" spans="1:63" ht="37.5" customHeight="1" outlineLevel="1">
      <c r="A92" s="34" t="str">
        <f t="shared" si="43"/>
        <v>バックアップ_MML_紹介状モジュール_注射記録投薬</v>
      </c>
      <c r="B92" s="143" t="str">
        <f t="shared" si="20"/>
        <v>01</v>
      </c>
      <c r="C92" s="144"/>
      <c r="D92" s="144"/>
      <c r="E92" s="144"/>
      <c r="F92" s="145"/>
      <c r="G92" s="146" t="s">
        <v>196</v>
      </c>
      <c r="H92" s="147"/>
      <c r="I92" s="147"/>
      <c r="J92" s="147"/>
      <c r="K92" s="147"/>
      <c r="L92" s="147"/>
      <c r="M92" s="147"/>
      <c r="N92" s="148"/>
      <c r="O92" s="81" t="s">
        <v>3227</v>
      </c>
      <c r="P92" s="140" t="s">
        <v>3059</v>
      </c>
      <c r="Q92" s="141"/>
      <c r="R92" s="141"/>
      <c r="S92" s="141"/>
      <c r="T92" s="141"/>
      <c r="U92" s="141"/>
      <c r="V92" s="141"/>
      <c r="W92" s="141"/>
      <c r="X92" s="141"/>
      <c r="Y92" s="141"/>
      <c r="Z92" s="141"/>
      <c r="AA92" s="141"/>
      <c r="AB92" s="141"/>
      <c r="AC92" s="141"/>
      <c r="AD92" s="142"/>
      <c r="AE92" s="149" t="str">
        <f t="shared" ca="1" si="44"/>
        <v>sny_202310_backup_text_mml_mmlre_inj_medication</v>
      </c>
      <c r="AF92" s="150"/>
      <c r="AG92" s="150"/>
      <c r="AH92" s="150"/>
      <c r="AI92" s="150"/>
      <c r="AJ92" s="150"/>
      <c r="AK92" s="150"/>
      <c r="AL92" s="151"/>
      <c r="AM92" s="149" t="str">
        <f t="shared" ca="1" si="45"/>
        <v>MML_紹介状モジュール_注射記録投薬テーブルから組入れ条件の第一条件で絞り込んだ結果を格納するテーブル</v>
      </c>
      <c r="AN92" s="150"/>
      <c r="AO92" s="150"/>
      <c r="AP92" s="150"/>
      <c r="AQ92" s="150"/>
      <c r="AR92" s="150"/>
      <c r="AS92" s="150"/>
      <c r="AT92" s="150"/>
      <c r="AU92" s="150"/>
      <c r="AV92" s="150"/>
      <c r="AW92" s="150"/>
      <c r="AX92" s="150"/>
      <c r="AY92" s="150"/>
      <c r="AZ92" s="150"/>
      <c r="BA92" s="150"/>
      <c r="BB92" s="150"/>
      <c r="BC92" s="150"/>
      <c r="BD92" s="150"/>
      <c r="BE92" s="150"/>
      <c r="BF92" s="150"/>
      <c r="BG92" s="150"/>
      <c r="BH92" s="150"/>
      <c r="BI92" s="150"/>
      <c r="BJ92" s="152"/>
      <c r="BK92" s="32" t="str">
        <f t="shared" si="39"/>
        <v>ENT_01_A6-55_バックアップ_MML_紹介状モジュール_注射記録投薬.sql</v>
      </c>
    </row>
    <row r="93" spans="1:63" ht="37.5" customHeight="1" outlineLevel="1">
      <c r="A93" s="34" t="str">
        <f t="shared" si="43"/>
        <v>バックアップ_MML_紹介状モジュール_注射記録薬剤</v>
      </c>
      <c r="B93" s="143" t="str">
        <f t="shared" si="20"/>
        <v>01</v>
      </c>
      <c r="C93" s="144"/>
      <c r="D93" s="144"/>
      <c r="E93" s="144"/>
      <c r="F93" s="145"/>
      <c r="G93" s="146" t="s">
        <v>196</v>
      </c>
      <c r="H93" s="147"/>
      <c r="I93" s="147"/>
      <c r="J93" s="147"/>
      <c r="K93" s="147"/>
      <c r="L93" s="147"/>
      <c r="M93" s="147"/>
      <c r="N93" s="148"/>
      <c r="O93" s="81" t="s">
        <v>3228</v>
      </c>
      <c r="P93" s="140" t="s">
        <v>3062</v>
      </c>
      <c r="Q93" s="141"/>
      <c r="R93" s="141"/>
      <c r="S93" s="141"/>
      <c r="T93" s="141"/>
      <c r="U93" s="141"/>
      <c r="V93" s="141"/>
      <c r="W93" s="141"/>
      <c r="X93" s="141"/>
      <c r="Y93" s="141"/>
      <c r="Z93" s="141"/>
      <c r="AA93" s="141"/>
      <c r="AB93" s="141"/>
      <c r="AC93" s="141"/>
      <c r="AD93" s="142"/>
      <c r="AE93" s="149" t="str">
        <f t="shared" ca="1" si="44"/>
        <v>sny_202310_backup_text_mml_mmlre_inj_medicine</v>
      </c>
      <c r="AF93" s="150"/>
      <c r="AG93" s="150"/>
      <c r="AH93" s="150"/>
      <c r="AI93" s="150"/>
      <c r="AJ93" s="150"/>
      <c r="AK93" s="150"/>
      <c r="AL93" s="151"/>
      <c r="AM93" s="149" t="str">
        <f t="shared" ca="1" si="45"/>
        <v>MML_紹介状モジュール_注射記録薬剤テーブルから組入れ条件の第一条件で絞り込んだ結果を格納するテーブル</v>
      </c>
      <c r="AN93" s="150"/>
      <c r="AO93" s="150"/>
      <c r="AP93" s="150"/>
      <c r="AQ93" s="150"/>
      <c r="AR93" s="150"/>
      <c r="AS93" s="150"/>
      <c r="AT93" s="150"/>
      <c r="AU93" s="150"/>
      <c r="AV93" s="150"/>
      <c r="AW93" s="150"/>
      <c r="AX93" s="150"/>
      <c r="AY93" s="150"/>
      <c r="AZ93" s="150"/>
      <c r="BA93" s="150"/>
      <c r="BB93" s="150"/>
      <c r="BC93" s="150"/>
      <c r="BD93" s="150"/>
      <c r="BE93" s="150"/>
      <c r="BF93" s="150"/>
      <c r="BG93" s="150"/>
      <c r="BH93" s="150"/>
      <c r="BI93" s="150"/>
      <c r="BJ93" s="152"/>
      <c r="BK93" s="32" t="str">
        <f t="shared" si="39"/>
        <v>ENT_01_A6-56_バックアップ_MML_紹介状モジュール_注射記録薬剤.sql</v>
      </c>
    </row>
    <row r="94" spans="1:63" ht="37.5" customHeight="1" outlineLevel="1">
      <c r="A94" s="34" t="str">
        <f t="shared" si="43"/>
        <v>バックアップ_MML_紹介状モジュール_患者情報</v>
      </c>
      <c r="B94" s="143" t="str">
        <f t="shared" si="20"/>
        <v>01</v>
      </c>
      <c r="C94" s="144"/>
      <c r="D94" s="144"/>
      <c r="E94" s="144"/>
      <c r="F94" s="145"/>
      <c r="G94" s="146" t="s">
        <v>196</v>
      </c>
      <c r="H94" s="147"/>
      <c r="I94" s="147"/>
      <c r="J94" s="147"/>
      <c r="K94" s="147"/>
      <c r="L94" s="147"/>
      <c r="M94" s="147"/>
      <c r="N94" s="148"/>
      <c r="O94" s="81" t="s">
        <v>3229</v>
      </c>
      <c r="P94" s="140" t="s">
        <v>3063</v>
      </c>
      <c r="Q94" s="141"/>
      <c r="R94" s="141"/>
      <c r="S94" s="141"/>
      <c r="T94" s="141"/>
      <c r="U94" s="141"/>
      <c r="V94" s="141"/>
      <c r="W94" s="141"/>
      <c r="X94" s="141"/>
      <c r="Y94" s="141"/>
      <c r="Z94" s="141"/>
      <c r="AA94" s="141"/>
      <c r="AB94" s="141"/>
      <c r="AC94" s="141"/>
      <c r="AD94" s="142"/>
      <c r="AE94" s="149" t="str">
        <f t="shared" ca="1" si="44"/>
        <v>sny_202310_backup_text_mml_mmlre_pi</v>
      </c>
      <c r="AF94" s="150"/>
      <c r="AG94" s="150"/>
      <c r="AH94" s="150"/>
      <c r="AI94" s="150"/>
      <c r="AJ94" s="150"/>
      <c r="AK94" s="150"/>
      <c r="AL94" s="151"/>
      <c r="AM94" s="149" t="str">
        <f t="shared" ca="1" si="45"/>
        <v>MML_紹介状モジュール_患者情報テーブルから組入れ条件の第一条件で絞り込んだ結果を格納するテーブル</v>
      </c>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2"/>
      <c r="BK94" s="32" t="str">
        <f t="shared" si="39"/>
        <v>ENT_01_A6-57_バックアップ_MML_紹介状モジュール_患者情報.sql</v>
      </c>
    </row>
    <row r="95" spans="1:63" ht="37.5" customHeight="1" outlineLevel="1">
      <c r="A95" s="34" t="str">
        <f t="shared" si="43"/>
        <v>バックアップ_MML_紹介状モジュール_患者情報住所</v>
      </c>
      <c r="B95" s="143" t="str">
        <f t="shared" si="20"/>
        <v>01</v>
      </c>
      <c r="C95" s="144"/>
      <c r="D95" s="144"/>
      <c r="E95" s="144"/>
      <c r="F95" s="145"/>
      <c r="G95" s="146" t="s">
        <v>196</v>
      </c>
      <c r="H95" s="147"/>
      <c r="I95" s="147"/>
      <c r="J95" s="147"/>
      <c r="K95" s="147"/>
      <c r="L95" s="147"/>
      <c r="M95" s="147"/>
      <c r="N95" s="148"/>
      <c r="O95" s="81" t="s">
        <v>3230</v>
      </c>
      <c r="P95" s="140" t="s">
        <v>3073</v>
      </c>
      <c r="Q95" s="141"/>
      <c r="R95" s="141"/>
      <c r="S95" s="141"/>
      <c r="T95" s="141"/>
      <c r="U95" s="141"/>
      <c r="V95" s="141"/>
      <c r="W95" s="141"/>
      <c r="X95" s="141"/>
      <c r="Y95" s="141"/>
      <c r="Z95" s="141"/>
      <c r="AA95" s="141"/>
      <c r="AB95" s="141"/>
      <c r="AC95" s="141"/>
      <c r="AD95" s="142"/>
      <c r="AE95" s="149" t="str">
        <f t="shared" ca="1" si="44"/>
        <v>sny_202310_backup_text_mml_mmlre_pi_address</v>
      </c>
      <c r="AF95" s="150"/>
      <c r="AG95" s="150"/>
      <c r="AH95" s="150"/>
      <c r="AI95" s="150"/>
      <c r="AJ95" s="150"/>
      <c r="AK95" s="150"/>
      <c r="AL95" s="151"/>
      <c r="AM95" s="149" t="str">
        <f t="shared" ca="1" si="45"/>
        <v>MML_紹介状モジュール_患者情報住所テーブルから組入れ条件の第一条件で絞り込んだ結果を格納するテーブル</v>
      </c>
      <c r="AN95" s="150"/>
      <c r="AO95" s="150"/>
      <c r="AP95" s="150"/>
      <c r="AQ95" s="150"/>
      <c r="AR95" s="150"/>
      <c r="AS95" s="150"/>
      <c r="AT95" s="150"/>
      <c r="AU95" s="150"/>
      <c r="AV95" s="150"/>
      <c r="AW95" s="150"/>
      <c r="AX95" s="150"/>
      <c r="AY95" s="150"/>
      <c r="AZ95" s="150"/>
      <c r="BA95" s="150"/>
      <c r="BB95" s="150"/>
      <c r="BC95" s="150"/>
      <c r="BD95" s="150"/>
      <c r="BE95" s="150"/>
      <c r="BF95" s="150"/>
      <c r="BG95" s="150"/>
      <c r="BH95" s="150"/>
      <c r="BI95" s="150"/>
      <c r="BJ95" s="152"/>
      <c r="BK95" s="32" t="str">
        <f t="shared" si="39"/>
        <v>ENT_01_A6-58_バックアップ_MML_紹介状モジュール_患者情報住所.sql</v>
      </c>
    </row>
    <row r="96" spans="1:63" ht="37.5" customHeight="1" outlineLevel="1">
      <c r="A96" s="34" t="str">
        <f t="shared" si="43"/>
        <v>バックアップ_MML_紹介状モジュール_処方箋</v>
      </c>
      <c r="B96" s="143" t="str">
        <f t="shared" si="20"/>
        <v>01</v>
      </c>
      <c r="C96" s="144"/>
      <c r="D96" s="144"/>
      <c r="E96" s="144"/>
      <c r="F96" s="145"/>
      <c r="G96" s="146" t="s">
        <v>196</v>
      </c>
      <c r="H96" s="147"/>
      <c r="I96" s="147"/>
      <c r="J96" s="147"/>
      <c r="K96" s="147"/>
      <c r="L96" s="147"/>
      <c r="M96" s="147"/>
      <c r="N96" s="148"/>
      <c r="O96" s="81" t="s">
        <v>3231</v>
      </c>
      <c r="P96" s="140" t="s">
        <v>3091</v>
      </c>
      <c r="Q96" s="141"/>
      <c r="R96" s="141"/>
      <c r="S96" s="141"/>
      <c r="T96" s="141"/>
      <c r="U96" s="141"/>
      <c r="V96" s="141"/>
      <c r="W96" s="141"/>
      <c r="X96" s="141"/>
      <c r="Y96" s="141"/>
      <c r="Z96" s="141"/>
      <c r="AA96" s="141"/>
      <c r="AB96" s="141"/>
      <c r="AC96" s="141"/>
      <c r="AD96" s="142"/>
      <c r="AE96" s="149" t="str">
        <f t="shared" ca="1" si="44"/>
        <v>sny_202310_backup_text_mml_mmlre_ps</v>
      </c>
      <c r="AF96" s="150"/>
      <c r="AG96" s="150"/>
      <c r="AH96" s="150"/>
      <c r="AI96" s="150"/>
      <c r="AJ96" s="150"/>
      <c r="AK96" s="150"/>
      <c r="AL96" s="151"/>
      <c r="AM96" s="149" t="str">
        <f t="shared" ca="1" si="45"/>
        <v>MML_紹介状モジュール_処方箋テーブルから組入れ条件の第一条件で絞り込んだ結果を格納するテーブル</v>
      </c>
      <c r="AN96" s="150"/>
      <c r="AO96" s="150"/>
      <c r="AP96" s="150"/>
      <c r="AQ96" s="150"/>
      <c r="AR96" s="150"/>
      <c r="AS96" s="150"/>
      <c r="AT96" s="150"/>
      <c r="AU96" s="150"/>
      <c r="AV96" s="150"/>
      <c r="AW96" s="150"/>
      <c r="AX96" s="150"/>
      <c r="AY96" s="150"/>
      <c r="AZ96" s="150"/>
      <c r="BA96" s="150"/>
      <c r="BB96" s="150"/>
      <c r="BC96" s="150"/>
      <c r="BD96" s="150"/>
      <c r="BE96" s="150"/>
      <c r="BF96" s="150"/>
      <c r="BG96" s="150"/>
      <c r="BH96" s="150"/>
      <c r="BI96" s="150"/>
      <c r="BJ96" s="152"/>
      <c r="BK96" s="32" t="str">
        <f t="shared" si="39"/>
        <v>ENT_01_A6-59_バックアップ_MML_紹介状モジュール_処方箋.sql</v>
      </c>
    </row>
    <row r="97" spans="1:64" ht="37.5" customHeight="1" outlineLevel="1">
      <c r="A97" s="34" t="str">
        <f t="shared" si="43"/>
        <v>バックアップ_MML_紹介状モジュール_処方箋投薬</v>
      </c>
      <c r="B97" s="143" t="str">
        <f t="shared" si="20"/>
        <v>01</v>
      </c>
      <c r="C97" s="144"/>
      <c r="D97" s="144"/>
      <c r="E97" s="144"/>
      <c r="F97" s="145"/>
      <c r="G97" s="146" t="s">
        <v>196</v>
      </c>
      <c r="H97" s="147"/>
      <c r="I97" s="147"/>
      <c r="J97" s="147"/>
      <c r="K97" s="147"/>
      <c r="L97" s="147"/>
      <c r="M97" s="147"/>
      <c r="N97" s="148"/>
      <c r="O97" s="81" t="s">
        <v>3232</v>
      </c>
      <c r="P97" s="140" t="s">
        <v>3092</v>
      </c>
      <c r="Q97" s="141"/>
      <c r="R97" s="141"/>
      <c r="S97" s="141"/>
      <c r="T97" s="141"/>
      <c r="U97" s="141"/>
      <c r="V97" s="141"/>
      <c r="W97" s="141"/>
      <c r="X97" s="141"/>
      <c r="Y97" s="141"/>
      <c r="Z97" s="141"/>
      <c r="AA97" s="141"/>
      <c r="AB97" s="141"/>
      <c r="AC97" s="141"/>
      <c r="AD97" s="142"/>
      <c r="AE97" s="149" t="str">
        <f t="shared" ca="1" si="44"/>
        <v>sny_202310_backup_text_mml_mmlre_ps_medication</v>
      </c>
      <c r="AF97" s="150"/>
      <c r="AG97" s="150"/>
      <c r="AH97" s="150"/>
      <c r="AI97" s="150"/>
      <c r="AJ97" s="150"/>
      <c r="AK97" s="150"/>
      <c r="AL97" s="151"/>
      <c r="AM97" s="149" t="str">
        <f t="shared" ca="1" si="45"/>
        <v>MML_紹介状モジュール_処方箋投薬テーブルから組入れ条件の第一条件で絞り込んだ結果を格納するテーブル</v>
      </c>
      <c r="AN97" s="150"/>
      <c r="AO97" s="150"/>
      <c r="AP97" s="150"/>
      <c r="AQ97" s="150"/>
      <c r="AR97" s="150"/>
      <c r="AS97" s="150"/>
      <c r="AT97" s="150"/>
      <c r="AU97" s="150"/>
      <c r="AV97" s="150"/>
      <c r="AW97" s="150"/>
      <c r="AX97" s="150"/>
      <c r="AY97" s="150"/>
      <c r="AZ97" s="150"/>
      <c r="BA97" s="150"/>
      <c r="BB97" s="150"/>
      <c r="BC97" s="150"/>
      <c r="BD97" s="150"/>
      <c r="BE97" s="150"/>
      <c r="BF97" s="150"/>
      <c r="BG97" s="150"/>
      <c r="BH97" s="150"/>
      <c r="BI97" s="150"/>
      <c r="BJ97" s="152"/>
      <c r="BK97" s="32" t="str">
        <f t="shared" si="39"/>
        <v>ENT_01_A6-60_バックアップ_MML_紹介状モジュール_処方箋投薬.sql</v>
      </c>
    </row>
    <row r="98" spans="1:64" ht="37.5" customHeight="1" outlineLevel="1">
      <c r="A98" s="34" t="str">
        <f t="shared" si="36"/>
        <v>バックアップ_MML_紹介状モジュール_処方箋薬剤</v>
      </c>
      <c r="B98" s="143" t="str">
        <f t="shared" si="20"/>
        <v>01</v>
      </c>
      <c r="C98" s="144"/>
      <c r="D98" s="144"/>
      <c r="E98" s="144"/>
      <c r="F98" s="145"/>
      <c r="G98" s="146" t="s">
        <v>196</v>
      </c>
      <c r="H98" s="147"/>
      <c r="I98" s="147"/>
      <c r="J98" s="147"/>
      <c r="K98" s="147"/>
      <c r="L98" s="147"/>
      <c r="M98" s="147"/>
      <c r="N98" s="148"/>
      <c r="O98" s="81" t="s">
        <v>3233</v>
      </c>
      <c r="P98" s="140" t="s">
        <v>3093</v>
      </c>
      <c r="Q98" s="141"/>
      <c r="R98" s="141"/>
      <c r="S98" s="141"/>
      <c r="T98" s="141"/>
      <c r="U98" s="141"/>
      <c r="V98" s="141"/>
      <c r="W98" s="141"/>
      <c r="X98" s="141"/>
      <c r="Y98" s="141"/>
      <c r="Z98" s="141"/>
      <c r="AA98" s="141"/>
      <c r="AB98" s="141"/>
      <c r="AC98" s="141"/>
      <c r="AD98" s="142"/>
      <c r="AE98" s="149" t="str">
        <f t="shared" ca="1" si="37"/>
        <v>sny_202310_backup_text_mml_mmlre_ps_medicine</v>
      </c>
      <c r="AF98" s="150"/>
      <c r="AG98" s="150"/>
      <c r="AH98" s="150"/>
      <c r="AI98" s="150"/>
      <c r="AJ98" s="150"/>
      <c r="AK98" s="150"/>
      <c r="AL98" s="151"/>
      <c r="AM98" s="149" t="str">
        <f t="shared" ca="1" si="38"/>
        <v>MML_紹介状モジュール_処方箋薬剤テーブルから組入れ条件の第一条件で絞り込んだ結果を格納するテーブル</v>
      </c>
      <c r="AN98" s="150"/>
      <c r="AO98" s="150"/>
      <c r="AP98" s="150"/>
      <c r="AQ98" s="150"/>
      <c r="AR98" s="150"/>
      <c r="AS98" s="150"/>
      <c r="AT98" s="150"/>
      <c r="AU98" s="150"/>
      <c r="AV98" s="150"/>
      <c r="AW98" s="150"/>
      <c r="AX98" s="150"/>
      <c r="AY98" s="150"/>
      <c r="AZ98" s="150"/>
      <c r="BA98" s="150"/>
      <c r="BB98" s="150"/>
      <c r="BC98" s="150"/>
      <c r="BD98" s="150"/>
      <c r="BE98" s="150"/>
      <c r="BF98" s="150"/>
      <c r="BG98" s="150"/>
      <c r="BH98" s="150"/>
      <c r="BI98" s="150"/>
      <c r="BJ98" s="152"/>
      <c r="BK98" s="32" t="str">
        <f t="shared" si="39"/>
        <v>ENT_01_A6-61_バックアップ_MML_紹介状モジュール_処方箋薬剤.sql</v>
      </c>
    </row>
    <row r="99" spans="1:64" ht="37.5" customHeight="1" outlineLevel="1">
      <c r="A99" s="34" t="str">
        <f t="shared" ref="A99" si="52">P99</f>
        <v>バックアップ_MML_紹介状モジュール_臨床サマリー情報経過記録</v>
      </c>
      <c r="B99" s="143" t="str">
        <f t="shared" si="20"/>
        <v>01</v>
      </c>
      <c r="C99" s="144"/>
      <c r="D99" s="144"/>
      <c r="E99" s="144"/>
      <c r="F99" s="145"/>
      <c r="G99" s="146" t="s">
        <v>196</v>
      </c>
      <c r="H99" s="147"/>
      <c r="I99" s="147"/>
      <c r="J99" s="147"/>
      <c r="K99" s="147"/>
      <c r="L99" s="147"/>
      <c r="M99" s="147"/>
      <c r="N99" s="148"/>
      <c r="O99" s="81" t="s">
        <v>3234</v>
      </c>
      <c r="P99" s="140" t="s">
        <v>3094</v>
      </c>
      <c r="Q99" s="141"/>
      <c r="R99" s="141"/>
      <c r="S99" s="141"/>
      <c r="T99" s="141"/>
      <c r="U99" s="141"/>
      <c r="V99" s="141"/>
      <c r="W99" s="141"/>
      <c r="X99" s="141"/>
      <c r="Y99" s="141"/>
      <c r="Z99" s="141"/>
      <c r="AA99" s="141"/>
      <c r="AB99" s="141"/>
      <c r="AC99" s="141"/>
      <c r="AD99" s="142"/>
      <c r="AE99" s="149" t="s">
        <v>3103</v>
      </c>
      <c r="AF99" s="150"/>
      <c r="AG99" s="150"/>
      <c r="AH99" s="150"/>
      <c r="AI99" s="150"/>
      <c r="AJ99" s="150"/>
      <c r="AK99" s="150"/>
      <c r="AL99" s="151"/>
      <c r="AM99" s="149" t="s">
        <v>3104</v>
      </c>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2"/>
      <c r="BK99" s="32" t="str">
        <f t="shared" si="39"/>
        <v>ENT_01_A6-62_バックアップ_MML_紹介状モジュール_臨床サマリー情報経過記録.sql</v>
      </c>
    </row>
    <row r="100" spans="1:64" ht="37.5" customHeight="1" outlineLevel="1">
      <c r="A100" s="34" t="str">
        <f t="shared" ref="A100" si="53">P100</f>
        <v>バックアップ_MML_紹介状モジュール_診療科情報</v>
      </c>
      <c r="B100" s="143" t="str">
        <f t="shared" si="20"/>
        <v>01</v>
      </c>
      <c r="C100" s="144"/>
      <c r="D100" s="144"/>
      <c r="E100" s="144"/>
      <c r="F100" s="145"/>
      <c r="G100" s="146" t="s">
        <v>196</v>
      </c>
      <c r="H100" s="147"/>
      <c r="I100" s="147"/>
      <c r="J100" s="147"/>
      <c r="K100" s="147"/>
      <c r="L100" s="147"/>
      <c r="M100" s="147"/>
      <c r="N100" s="148"/>
      <c r="O100" s="81" t="s">
        <v>3235</v>
      </c>
      <c r="P100" s="140" t="s">
        <v>3105</v>
      </c>
      <c r="Q100" s="141"/>
      <c r="R100" s="141"/>
      <c r="S100" s="141"/>
      <c r="T100" s="141"/>
      <c r="U100" s="141"/>
      <c r="V100" s="141"/>
      <c r="W100" s="141"/>
      <c r="X100" s="141"/>
      <c r="Y100" s="141"/>
      <c r="Z100" s="141"/>
      <c r="AA100" s="141"/>
      <c r="AB100" s="141"/>
      <c r="AC100" s="141"/>
      <c r="AD100" s="142"/>
      <c r="AE100" s="149" t="str">
        <f t="shared" ref="AE100" ca="1" si="54">IFERROR(INDIRECT(P100&amp;"!D8"),"")</f>
        <v>sny_202310_backup_text_mml_mmlre_dp</v>
      </c>
      <c r="AF100" s="150"/>
      <c r="AG100" s="150"/>
      <c r="AH100" s="150"/>
      <c r="AI100" s="150"/>
      <c r="AJ100" s="150"/>
      <c r="AK100" s="150"/>
      <c r="AL100" s="151"/>
      <c r="AM100" s="149" t="str">
        <f t="shared" ref="AM100" ca="1" si="55">IFERROR(INDIRECT(P100&amp;"!D9"),"")</f>
        <v>MML_紹介状モジュール_診療科情報テーブルから組入れ条件の第一条件で絞り込んだ結果を格納するテーブル</v>
      </c>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2"/>
      <c r="BK100" s="32" t="str">
        <f t="shared" si="39"/>
        <v>ENT_01_A6-63_バックアップ_MML_紹介状モジュール_診療科情報.sql</v>
      </c>
    </row>
    <row r="101" spans="1:64" ht="37.5" customHeight="1" outlineLevel="1">
      <c r="A101" s="34" t="str">
        <f t="shared" ref="A101:A115" si="56">P101</f>
        <v>バックアップ_DPC調査データ_Dファイル</v>
      </c>
      <c r="B101" s="143" t="str">
        <f>TEXT(1,"00")</f>
        <v>01</v>
      </c>
      <c r="C101" s="144"/>
      <c r="D101" s="144"/>
      <c r="E101" s="144"/>
      <c r="F101" s="145"/>
      <c r="G101" s="146" t="s">
        <v>196</v>
      </c>
      <c r="H101" s="147"/>
      <c r="I101" s="147"/>
      <c r="J101" s="147"/>
      <c r="K101" s="147"/>
      <c r="L101" s="147"/>
      <c r="M101" s="147"/>
      <c r="N101" s="148"/>
      <c r="O101" s="92" t="s">
        <v>3106</v>
      </c>
      <c r="P101" s="180" t="s">
        <v>191</v>
      </c>
      <c r="Q101" s="181"/>
      <c r="R101" s="181"/>
      <c r="S101" s="181"/>
      <c r="T101" s="181"/>
      <c r="U101" s="181"/>
      <c r="V101" s="181"/>
      <c r="W101" s="181"/>
      <c r="X101" s="181"/>
      <c r="Y101" s="181"/>
      <c r="Z101" s="181"/>
      <c r="AA101" s="181"/>
      <c r="AB101" s="181"/>
      <c r="AC101" s="181"/>
      <c r="AD101" s="182"/>
      <c r="AE101" s="185" t="str">
        <f t="shared" ref="AE101:AE106" ca="1" si="57">IFERROR(INDIRECT(P101&amp;"!D8"),"")</f>
        <v>sny_202310_backup_merge_dpc_dn</v>
      </c>
      <c r="AF101" s="186"/>
      <c r="AG101" s="186"/>
      <c r="AH101" s="186"/>
      <c r="AI101" s="186"/>
      <c r="AJ101" s="186"/>
      <c r="AK101" s="186"/>
      <c r="AL101" s="187"/>
      <c r="AM101" s="185" t="str">
        <f t="shared" ref="AM101:AM106" ca="1" si="58">IFERROR(INDIRECT(P101&amp;"!D9"),"")</f>
        <v>DPC調査データ_Dファイルテーブルから組入れ条件の第一条件で絞り込んだ結果を格納するテーブル</v>
      </c>
      <c r="AN101" s="186"/>
      <c r="AO101" s="186"/>
      <c r="AP101" s="186"/>
      <c r="AQ101" s="186"/>
      <c r="AR101" s="186"/>
      <c r="AS101" s="186"/>
      <c r="AT101" s="186"/>
      <c r="AU101" s="186"/>
      <c r="AV101" s="186"/>
      <c r="AW101" s="186"/>
      <c r="AX101" s="186"/>
      <c r="AY101" s="186"/>
      <c r="AZ101" s="186"/>
      <c r="BA101" s="186"/>
      <c r="BB101" s="186"/>
      <c r="BC101" s="186"/>
      <c r="BD101" s="186"/>
      <c r="BE101" s="186"/>
      <c r="BF101" s="186"/>
      <c r="BG101" s="186"/>
      <c r="BH101" s="186"/>
      <c r="BI101" s="186"/>
      <c r="BJ101" s="191"/>
      <c r="BK101" s="32" t="str">
        <f t="shared" ref="BK101:BK132" si="59">IF(P101&lt;&gt;"",O101&amp;"_"&amp;P101&amp;".sql","")</f>
        <v>ENT_01_C1-01_バックアップ_DPC調査データ_Dファイル.sql</v>
      </c>
    </row>
    <row r="102" spans="1:64" ht="37.5" customHeight="1" outlineLevel="1">
      <c r="A102" s="34" t="str">
        <f t="shared" si="56"/>
        <v>バックアップ_DPC調査データ_入院EF統合ファイル</v>
      </c>
      <c r="B102" s="143" t="str">
        <f>TEXT(1,"00")</f>
        <v>01</v>
      </c>
      <c r="C102" s="144"/>
      <c r="D102" s="144"/>
      <c r="E102" s="144"/>
      <c r="F102" s="145"/>
      <c r="G102" s="146" t="s">
        <v>196</v>
      </c>
      <c r="H102" s="147"/>
      <c r="I102" s="147"/>
      <c r="J102" s="147"/>
      <c r="K102" s="147"/>
      <c r="L102" s="147"/>
      <c r="M102" s="147"/>
      <c r="N102" s="148"/>
      <c r="O102" s="81" t="s">
        <v>3107</v>
      </c>
      <c r="P102" s="140" t="s">
        <v>192</v>
      </c>
      <c r="Q102" s="141"/>
      <c r="R102" s="141"/>
      <c r="S102" s="141"/>
      <c r="T102" s="141"/>
      <c r="U102" s="141"/>
      <c r="V102" s="141"/>
      <c r="W102" s="141"/>
      <c r="X102" s="141"/>
      <c r="Y102" s="141"/>
      <c r="Z102" s="141"/>
      <c r="AA102" s="141"/>
      <c r="AB102" s="141"/>
      <c r="AC102" s="141"/>
      <c r="AD102" s="142"/>
      <c r="AE102" s="149" t="str">
        <f t="shared" ca="1" si="57"/>
        <v>sny_202310_backup_merge_dpc_efn</v>
      </c>
      <c r="AF102" s="150"/>
      <c r="AG102" s="150"/>
      <c r="AH102" s="150"/>
      <c r="AI102" s="150"/>
      <c r="AJ102" s="150"/>
      <c r="AK102" s="150"/>
      <c r="AL102" s="151"/>
      <c r="AM102" s="149" t="str">
        <f t="shared" ca="1" si="58"/>
        <v>DPC調査データ_入院EF統合ファイルテーブルから組入れ条件の第一条件で絞り込んだ結果を格納するテーブル</v>
      </c>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2"/>
      <c r="BK102" s="32" t="str">
        <f t="shared" si="59"/>
        <v>ENT_01_C1-02_バックアップ_DPC調査データ_入院EF統合ファイル.sql</v>
      </c>
      <c r="BL102" s="32">
        <v>1</v>
      </c>
    </row>
    <row r="103" spans="1:64" ht="37.5" customHeight="1" outlineLevel="1">
      <c r="A103" s="34" t="str">
        <f t="shared" si="56"/>
        <v>バックアップ_DPC調査データ_外来EF統合ファイル</v>
      </c>
      <c r="B103" s="143" t="str">
        <f t="shared" ref="B103:B106" si="60">TEXT(1,"00")</f>
        <v>01</v>
      </c>
      <c r="C103" s="144"/>
      <c r="D103" s="144"/>
      <c r="E103" s="144"/>
      <c r="F103" s="145"/>
      <c r="G103" s="146" t="s">
        <v>196</v>
      </c>
      <c r="H103" s="147"/>
      <c r="I103" s="147"/>
      <c r="J103" s="147"/>
      <c r="K103" s="147"/>
      <c r="L103" s="147"/>
      <c r="M103" s="147"/>
      <c r="N103" s="148"/>
      <c r="O103" s="81" t="s">
        <v>3108</v>
      </c>
      <c r="P103" s="140" t="s">
        <v>193</v>
      </c>
      <c r="Q103" s="141"/>
      <c r="R103" s="141"/>
      <c r="S103" s="141"/>
      <c r="T103" s="141"/>
      <c r="U103" s="141"/>
      <c r="V103" s="141"/>
      <c r="W103" s="141"/>
      <c r="X103" s="141"/>
      <c r="Y103" s="141"/>
      <c r="Z103" s="141"/>
      <c r="AA103" s="141"/>
      <c r="AB103" s="141"/>
      <c r="AC103" s="141"/>
      <c r="AD103" s="142"/>
      <c r="AE103" s="149" t="str">
        <f t="shared" ca="1" si="57"/>
        <v>sny_202310_backup_merge_dpc_efg</v>
      </c>
      <c r="AF103" s="150"/>
      <c r="AG103" s="150"/>
      <c r="AH103" s="150"/>
      <c r="AI103" s="150"/>
      <c r="AJ103" s="150"/>
      <c r="AK103" s="150"/>
      <c r="AL103" s="151"/>
      <c r="AM103" s="149" t="str">
        <f t="shared" ca="1" si="58"/>
        <v>DPC調査データ_外来EF統合ファイルテーブルから組入れ条件の第一条件で絞り込んだ結果を格納するテーブル</v>
      </c>
      <c r="AN103" s="150"/>
      <c r="AO103" s="150"/>
      <c r="AP103" s="150"/>
      <c r="AQ103" s="150"/>
      <c r="AR103" s="150"/>
      <c r="AS103" s="150"/>
      <c r="AT103" s="150"/>
      <c r="AU103" s="150"/>
      <c r="AV103" s="150"/>
      <c r="AW103" s="150"/>
      <c r="AX103" s="150"/>
      <c r="AY103" s="150"/>
      <c r="AZ103" s="150"/>
      <c r="BA103" s="150"/>
      <c r="BB103" s="150"/>
      <c r="BC103" s="150"/>
      <c r="BD103" s="150"/>
      <c r="BE103" s="150"/>
      <c r="BF103" s="150"/>
      <c r="BG103" s="150"/>
      <c r="BH103" s="150"/>
      <c r="BI103" s="150"/>
      <c r="BJ103" s="152"/>
      <c r="BK103" s="32" t="str">
        <f t="shared" si="59"/>
        <v>ENT_01_C1-03_バックアップ_DPC調査データ_外来EF統合ファイル.sql</v>
      </c>
      <c r="BL103" s="32">
        <v>1</v>
      </c>
    </row>
    <row r="104" spans="1:64" ht="37.5" customHeight="1" outlineLevel="1">
      <c r="A104" s="34" t="str">
        <f t="shared" si="56"/>
        <v>バックアップ_DPC調査データ_Hファイル</v>
      </c>
      <c r="B104" s="143" t="str">
        <f t="shared" si="60"/>
        <v>01</v>
      </c>
      <c r="C104" s="144"/>
      <c r="D104" s="144"/>
      <c r="E104" s="144"/>
      <c r="F104" s="145"/>
      <c r="G104" s="146" t="s">
        <v>196</v>
      </c>
      <c r="H104" s="147"/>
      <c r="I104" s="147"/>
      <c r="J104" s="147"/>
      <c r="K104" s="147"/>
      <c r="L104" s="147"/>
      <c r="M104" s="147"/>
      <c r="N104" s="148"/>
      <c r="O104" s="81" t="s">
        <v>3109</v>
      </c>
      <c r="P104" s="140" t="s">
        <v>194</v>
      </c>
      <c r="Q104" s="141"/>
      <c r="R104" s="141"/>
      <c r="S104" s="141"/>
      <c r="T104" s="141"/>
      <c r="U104" s="141"/>
      <c r="V104" s="141"/>
      <c r="W104" s="141"/>
      <c r="X104" s="141"/>
      <c r="Y104" s="141"/>
      <c r="Z104" s="141"/>
      <c r="AA104" s="141"/>
      <c r="AB104" s="141"/>
      <c r="AC104" s="141"/>
      <c r="AD104" s="142"/>
      <c r="AE104" s="149" t="str">
        <f t="shared" ca="1" si="57"/>
        <v>sny_202310_backup_merge_dpc_hn</v>
      </c>
      <c r="AF104" s="150"/>
      <c r="AG104" s="150"/>
      <c r="AH104" s="150"/>
      <c r="AI104" s="150"/>
      <c r="AJ104" s="150"/>
      <c r="AK104" s="150"/>
      <c r="AL104" s="151"/>
      <c r="AM104" s="149" t="str">
        <f t="shared" ca="1" si="58"/>
        <v>DPC調査データ_Hファイルテーブルから組入れ条件の第一条件で絞り込んだ結果を格納するテーブル</v>
      </c>
      <c r="AN104" s="150"/>
      <c r="AO104" s="150"/>
      <c r="AP104" s="150"/>
      <c r="AQ104" s="150"/>
      <c r="AR104" s="150"/>
      <c r="AS104" s="150"/>
      <c r="AT104" s="150"/>
      <c r="AU104" s="150"/>
      <c r="AV104" s="150"/>
      <c r="AW104" s="150"/>
      <c r="AX104" s="150"/>
      <c r="AY104" s="150"/>
      <c r="AZ104" s="150"/>
      <c r="BA104" s="150"/>
      <c r="BB104" s="150"/>
      <c r="BC104" s="150"/>
      <c r="BD104" s="150"/>
      <c r="BE104" s="150"/>
      <c r="BF104" s="150"/>
      <c r="BG104" s="150"/>
      <c r="BH104" s="150"/>
      <c r="BI104" s="150"/>
      <c r="BJ104" s="152"/>
      <c r="BK104" s="32" t="str">
        <f t="shared" si="59"/>
        <v>ENT_01_C1-04_バックアップ_DPC調査データ_Hファイル.sql</v>
      </c>
    </row>
    <row r="105" spans="1:64" ht="37.5" customHeight="1" outlineLevel="1">
      <c r="A105" s="34" t="str">
        <f t="shared" si="56"/>
        <v>バックアップ_DPC調査データ_様式1</v>
      </c>
      <c r="B105" s="143" t="str">
        <f t="shared" si="60"/>
        <v>01</v>
      </c>
      <c r="C105" s="144"/>
      <c r="D105" s="144"/>
      <c r="E105" s="144"/>
      <c r="F105" s="145"/>
      <c r="G105" s="146" t="s">
        <v>196</v>
      </c>
      <c r="H105" s="147"/>
      <c r="I105" s="147"/>
      <c r="J105" s="147"/>
      <c r="K105" s="147"/>
      <c r="L105" s="147"/>
      <c r="M105" s="147"/>
      <c r="N105" s="148"/>
      <c r="O105" s="81" t="s">
        <v>3110</v>
      </c>
      <c r="P105" s="140" t="s">
        <v>195</v>
      </c>
      <c r="Q105" s="141"/>
      <c r="R105" s="141"/>
      <c r="S105" s="141"/>
      <c r="T105" s="141"/>
      <c r="U105" s="141"/>
      <c r="V105" s="141"/>
      <c r="W105" s="141"/>
      <c r="X105" s="141"/>
      <c r="Y105" s="141"/>
      <c r="Z105" s="141"/>
      <c r="AA105" s="141"/>
      <c r="AB105" s="141"/>
      <c r="AC105" s="141"/>
      <c r="AD105" s="142"/>
      <c r="AE105" s="149" t="str">
        <f t="shared" ca="1" si="57"/>
        <v>sny_202310_backup_merge_dpc_ff1</v>
      </c>
      <c r="AF105" s="150"/>
      <c r="AG105" s="150"/>
      <c r="AH105" s="150"/>
      <c r="AI105" s="150"/>
      <c r="AJ105" s="150"/>
      <c r="AK105" s="150"/>
      <c r="AL105" s="151"/>
      <c r="AM105" s="149" t="str">
        <f t="shared" ca="1" si="58"/>
        <v>DPC調査データ_様式1テーブルから組入れ条件の第一条件で絞り込んだ結果を格納するテーブル</v>
      </c>
      <c r="AN105" s="150"/>
      <c r="AO105" s="150"/>
      <c r="AP105" s="150"/>
      <c r="AQ105" s="150"/>
      <c r="AR105" s="150"/>
      <c r="AS105" s="150"/>
      <c r="AT105" s="150"/>
      <c r="AU105" s="150"/>
      <c r="AV105" s="150"/>
      <c r="AW105" s="150"/>
      <c r="AX105" s="150"/>
      <c r="AY105" s="150"/>
      <c r="AZ105" s="150"/>
      <c r="BA105" s="150"/>
      <c r="BB105" s="150"/>
      <c r="BC105" s="150"/>
      <c r="BD105" s="150"/>
      <c r="BE105" s="150"/>
      <c r="BF105" s="150"/>
      <c r="BG105" s="150"/>
      <c r="BH105" s="150"/>
      <c r="BI105" s="150"/>
      <c r="BJ105" s="152"/>
      <c r="BK105" s="32" t="str">
        <f t="shared" si="59"/>
        <v>ENT_01_C1-05_バックアップ_DPC調査データ_様式1.sql</v>
      </c>
      <c r="BL105" s="32">
        <v>1</v>
      </c>
    </row>
    <row r="106" spans="1:64" ht="37.5" customHeight="1" outlineLevel="1">
      <c r="A106" s="34" t="str">
        <f t="shared" si="56"/>
        <v>バックアップ_DPC調査データ_様式1_診断情報_併存症</v>
      </c>
      <c r="B106" s="143" t="str">
        <f t="shared" si="60"/>
        <v>01</v>
      </c>
      <c r="C106" s="144"/>
      <c r="D106" s="144"/>
      <c r="E106" s="144"/>
      <c r="F106" s="145"/>
      <c r="G106" s="146" t="s">
        <v>196</v>
      </c>
      <c r="H106" s="147"/>
      <c r="I106" s="147"/>
      <c r="J106" s="147"/>
      <c r="K106" s="147"/>
      <c r="L106" s="147"/>
      <c r="M106" s="147"/>
      <c r="N106" s="148"/>
      <c r="O106" s="81" t="s">
        <v>3111</v>
      </c>
      <c r="P106" s="140" t="s">
        <v>314</v>
      </c>
      <c r="Q106" s="141"/>
      <c r="R106" s="141"/>
      <c r="S106" s="141"/>
      <c r="T106" s="141"/>
      <c r="U106" s="141"/>
      <c r="V106" s="141"/>
      <c r="W106" s="141"/>
      <c r="X106" s="141"/>
      <c r="Y106" s="141"/>
      <c r="Z106" s="141"/>
      <c r="AA106" s="141"/>
      <c r="AB106" s="141"/>
      <c r="AC106" s="141"/>
      <c r="AD106" s="142"/>
      <c r="AE106" s="149" t="str">
        <f t="shared" ca="1" si="57"/>
        <v>sny_202310_backup_merge_dpc_ff1_a006040</v>
      </c>
      <c r="AF106" s="150"/>
      <c r="AG106" s="150"/>
      <c r="AH106" s="150"/>
      <c r="AI106" s="150"/>
      <c r="AJ106" s="150"/>
      <c r="AK106" s="150"/>
      <c r="AL106" s="151"/>
      <c r="AM106" s="149" t="str">
        <f t="shared" ca="1" si="58"/>
        <v>DPC調査データ_様式1_診断情報_併存症テーブルから組入れ条件の第一条件で絞り込んだ結果を格納するテーブル</v>
      </c>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2"/>
      <c r="BK106" s="32" t="str">
        <f t="shared" si="59"/>
        <v>ENT_01_C1-07_バックアップ_DPC調査データ_様式1_診断情報_併存症.sql</v>
      </c>
      <c r="BL106" s="32">
        <v>1</v>
      </c>
    </row>
    <row r="107" spans="1:64" ht="37.5" customHeight="1" outlineLevel="1">
      <c r="A107" s="34" t="str">
        <f t="shared" si="56"/>
        <v>バックアップ_DPC調査データ_様式1_診断情報_続発症</v>
      </c>
      <c r="B107" s="143" t="str">
        <f>TEXT(1,"00")</f>
        <v>01</v>
      </c>
      <c r="C107" s="144"/>
      <c r="D107" s="144"/>
      <c r="E107" s="144"/>
      <c r="F107" s="145"/>
      <c r="G107" s="146" t="s">
        <v>196</v>
      </c>
      <c r="H107" s="147"/>
      <c r="I107" s="147"/>
      <c r="J107" s="147"/>
      <c r="K107" s="147"/>
      <c r="L107" s="147"/>
      <c r="M107" s="147"/>
      <c r="N107" s="148"/>
      <c r="O107" s="81" t="s">
        <v>3112</v>
      </c>
      <c r="P107" s="140" t="s">
        <v>315</v>
      </c>
      <c r="Q107" s="141"/>
      <c r="R107" s="141"/>
      <c r="S107" s="141"/>
      <c r="T107" s="141"/>
      <c r="U107" s="141"/>
      <c r="V107" s="141"/>
      <c r="W107" s="141"/>
      <c r="X107" s="141"/>
      <c r="Y107" s="141"/>
      <c r="Z107" s="141"/>
      <c r="AA107" s="141"/>
      <c r="AB107" s="141"/>
      <c r="AC107" s="141"/>
      <c r="AD107" s="142"/>
      <c r="AE107" s="149" t="str">
        <f t="shared" ref="AE107" ca="1" si="61">IFERROR(INDIRECT(P107&amp;"!D8"),"")</f>
        <v>sny_202310_backup_merge_dpc_ff1_a006050</v>
      </c>
      <c r="AF107" s="150"/>
      <c r="AG107" s="150"/>
      <c r="AH107" s="150"/>
      <c r="AI107" s="150"/>
      <c r="AJ107" s="150"/>
      <c r="AK107" s="150"/>
      <c r="AL107" s="151"/>
      <c r="AM107" s="149" t="str">
        <f t="shared" ref="AM107" ca="1" si="62">IFERROR(INDIRECT(P107&amp;"!D9"),"")</f>
        <v>DPC調査データ_様式1_診断情報_続発症テーブルから組入れ条件の第一条件で絞り込んだ結果を格納するテーブル</v>
      </c>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2"/>
      <c r="BK107" s="32" t="str">
        <f t="shared" si="59"/>
        <v>ENT_01_C1-08_バックアップ_DPC調査データ_様式1_診断情報_続発症.sql</v>
      </c>
      <c r="BL107" s="32">
        <v>1</v>
      </c>
    </row>
    <row r="108" spans="1:64" ht="37.5" customHeight="1" outlineLevel="1">
      <c r="A108" s="34" t="str">
        <f t="shared" si="56"/>
        <v>バックアップ_医科レセプト_医療機関情報レコード</v>
      </c>
      <c r="B108" s="143" t="str">
        <f t="shared" ref="B108:B112" si="63">TEXT(1,"00")</f>
        <v>01</v>
      </c>
      <c r="C108" s="144"/>
      <c r="D108" s="144"/>
      <c r="E108" s="144"/>
      <c r="F108" s="145"/>
      <c r="G108" s="146" t="s">
        <v>196</v>
      </c>
      <c r="H108" s="147"/>
      <c r="I108" s="147"/>
      <c r="J108" s="147"/>
      <c r="K108" s="147"/>
      <c r="L108" s="147"/>
      <c r="M108" s="147"/>
      <c r="N108" s="148"/>
      <c r="O108" s="81" t="s">
        <v>3113</v>
      </c>
      <c r="P108" s="140" t="s">
        <v>923</v>
      </c>
      <c r="Q108" s="141"/>
      <c r="R108" s="141"/>
      <c r="S108" s="141"/>
      <c r="T108" s="141"/>
      <c r="U108" s="141"/>
      <c r="V108" s="141"/>
      <c r="W108" s="141"/>
      <c r="X108" s="141"/>
      <c r="Y108" s="141"/>
      <c r="Z108" s="141"/>
      <c r="AA108" s="141"/>
      <c r="AB108" s="141"/>
      <c r="AC108" s="141"/>
      <c r="AD108" s="142"/>
      <c r="AE108" s="149" t="str">
        <f t="shared" ref="AE108:AE146" ca="1" si="64">IFERROR(INDIRECT(P108&amp;"!D8"),"")</f>
        <v>sny_202310_backup_merge_receiptc_ir</v>
      </c>
      <c r="AF108" s="150"/>
      <c r="AG108" s="150"/>
      <c r="AH108" s="150"/>
      <c r="AI108" s="150"/>
      <c r="AJ108" s="150"/>
      <c r="AK108" s="150"/>
      <c r="AL108" s="151"/>
      <c r="AM108" s="149" t="str">
        <f t="shared" ref="AM108:AM146" ca="1" si="65">IFERROR(INDIRECT(P108&amp;"!D9"),"")</f>
        <v>医科レセプト_医療機関情報レコードテーブルから組入れ条件の第一条件で絞り込んだ結果を格納するテーブル</v>
      </c>
      <c r="AN108" s="150"/>
      <c r="AO108" s="150"/>
      <c r="AP108" s="150"/>
      <c r="AQ108" s="150"/>
      <c r="AR108" s="150"/>
      <c r="AS108" s="150"/>
      <c r="AT108" s="150"/>
      <c r="AU108" s="150"/>
      <c r="AV108" s="150"/>
      <c r="AW108" s="150"/>
      <c r="AX108" s="150"/>
      <c r="AY108" s="150"/>
      <c r="AZ108" s="150"/>
      <c r="BA108" s="150"/>
      <c r="BB108" s="150"/>
      <c r="BC108" s="150"/>
      <c r="BD108" s="150"/>
      <c r="BE108" s="150"/>
      <c r="BF108" s="150"/>
      <c r="BG108" s="150"/>
      <c r="BH108" s="150"/>
      <c r="BI108" s="150"/>
      <c r="BJ108" s="152"/>
      <c r="BK108" s="32" t="str">
        <f t="shared" si="59"/>
        <v>ENT_01_C2-01_バックアップ_医科レセプト_医療機関情報レコード.sql</v>
      </c>
    </row>
    <row r="109" spans="1:64" ht="37.5" customHeight="1" outlineLevel="1">
      <c r="A109" s="34" t="str">
        <f t="shared" si="56"/>
        <v>バックアップ_医科レセプト_レセプト共通レコード</v>
      </c>
      <c r="B109" s="143" t="str">
        <f t="shared" si="63"/>
        <v>01</v>
      </c>
      <c r="C109" s="144"/>
      <c r="D109" s="144"/>
      <c r="E109" s="144"/>
      <c r="F109" s="145"/>
      <c r="G109" s="146" t="s">
        <v>196</v>
      </c>
      <c r="H109" s="147"/>
      <c r="I109" s="147"/>
      <c r="J109" s="147"/>
      <c r="K109" s="147"/>
      <c r="L109" s="147"/>
      <c r="M109" s="147"/>
      <c r="N109" s="148"/>
      <c r="O109" s="81" t="s">
        <v>3114</v>
      </c>
      <c r="P109" s="140" t="s">
        <v>958</v>
      </c>
      <c r="Q109" s="141"/>
      <c r="R109" s="141"/>
      <c r="S109" s="141"/>
      <c r="T109" s="141"/>
      <c r="U109" s="141"/>
      <c r="V109" s="141"/>
      <c r="W109" s="141"/>
      <c r="X109" s="141"/>
      <c r="Y109" s="141"/>
      <c r="Z109" s="141"/>
      <c r="AA109" s="141"/>
      <c r="AB109" s="141"/>
      <c r="AC109" s="141"/>
      <c r="AD109" s="142"/>
      <c r="AE109" s="149" t="str">
        <f t="shared" ca="1" si="64"/>
        <v>sny_202310_backup_merge_receiptc_re</v>
      </c>
      <c r="AF109" s="150"/>
      <c r="AG109" s="150"/>
      <c r="AH109" s="150"/>
      <c r="AI109" s="150"/>
      <c r="AJ109" s="150"/>
      <c r="AK109" s="150"/>
      <c r="AL109" s="151"/>
      <c r="AM109" s="149" t="str">
        <f t="shared" ca="1" si="65"/>
        <v>医科レセプト_レセプト共通レコードテーブルから組入れ条件の第一条件で絞り込んだ結果を格納するテーブル</v>
      </c>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2"/>
      <c r="BK109" s="32" t="str">
        <f t="shared" si="59"/>
        <v>ENT_01_C2-02_バックアップ_医科レセプト_レセプト共通レコード.sql</v>
      </c>
    </row>
    <row r="110" spans="1:64" ht="37.5" customHeight="1" outlineLevel="1">
      <c r="A110" s="34" t="str">
        <f t="shared" si="56"/>
        <v>バックアップ_医科レセプト_傷病名レコード</v>
      </c>
      <c r="B110" s="143" t="str">
        <f t="shared" si="63"/>
        <v>01</v>
      </c>
      <c r="C110" s="144"/>
      <c r="D110" s="144"/>
      <c r="E110" s="144"/>
      <c r="F110" s="145"/>
      <c r="G110" s="146" t="s">
        <v>196</v>
      </c>
      <c r="H110" s="147"/>
      <c r="I110" s="147"/>
      <c r="J110" s="147"/>
      <c r="K110" s="147"/>
      <c r="L110" s="147"/>
      <c r="M110" s="147"/>
      <c r="N110" s="148"/>
      <c r="O110" s="81" t="s">
        <v>3115</v>
      </c>
      <c r="P110" s="140" t="s">
        <v>1090</v>
      </c>
      <c r="Q110" s="141"/>
      <c r="R110" s="141"/>
      <c r="S110" s="141"/>
      <c r="T110" s="141"/>
      <c r="U110" s="141"/>
      <c r="V110" s="141"/>
      <c r="W110" s="141"/>
      <c r="X110" s="141"/>
      <c r="Y110" s="141"/>
      <c r="Z110" s="141"/>
      <c r="AA110" s="141"/>
      <c r="AB110" s="141"/>
      <c r="AC110" s="141"/>
      <c r="AD110" s="142"/>
      <c r="AE110" s="149" t="str">
        <f t="shared" ca="1" si="64"/>
        <v>sny_202310_backup_merge_receiptc_sy</v>
      </c>
      <c r="AF110" s="150"/>
      <c r="AG110" s="150"/>
      <c r="AH110" s="150"/>
      <c r="AI110" s="150"/>
      <c r="AJ110" s="150"/>
      <c r="AK110" s="150"/>
      <c r="AL110" s="151"/>
      <c r="AM110" s="149" t="str">
        <f t="shared" ca="1" si="65"/>
        <v>医科レセプト_傷病名レコードテーブルから組入れ条件の第一条件で絞り込んだ結果を格納するテーブル</v>
      </c>
      <c r="AN110" s="150"/>
      <c r="AO110" s="150"/>
      <c r="AP110" s="150"/>
      <c r="AQ110" s="150"/>
      <c r="AR110" s="150"/>
      <c r="AS110" s="150"/>
      <c r="AT110" s="150"/>
      <c r="AU110" s="150"/>
      <c r="AV110" s="150"/>
      <c r="AW110" s="150"/>
      <c r="AX110" s="150"/>
      <c r="AY110" s="150"/>
      <c r="AZ110" s="150"/>
      <c r="BA110" s="150"/>
      <c r="BB110" s="150"/>
      <c r="BC110" s="150"/>
      <c r="BD110" s="150"/>
      <c r="BE110" s="150"/>
      <c r="BF110" s="150"/>
      <c r="BG110" s="150"/>
      <c r="BH110" s="150"/>
      <c r="BI110" s="150"/>
      <c r="BJ110" s="152"/>
      <c r="BK110" s="32" t="str">
        <f t="shared" si="59"/>
        <v>ENT_01_C2-06_バックアップ_医科レセプト_傷病名レコード.sql</v>
      </c>
    </row>
    <row r="111" spans="1:64" ht="37.5" customHeight="1" outlineLevel="1">
      <c r="A111" s="34" t="str">
        <f t="shared" si="56"/>
        <v>バックアップ_医科レセプト_診療行為レコード</v>
      </c>
      <c r="B111" s="143" t="str">
        <f t="shared" si="63"/>
        <v>01</v>
      </c>
      <c r="C111" s="144"/>
      <c r="D111" s="144"/>
      <c r="E111" s="144"/>
      <c r="F111" s="145"/>
      <c r="G111" s="146" t="s">
        <v>196</v>
      </c>
      <c r="H111" s="147"/>
      <c r="I111" s="147"/>
      <c r="J111" s="147"/>
      <c r="K111" s="147"/>
      <c r="L111" s="147"/>
      <c r="M111" s="147"/>
      <c r="N111" s="148"/>
      <c r="O111" s="81" t="s">
        <v>3116</v>
      </c>
      <c r="P111" s="140" t="s">
        <v>1139</v>
      </c>
      <c r="Q111" s="141"/>
      <c r="R111" s="141"/>
      <c r="S111" s="141"/>
      <c r="T111" s="141"/>
      <c r="U111" s="141"/>
      <c r="V111" s="141"/>
      <c r="W111" s="141"/>
      <c r="X111" s="141"/>
      <c r="Y111" s="141"/>
      <c r="Z111" s="141"/>
      <c r="AA111" s="141"/>
      <c r="AB111" s="141"/>
      <c r="AC111" s="141"/>
      <c r="AD111" s="142"/>
      <c r="AE111" s="149" t="str">
        <f t="shared" ca="1" si="64"/>
        <v>sny_202310_backup_merge_receiptc_si</v>
      </c>
      <c r="AF111" s="150"/>
      <c r="AG111" s="150"/>
      <c r="AH111" s="150"/>
      <c r="AI111" s="150"/>
      <c r="AJ111" s="150"/>
      <c r="AK111" s="150"/>
      <c r="AL111" s="151"/>
      <c r="AM111" s="149" t="str">
        <f t="shared" ca="1" si="65"/>
        <v>医科レセプト_診療行為レコードテーブルから組入れ条件の第一条件で絞り込んだ結果を格納するテーブル</v>
      </c>
      <c r="AN111" s="150"/>
      <c r="AO111" s="150"/>
      <c r="AP111" s="150"/>
      <c r="AQ111" s="150"/>
      <c r="AR111" s="150"/>
      <c r="AS111" s="150"/>
      <c r="AT111" s="150"/>
      <c r="AU111" s="150"/>
      <c r="AV111" s="150"/>
      <c r="AW111" s="150"/>
      <c r="AX111" s="150"/>
      <c r="AY111" s="150"/>
      <c r="AZ111" s="150"/>
      <c r="BA111" s="150"/>
      <c r="BB111" s="150"/>
      <c r="BC111" s="150"/>
      <c r="BD111" s="150"/>
      <c r="BE111" s="150"/>
      <c r="BF111" s="150"/>
      <c r="BG111" s="150"/>
      <c r="BH111" s="150"/>
      <c r="BI111" s="150"/>
      <c r="BJ111" s="152"/>
      <c r="BK111" s="32" t="str">
        <f t="shared" si="59"/>
        <v>ENT_01_C2-07_バックアップ_医科レセプト_診療行為レコード.sql</v>
      </c>
    </row>
    <row r="112" spans="1:64" ht="37.5" customHeight="1" outlineLevel="1">
      <c r="A112" s="34" t="str">
        <f t="shared" si="56"/>
        <v>バックアップ_医科レセプト_診療行為レコード_算定日情報</v>
      </c>
      <c r="B112" s="143" t="str">
        <f t="shared" si="63"/>
        <v>01</v>
      </c>
      <c r="C112" s="144"/>
      <c r="D112" s="144"/>
      <c r="E112" s="144"/>
      <c r="F112" s="145"/>
      <c r="G112" s="146" t="s">
        <v>196</v>
      </c>
      <c r="H112" s="147"/>
      <c r="I112" s="147"/>
      <c r="J112" s="147"/>
      <c r="K112" s="147"/>
      <c r="L112" s="147"/>
      <c r="M112" s="147"/>
      <c r="N112" s="148"/>
      <c r="O112" s="81" t="s">
        <v>3117</v>
      </c>
      <c r="P112" s="140" t="s">
        <v>1167</v>
      </c>
      <c r="Q112" s="141"/>
      <c r="R112" s="141"/>
      <c r="S112" s="141"/>
      <c r="T112" s="141"/>
      <c r="U112" s="141"/>
      <c r="V112" s="141"/>
      <c r="W112" s="141"/>
      <c r="X112" s="141"/>
      <c r="Y112" s="141"/>
      <c r="Z112" s="141"/>
      <c r="AA112" s="141"/>
      <c r="AB112" s="141"/>
      <c r="AC112" s="141"/>
      <c r="AD112" s="142"/>
      <c r="AE112" s="149" t="str">
        <f t="shared" ca="1" si="64"/>
        <v>sny_202310_backup_merge_receiptc_si_day</v>
      </c>
      <c r="AF112" s="150"/>
      <c r="AG112" s="150"/>
      <c r="AH112" s="150"/>
      <c r="AI112" s="150"/>
      <c r="AJ112" s="150"/>
      <c r="AK112" s="150"/>
      <c r="AL112" s="151"/>
      <c r="AM112" s="149" t="str">
        <f t="shared" ca="1" si="65"/>
        <v>医科レセプト_診療行為レコード_算定日情報テーブルから組入れ条件の第一条件で絞り込んだ結果を格納するテーブル</v>
      </c>
      <c r="AN112" s="150"/>
      <c r="AO112" s="150"/>
      <c r="AP112" s="150"/>
      <c r="AQ112" s="150"/>
      <c r="AR112" s="150"/>
      <c r="AS112" s="150"/>
      <c r="AT112" s="150"/>
      <c r="AU112" s="150"/>
      <c r="AV112" s="150"/>
      <c r="AW112" s="150"/>
      <c r="AX112" s="150"/>
      <c r="AY112" s="150"/>
      <c r="AZ112" s="150"/>
      <c r="BA112" s="150"/>
      <c r="BB112" s="150"/>
      <c r="BC112" s="150"/>
      <c r="BD112" s="150"/>
      <c r="BE112" s="150"/>
      <c r="BF112" s="150"/>
      <c r="BG112" s="150"/>
      <c r="BH112" s="150"/>
      <c r="BI112" s="150"/>
      <c r="BJ112" s="152"/>
      <c r="BK112" s="32" t="str">
        <f t="shared" si="59"/>
        <v>ENT_01_C2-08_バックアップ_医科レセプト_診療行為レコード_算定日情報.sql</v>
      </c>
    </row>
    <row r="113" spans="1:64" ht="37.5" customHeight="1" outlineLevel="1">
      <c r="A113" s="34" t="str">
        <f t="shared" si="56"/>
        <v>バックアップ_医科レセプト_医薬品レコード</v>
      </c>
      <c r="B113" s="143" t="str">
        <f t="shared" si="8"/>
        <v>01</v>
      </c>
      <c r="C113" s="144"/>
      <c r="D113" s="144"/>
      <c r="E113" s="144"/>
      <c r="F113" s="145"/>
      <c r="G113" s="146" t="s">
        <v>196</v>
      </c>
      <c r="H113" s="147"/>
      <c r="I113" s="147"/>
      <c r="J113" s="147"/>
      <c r="K113" s="147"/>
      <c r="L113" s="147"/>
      <c r="M113" s="147"/>
      <c r="N113" s="148"/>
      <c r="O113" s="81" t="s">
        <v>3118</v>
      </c>
      <c r="P113" s="140" t="s">
        <v>1173</v>
      </c>
      <c r="Q113" s="141"/>
      <c r="R113" s="141"/>
      <c r="S113" s="141"/>
      <c r="T113" s="141"/>
      <c r="U113" s="141"/>
      <c r="V113" s="141"/>
      <c r="W113" s="141"/>
      <c r="X113" s="141"/>
      <c r="Y113" s="141"/>
      <c r="Z113" s="141"/>
      <c r="AA113" s="141"/>
      <c r="AB113" s="141"/>
      <c r="AC113" s="141"/>
      <c r="AD113" s="142"/>
      <c r="AE113" s="149" t="str">
        <f t="shared" ca="1" si="64"/>
        <v>sny_202310_backup_merge_receiptc_iy</v>
      </c>
      <c r="AF113" s="150"/>
      <c r="AG113" s="150"/>
      <c r="AH113" s="150"/>
      <c r="AI113" s="150"/>
      <c r="AJ113" s="150"/>
      <c r="AK113" s="150"/>
      <c r="AL113" s="151"/>
      <c r="AM113" s="149" t="str">
        <f t="shared" ca="1" si="65"/>
        <v>医科レセプト_医薬品レコードテーブルから組入れ条件の第一条件で絞り込んだ結果を格納するテーブル</v>
      </c>
      <c r="AN113" s="150"/>
      <c r="AO113" s="150"/>
      <c r="AP113" s="150"/>
      <c r="AQ113" s="150"/>
      <c r="AR113" s="150"/>
      <c r="AS113" s="150"/>
      <c r="AT113" s="150"/>
      <c r="AU113" s="150"/>
      <c r="AV113" s="150"/>
      <c r="AW113" s="150"/>
      <c r="AX113" s="150"/>
      <c r="AY113" s="150"/>
      <c r="AZ113" s="150"/>
      <c r="BA113" s="150"/>
      <c r="BB113" s="150"/>
      <c r="BC113" s="150"/>
      <c r="BD113" s="150"/>
      <c r="BE113" s="150"/>
      <c r="BF113" s="150"/>
      <c r="BG113" s="150"/>
      <c r="BH113" s="150"/>
      <c r="BI113" s="150"/>
      <c r="BJ113" s="152"/>
      <c r="BK113" s="32" t="str">
        <f t="shared" si="59"/>
        <v>ENT_01_C2-09_バックアップ_医科レセプト_医薬品レコード.sql</v>
      </c>
    </row>
    <row r="114" spans="1:64" ht="37.5" customHeight="1" outlineLevel="1">
      <c r="A114" s="34" t="str">
        <f t="shared" si="56"/>
        <v>バックアップ_医科レセプト_医薬品レコード_算定日情報</v>
      </c>
      <c r="B114" s="143" t="str">
        <f t="shared" si="8"/>
        <v>01</v>
      </c>
      <c r="C114" s="144"/>
      <c r="D114" s="144"/>
      <c r="E114" s="144"/>
      <c r="F114" s="145"/>
      <c r="G114" s="146" t="s">
        <v>196</v>
      </c>
      <c r="H114" s="147"/>
      <c r="I114" s="147"/>
      <c r="J114" s="147"/>
      <c r="K114" s="147"/>
      <c r="L114" s="147"/>
      <c r="M114" s="147"/>
      <c r="N114" s="148"/>
      <c r="O114" s="81" t="s">
        <v>3119</v>
      </c>
      <c r="P114" s="140" t="s">
        <v>1174</v>
      </c>
      <c r="Q114" s="141"/>
      <c r="R114" s="141"/>
      <c r="S114" s="141"/>
      <c r="T114" s="141"/>
      <c r="U114" s="141"/>
      <c r="V114" s="141"/>
      <c r="W114" s="141"/>
      <c r="X114" s="141"/>
      <c r="Y114" s="141"/>
      <c r="Z114" s="141"/>
      <c r="AA114" s="141"/>
      <c r="AB114" s="141"/>
      <c r="AC114" s="141"/>
      <c r="AD114" s="142"/>
      <c r="AE114" s="149" t="str">
        <f t="shared" ca="1" si="64"/>
        <v>sny_202310_backup_merge_receiptc_iy_day</v>
      </c>
      <c r="AF114" s="150"/>
      <c r="AG114" s="150"/>
      <c r="AH114" s="150"/>
      <c r="AI114" s="150"/>
      <c r="AJ114" s="150"/>
      <c r="AK114" s="150"/>
      <c r="AL114" s="151"/>
      <c r="AM114" s="149" t="str">
        <f t="shared" ca="1" si="65"/>
        <v>医科レセプト_医薬品レコード_算定日情報テーブルから組入れ条件の第一条件で絞り込んだ結果を格納するテーブル</v>
      </c>
      <c r="AN114" s="150"/>
      <c r="AO114" s="150"/>
      <c r="AP114" s="150"/>
      <c r="AQ114" s="150"/>
      <c r="AR114" s="150"/>
      <c r="AS114" s="150"/>
      <c r="AT114" s="150"/>
      <c r="AU114" s="150"/>
      <c r="AV114" s="150"/>
      <c r="AW114" s="150"/>
      <c r="AX114" s="150"/>
      <c r="AY114" s="150"/>
      <c r="AZ114" s="150"/>
      <c r="BA114" s="150"/>
      <c r="BB114" s="150"/>
      <c r="BC114" s="150"/>
      <c r="BD114" s="150"/>
      <c r="BE114" s="150"/>
      <c r="BF114" s="150"/>
      <c r="BG114" s="150"/>
      <c r="BH114" s="150"/>
      <c r="BI114" s="150"/>
      <c r="BJ114" s="152"/>
      <c r="BK114" s="32" t="str">
        <f t="shared" si="59"/>
        <v>ENT_01_C2-10_バックアップ_医科レセプト_医薬品レコード_算定日情報.sql</v>
      </c>
    </row>
    <row r="115" spans="1:64" ht="37.5" customHeight="1" outlineLevel="1">
      <c r="A115" s="34" t="str">
        <f t="shared" si="56"/>
        <v>バックアップ_医科レセプト_臓器提供者レセプト情報レコード</v>
      </c>
      <c r="B115" s="143" t="str">
        <f t="shared" si="8"/>
        <v>01</v>
      </c>
      <c r="C115" s="144"/>
      <c r="D115" s="144"/>
      <c r="E115" s="144"/>
      <c r="F115" s="145"/>
      <c r="G115" s="146" t="s">
        <v>196</v>
      </c>
      <c r="H115" s="147"/>
      <c r="I115" s="147"/>
      <c r="J115" s="147"/>
      <c r="K115" s="147"/>
      <c r="L115" s="147"/>
      <c r="M115" s="147"/>
      <c r="N115" s="148"/>
      <c r="O115" s="81" t="s">
        <v>3120</v>
      </c>
      <c r="P115" s="140" t="s">
        <v>1175</v>
      </c>
      <c r="Q115" s="141"/>
      <c r="R115" s="141"/>
      <c r="S115" s="141"/>
      <c r="T115" s="141"/>
      <c r="U115" s="141"/>
      <c r="V115" s="141"/>
      <c r="W115" s="141"/>
      <c r="X115" s="141"/>
      <c r="Y115" s="141"/>
      <c r="Z115" s="141"/>
      <c r="AA115" s="141"/>
      <c r="AB115" s="141"/>
      <c r="AC115" s="141"/>
      <c r="AD115" s="142"/>
      <c r="AE115" s="149" t="str">
        <f t="shared" ca="1" si="64"/>
        <v>sny_202310_backup_merge_receiptc_tr</v>
      </c>
      <c r="AF115" s="150"/>
      <c r="AG115" s="150"/>
      <c r="AH115" s="150"/>
      <c r="AI115" s="150"/>
      <c r="AJ115" s="150"/>
      <c r="AK115" s="150"/>
      <c r="AL115" s="151"/>
      <c r="AM115" s="149" t="str">
        <f t="shared" ca="1" si="65"/>
        <v>医科レセプト_臓器提供者レセプト情報レコードテーブルから組入れ条件の第一条件で絞り込んだ結果を格納するテーブル</v>
      </c>
      <c r="AN115" s="150"/>
      <c r="AO115" s="150"/>
      <c r="AP115" s="150"/>
      <c r="AQ115" s="150"/>
      <c r="AR115" s="150"/>
      <c r="AS115" s="150"/>
      <c r="AT115" s="150"/>
      <c r="AU115" s="150"/>
      <c r="AV115" s="150"/>
      <c r="AW115" s="150"/>
      <c r="AX115" s="150"/>
      <c r="AY115" s="150"/>
      <c r="AZ115" s="150"/>
      <c r="BA115" s="150"/>
      <c r="BB115" s="150"/>
      <c r="BC115" s="150"/>
      <c r="BD115" s="150"/>
      <c r="BE115" s="150"/>
      <c r="BF115" s="150"/>
      <c r="BG115" s="150"/>
      <c r="BH115" s="150"/>
      <c r="BI115" s="150"/>
      <c r="BJ115" s="152"/>
      <c r="BK115" s="32" t="str">
        <f t="shared" si="59"/>
        <v>ENT_01_C2-16_バックアップ_医科レセプト_臓器提供者レセプト情報レコード.sql</v>
      </c>
    </row>
    <row r="116" spans="1:64" ht="37.5" customHeight="1" outlineLevel="1">
      <c r="A116" s="34" t="str">
        <f t="shared" ref="A116:A124" si="66">P116</f>
        <v>バックアップ_DPCレセプト_医療機関情報レコード</v>
      </c>
      <c r="B116" s="143" t="str">
        <f t="shared" si="8"/>
        <v>01</v>
      </c>
      <c r="C116" s="144"/>
      <c r="D116" s="144"/>
      <c r="E116" s="144"/>
      <c r="F116" s="145"/>
      <c r="G116" s="146" t="s">
        <v>196</v>
      </c>
      <c r="H116" s="147"/>
      <c r="I116" s="147"/>
      <c r="J116" s="147"/>
      <c r="K116" s="147"/>
      <c r="L116" s="147"/>
      <c r="M116" s="147"/>
      <c r="N116" s="148"/>
      <c r="O116" s="81" t="s">
        <v>3121</v>
      </c>
      <c r="P116" s="140" t="s">
        <v>1216</v>
      </c>
      <c r="Q116" s="141"/>
      <c r="R116" s="141"/>
      <c r="S116" s="141"/>
      <c r="T116" s="141"/>
      <c r="U116" s="141"/>
      <c r="V116" s="141"/>
      <c r="W116" s="141"/>
      <c r="X116" s="141"/>
      <c r="Y116" s="141"/>
      <c r="Z116" s="141"/>
      <c r="AA116" s="141"/>
      <c r="AB116" s="141"/>
      <c r="AC116" s="141"/>
      <c r="AD116" s="142"/>
      <c r="AE116" s="149" t="str">
        <f t="shared" ref="AE116:AE124" ca="1" si="67">IFERROR(INDIRECT(P116&amp;"!D8"),"")</f>
        <v>sny_202310_backup_merge_receiptd_ir</v>
      </c>
      <c r="AF116" s="150"/>
      <c r="AG116" s="150"/>
      <c r="AH116" s="150"/>
      <c r="AI116" s="150"/>
      <c r="AJ116" s="150"/>
      <c r="AK116" s="150"/>
      <c r="AL116" s="151"/>
      <c r="AM116" s="149" t="str">
        <f t="shared" ref="AM116:AM124" ca="1" si="68">IFERROR(INDIRECT(P116&amp;"!D9"),"")</f>
        <v>DPCレセプト_医療機関情報レコードテーブルから組入れ条件の第一条件で絞り込んだ結果を格納するテーブル</v>
      </c>
      <c r="AN116" s="150"/>
      <c r="AO116" s="150"/>
      <c r="AP116" s="150"/>
      <c r="AQ116" s="150"/>
      <c r="AR116" s="150"/>
      <c r="AS116" s="150"/>
      <c r="AT116" s="150"/>
      <c r="AU116" s="150"/>
      <c r="AV116" s="150"/>
      <c r="AW116" s="150"/>
      <c r="AX116" s="150"/>
      <c r="AY116" s="150"/>
      <c r="AZ116" s="150"/>
      <c r="BA116" s="150"/>
      <c r="BB116" s="150"/>
      <c r="BC116" s="150"/>
      <c r="BD116" s="150"/>
      <c r="BE116" s="150"/>
      <c r="BF116" s="150"/>
      <c r="BG116" s="150"/>
      <c r="BH116" s="150"/>
      <c r="BI116" s="150"/>
      <c r="BJ116" s="152"/>
      <c r="BK116" s="32" t="str">
        <f t="shared" si="59"/>
        <v>ENT_01_C3-01_バックアップ_DPCレセプト_医療機関情報レコード.sql</v>
      </c>
    </row>
    <row r="117" spans="1:64" ht="37.5" customHeight="1" outlineLevel="1">
      <c r="A117" s="34" t="str">
        <f t="shared" si="66"/>
        <v>バックアップ_DPCレセプト_レセプト共通レコード</v>
      </c>
      <c r="B117" s="143" t="str">
        <f t="shared" si="8"/>
        <v>01</v>
      </c>
      <c r="C117" s="144"/>
      <c r="D117" s="144"/>
      <c r="E117" s="144"/>
      <c r="F117" s="145"/>
      <c r="G117" s="146" t="s">
        <v>196</v>
      </c>
      <c r="H117" s="147"/>
      <c r="I117" s="147"/>
      <c r="J117" s="147"/>
      <c r="K117" s="147"/>
      <c r="L117" s="147"/>
      <c r="M117" s="147"/>
      <c r="N117" s="148"/>
      <c r="O117" s="81" t="s">
        <v>3122</v>
      </c>
      <c r="P117" s="140" t="s">
        <v>1221</v>
      </c>
      <c r="Q117" s="141"/>
      <c r="R117" s="141"/>
      <c r="S117" s="141"/>
      <c r="T117" s="141"/>
      <c r="U117" s="141"/>
      <c r="V117" s="141"/>
      <c r="W117" s="141"/>
      <c r="X117" s="141"/>
      <c r="Y117" s="141"/>
      <c r="Z117" s="141"/>
      <c r="AA117" s="141"/>
      <c r="AB117" s="141"/>
      <c r="AC117" s="141"/>
      <c r="AD117" s="142"/>
      <c r="AE117" s="149" t="str">
        <f t="shared" ca="1" si="67"/>
        <v>sny_202310_backup_merge_receiptd_re</v>
      </c>
      <c r="AF117" s="150"/>
      <c r="AG117" s="150"/>
      <c r="AH117" s="150"/>
      <c r="AI117" s="150"/>
      <c r="AJ117" s="150"/>
      <c r="AK117" s="150"/>
      <c r="AL117" s="151"/>
      <c r="AM117" s="149" t="str">
        <f t="shared" ca="1" si="68"/>
        <v>DPCレセプト_レセプト共通レコードテーブルから組入れ条件の第一条件で絞り込んだ結果を格納するテーブル</v>
      </c>
      <c r="AN117" s="150"/>
      <c r="AO117" s="150"/>
      <c r="AP117" s="150"/>
      <c r="AQ117" s="150"/>
      <c r="AR117" s="150"/>
      <c r="AS117" s="150"/>
      <c r="AT117" s="150"/>
      <c r="AU117" s="150"/>
      <c r="AV117" s="150"/>
      <c r="AW117" s="150"/>
      <c r="AX117" s="150"/>
      <c r="AY117" s="150"/>
      <c r="AZ117" s="150"/>
      <c r="BA117" s="150"/>
      <c r="BB117" s="150"/>
      <c r="BC117" s="150"/>
      <c r="BD117" s="150"/>
      <c r="BE117" s="150"/>
      <c r="BF117" s="150"/>
      <c r="BG117" s="150"/>
      <c r="BH117" s="150"/>
      <c r="BI117" s="150"/>
      <c r="BJ117" s="152"/>
      <c r="BK117" s="32" t="str">
        <f t="shared" si="59"/>
        <v>ENT_01_C3-02_バックアップ_DPCレセプト_レセプト共通レコード.sql</v>
      </c>
    </row>
    <row r="118" spans="1:64" ht="37.5" customHeight="1" outlineLevel="1">
      <c r="A118" s="34" t="str">
        <f t="shared" si="66"/>
        <v>バックアップ_DPCレセプト_診断群分類レコード</v>
      </c>
      <c r="B118" s="143" t="str">
        <f t="shared" si="8"/>
        <v>01</v>
      </c>
      <c r="C118" s="144"/>
      <c r="D118" s="144"/>
      <c r="E118" s="144"/>
      <c r="F118" s="145"/>
      <c r="G118" s="146" t="s">
        <v>196</v>
      </c>
      <c r="H118" s="147"/>
      <c r="I118" s="147"/>
      <c r="J118" s="147"/>
      <c r="K118" s="147"/>
      <c r="L118" s="147"/>
      <c r="M118" s="147"/>
      <c r="N118" s="148"/>
      <c r="O118" s="81" t="s">
        <v>3123</v>
      </c>
      <c r="P118" s="140" t="s">
        <v>1226</v>
      </c>
      <c r="Q118" s="141"/>
      <c r="R118" s="141"/>
      <c r="S118" s="141"/>
      <c r="T118" s="141"/>
      <c r="U118" s="141"/>
      <c r="V118" s="141"/>
      <c r="W118" s="141"/>
      <c r="X118" s="141"/>
      <c r="Y118" s="141"/>
      <c r="Z118" s="141"/>
      <c r="AA118" s="141"/>
      <c r="AB118" s="141"/>
      <c r="AC118" s="141"/>
      <c r="AD118" s="142"/>
      <c r="AE118" s="149" t="str">
        <f t="shared" ca="1" si="67"/>
        <v>sny_202310_backup_merge_receiptd_bu</v>
      </c>
      <c r="AF118" s="150"/>
      <c r="AG118" s="150"/>
      <c r="AH118" s="150"/>
      <c r="AI118" s="150"/>
      <c r="AJ118" s="150"/>
      <c r="AK118" s="150"/>
      <c r="AL118" s="151"/>
      <c r="AM118" s="149" t="str">
        <f t="shared" ca="1" si="68"/>
        <v>DPCレセプト_診断群分類レコードテーブルから組入れ条件の第一条件で絞り込んだ結果を格納するテーブル</v>
      </c>
      <c r="AN118" s="150"/>
      <c r="AO118" s="150"/>
      <c r="AP118" s="150"/>
      <c r="AQ118" s="150"/>
      <c r="AR118" s="150"/>
      <c r="AS118" s="150"/>
      <c r="AT118" s="150"/>
      <c r="AU118" s="150"/>
      <c r="AV118" s="150"/>
      <c r="AW118" s="150"/>
      <c r="AX118" s="150"/>
      <c r="AY118" s="150"/>
      <c r="AZ118" s="150"/>
      <c r="BA118" s="150"/>
      <c r="BB118" s="150"/>
      <c r="BC118" s="150"/>
      <c r="BD118" s="150"/>
      <c r="BE118" s="150"/>
      <c r="BF118" s="150"/>
      <c r="BG118" s="150"/>
      <c r="BH118" s="150"/>
      <c r="BI118" s="150"/>
      <c r="BJ118" s="152"/>
      <c r="BK118" s="32" t="str">
        <f t="shared" si="59"/>
        <v>ENT_01_C3-08_バックアップ_DPCレセプト_診断群分類レコード.sql</v>
      </c>
    </row>
    <row r="119" spans="1:64" ht="37.5" customHeight="1" outlineLevel="1">
      <c r="A119" s="34" t="str">
        <f t="shared" si="66"/>
        <v>バックアップ_DPCレセプト_傷病レコード</v>
      </c>
      <c r="B119" s="143" t="str">
        <f t="shared" si="8"/>
        <v>01</v>
      </c>
      <c r="C119" s="144"/>
      <c r="D119" s="144"/>
      <c r="E119" s="144"/>
      <c r="F119" s="145"/>
      <c r="G119" s="146" t="s">
        <v>196</v>
      </c>
      <c r="H119" s="147"/>
      <c r="I119" s="147"/>
      <c r="J119" s="147"/>
      <c r="K119" s="147"/>
      <c r="L119" s="147"/>
      <c r="M119" s="147"/>
      <c r="N119" s="148"/>
      <c r="O119" s="81" t="s">
        <v>3124</v>
      </c>
      <c r="P119" s="140" t="s">
        <v>1241</v>
      </c>
      <c r="Q119" s="141"/>
      <c r="R119" s="141"/>
      <c r="S119" s="141"/>
      <c r="T119" s="141"/>
      <c r="U119" s="141"/>
      <c r="V119" s="141"/>
      <c r="W119" s="141"/>
      <c r="X119" s="141"/>
      <c r="Y119" s="141"/>
      <c r="Z119" s="141"/>
      <c r="AA119" s="141"/>
      <c r="AB119" s="141"/>
      <c r="AC119" s="141"/>
      <c r="AD119" s="142"/>
      <c r="AE119" s="149" t="str">
        <f t="shared" ca="1" si="67"/>
        <v>sny_202310_backup_merge_receiptd_sb</v>
      </c>
      <c r="AF119" s="150"/>
      <c r="AG119" s="150"/>
      <c r="AH119" s="150"/>
      <c r="AI119" s="150"/>
      <c r="AJ119" s="150"/>
      <c r="AK119" s="150"/>
      <c r="AL119" s="151"/>
      <c r="AM119" s="149" t="str">
        <f t="shared" ca="1" si="68"/>
        <v>DPCレセプト_傷病レコードテーブルから組入れ条件の第一条件で絞り込んだ結果を格納するテーブル</v>
      </c>
      <c r="AN119" s="150"/>
      <c r="AO119" s="150"/>
      <c r="AP119" s="150"/>
      <c r="AQ119" s="150"/>
      <c r="AR119" s="150"/>
      <c r="AS119" s="150"/>
      <c r="AT119" s="150"/>
      <c r="AU119" s="150"/>
      <c r="AV119" s="150"/>
      <c r="AW119" s="150"/>
      <c r="AX119" s="150"/>
      <c r="AY119" s="150"/>
      <c r="AZ119" s="150"/>
      <c r="BA119" s="150"/>
      <c r="BB119" s="150"/>
      <c r="BC119" s="150"/>
      <c r="BD119" s="150"/>
      <c r="BE119" s="150"/>
      <c r="BF119" s="150"/>
      <c r="BG119" s="150"/>
      <c r="BH119" s="150"/>
      <c r="BI119" s="150"/>
      <c r="BJ119" s="152"/>
      <c r="BK119" s="32" t="str">
        <f t="shared" si="59"/>
        <v>ENT_01_C3-09_バックアップ_DPCレセプト_傷病レコード.sql</v>
      </c>
    </row>
    <row r="120" spans="1:64" ht="37.5" customHeight="1" outlineLevel="1">
      <c r="A120" s="34" t="str">
        <f t="shared" si="66"/>
        <v>バックアップ_DPCレセプト_傷病名レコード</v>
      </c>
      <c r="B120" s="143" t="str">
        <f t="shared" si="8"/>
        <v>01</v>
      </c>
      <c r="C120" s="144"/>
      <c r="D120" s="144"/>
      <c r="E120" s="144"/>
      <c r="F120" s="145"/>
      <c r="G120" s="146" t="s">
        <v>196</v>
      </c>
      <c r="H120" s="147"/>
      <c r="I120" s="147"/>
      <c r="J120" s="147"/>
      <c r="K120" s="147"/>
      <c r="L120" s="147"/>
      <c r="M120" s="147"/>
      <c r="N120" s="148"/>
      <c r="O120" s="81" t="s">
        <v>3125</v>
      </c>
      <c r="P120" s="140" t="s">
        <v>1247</v>
      </c>
      <c r="Q120" s="141"/>
      <c r="R120" s="141"/>
      <c r="S120" s="141"/>
      <c r="T120" s="141"/>
      <c r="U120" s="141"/>
      <c r="V120" s="141"/>
      <c r="W120" s="141"/>
      <c r="X120" s="141"/>
      <c r="Y120" s="141"/>
      <c r="Z120" s="141"/>
      <c r="AA120" s="141"/>
      <c r="AB120" s="141"/>
      <c r="AC120" s="141"/>
      <c r="AD120" s="142"/>
      <c r="AE120" s="149" t="str">
        <f t="shared" ca="1" si="67"/>
        <v>sny_202310_backup_merge_receiptd_sy</v>
      </c>
      <c r="AF120" s="150"/>
      <c r="AG120" s="150"/>
      <c r="AH120" s="150"/>
      <c r="AI120" s="150"/>
      <c r="AJ120" s="150"/>
      <c r="AK120" s="150"/>
      <c r="AL120" s="151"/>
      <c r="AM120" s="149" t="str">
        <f t="shared" ca="1" si="68"/>
        <v>DPCレセプト_傷病名レコードテーブルから組入れ条件の第一条件で絞り込んだ結果を格納するテーブル</v>
      </c>
      <c r="AN120" s="150"/>
      <c r="AO120" s="150"/>
      <c r="AP120" s="150"/>
      <c r="AQ120" s="150"/>
      <c r="AR120" s="150"/>
      <c r="AS120" s="150"/>
      <c r="AT120" s="150"/>
      <c r="AU120" s="150"/>
      <c r="AV120" s="150"/>
      <c r="AW120" s="150"/>
      <c r="AX120" s="150"/>
      <c r="AY120" s="150"/>
      <c r="AZ120" s="150"/>
      <c r="BA120" s="150"/>
      <c r="BB120" s="150"/>
      <c r="BC120" s="150"/>
      <c r="BD120" s="150"/>
      <c r="BE120" s="150"/>
      <c r="BF120" s="150"/>
      <c r="BG120" s="150"/>
      <c r="BH120" s="150"/>
      <c r="BI120" s="150"/>
      <c r="BJ120" s="152"/>
      <c r="BK120" s="32" t="str">
        <f t="shared" si="59"/>
        <v>ENT_01_C3-10_バックアップ_DPCレセプト_傷病名レコード.sql</v>
      </c>
    </row>
    <row r="121" spans="1:64" ht="37.5" customHeight="1" outlineLevel="1">
      <c r="A121" s="34" t="str">
        <f t="shared" si="66"/>
        <v>バックアップ_DPCレセプト_診療行為レコード</v>
      </c>
      <c r="B121" s="143" t="str">
        <f t="shared" si="8"/>
        <v>01</v>
      </c>
      <c r="C121" s="144"/>
      <c r="D121" s="144"/>
      <c r="E121" s="144"/>
      <c r="F121" s="145"/>
      <c r="G121" s="146" t="s">
        <v>196</v>
      </c>
      <c r="H121" s="147"/>
      <c r="I121" s="147"/>
      <c r="J121" s="147"/>
      <c r="K121" s="147"/>
      <c r="L121" s="147"/>
      <c r="M121" s="147"/>
      <c r="N121" s="148"/>
      <c r="O121" s="81" t="s">
        <v>3126</v>
      </c>
      <c r="P121" s="140" t="s">
        <v>1249</v>
      </c>
      <c r="Q121" s="141"/>
      <c r="R121" s="141"/>
      <c r="S121" s="141"/>
      <c r="T121" s="141"/>
      <c r="U121" s="141"/>
      <c r="V121" s="141"/>
      <c r="W121" s="141"/>
      <c r="X121" s="141"/>
      <c r="Y121" s="141"/>
      <c r="Z121" s="141"/>
      <c r="AA121" s="141"/>
      <c r="AB121" s="141"/>
      <c r="AC121" s="141"/>
      <c r="AD121" s="142"/>
      <c r="AE121" s="149" t="str">
        <f t="shared" ca="1" si="67"/>
        <v>sny_202310_backup_merge_receiptd_si</v>
      </c>
      <c r="AF121" s="150"/>
      <c r="AG121" s="150"/>
      <c r="AH121" s="150"/>
      <c r="AI121" s="150"/>
      <c r="AJ121" s="150"/>
      <c r="AK121" s="150"/>
      <c r="AL121" s="151"/>
      <c r="AM121" s="149" t="str">
        <f t="shared" ca="1" si="68"/>
        <v>DPCレセプト_診療行為レコードテーブルから組入れ条件の第一条件で絞り込んだ結果を格納するテーブル</v>
      </c>
      <c r="AN121" s="150"/>
      <c r="AO121" s="150"/>
      <c r="AP121" s="150"/>
      <c r="AQ121" s="150"/>
      <c r="AR121" s="150"/>
      <c r="AS121" s="150"/>
      <c r="AT121" s="150"/>
      <c r="AU121" s="150"/>
      <c r="AV121" s="150"/>
      <c r="AW121" s="150"/>
      <c r="AX121" s="150"/>
      <c r="AY121" s="150"/>
      <c r="AZ121" s="150"/>
      <c r="BA121" s="150"/>
      <c r="BB121" s="150"/>
      <c r="BC121" s="150"/>
      <c r="BD121" s="150"/>
      <c r="BE121" s="150"/>
      <c r="BF121" s="150"/>
      <c r="BG121" s="150"/>
      <c r="BH121" s="150"/>
      <c r="BI121" s="150"/>
      <c r="BJ121" s="152"/>
      <c r="BK121" s="32" t="str">
        <f t="shared" si="59"/>
        <v>ENT_01_C3-16_バックアップ_DPCレセプト_診療行為レコード.sql</v>
      </c>
    </row>
    <row r="122" spans="1:64" ht="37.5" customHeight="1" outlineLevel="1">
      <c r="A122" s="34" t="str">
        <f t="shared" si="66"/>
        <v>バックアップ_DPCレセプト_診療行為レコード_算定日情報</v>
      </c>
      <c r="B122" s="143" t="str">
        <f t="shared" si="8"/>
        <v>01</v>
      </c>
      <c r="C122" s="144"/>
      <c r="D122" s="144"/>
      <c r="E122" s="144"/>
      <c r="F122" s="145"/>
      <c r="G122" s="146" t="s">
        <v>196</v>
      </c>
      <c r="H122" s="147"/>
      <c r="I122" s="147"/>
      <c r="J122" s="147"/>
      <c r="K122" s="147"/>
      <c r="L122" s="147"/>
      <c r="M122" s="147"/>
      <c r="N122" s="148"/>
      <c r="O122" s="81" t="s">
        <v>3127</v>
      </c>
      <c r="P122" s="140" t="s">
        <v>1251</v>
      </c>
      <c r="Q122" s="141"/>
      <c r="R122" s="141"/>
      <c r="S122" s="141"/>
      <c r="T122" s="141"/>
      <c r="U122" s="141"/>
      <c r="V122" s="141"/>
      <c r="W122" s="141"/>
      <c r="X122" s="141"/>
      <c r="Y122" s="141"/>
      <c r="Z122" s="141"/>
      <c r="AA122" s="141"/>
      <c r="AB122" s="141"/>
      <c r="AC122" s="141"/>
      <c r="AD122" s="142"/>
      <c r="AE122" s="149" t="str">
        <f t="shared" ca="1" si="67"/>
        <v>sny_202310_backup_merge_receiptd_si_day</v>
      </c>
      <c r="AF122" s="150"/>
      <c r="AG122" s="150"/>
      <c r="AH122" s="150"/>
      <c r="AI122" s="150"/>
      <c r="AJ122" s="150"/>
      <c r="AK122" s="150"/>
      <c r="AL122" s="151"/>
      <c r="AM122" s="149" t="str">
        <f t="shared" ca="1" si="68"/>
        <v>DPCレセプト_診療行為レコード_算定日情報テーブルから組入れ条件の第一条件で絞り込んだ結果を格納するテーブル</v>
      </c>
      <c r="AN122" s="150"/>
      <c r="AO122" s="150"/>
      <c r="AP122" s="150"/>
      <c r="AQ122" s="150"/>
      <c r="AR122" s="150"/>
      <c r="AS122" s="150"/>
      <c r="AT122" s="150"/>
      <c r="AU122" s="150"/>
      <c r="AV122" s="150"/>
      <c r="AW122" s="150"/>
      <c r="AX122" s="150"/>
      <c r="AY122" s="150"/>
      <c r="AZ122" s="150"/>
      <c r="BA122" s="150"/>
      <c r="BB122" s="150"/>
      <c r="BC122" s="150"/>
      <c r="BD122" s="150"/>
      <c r="BE122" s="150"/>
      <c r="BF122" s="150"/>
      <c r="BG122" s="150"/>
      <c r="BH122" s="150"/>
      <c r="BI122" s="150"/>
      <c r="BJ122" s="152"/>
      <c r="BK122" s="32" t="str">
        <f t="shared" si="59"/>
        <v>ENT_01_C3-17_バックアップ_DPCレセプト_診療行為レコード_算定日情報.sql</v>
      </c>
    </row>
    <row r="123" spans="1:64" ht="37.5" customHeight="1" outlineLevel="1">
      <c r="A123" s="34" t="str">
        <f t="shared" si="66"/>
        <v>バックアップ_DPCレセプト_医薬品レコード</v>
      </c>
      <c r="B123" s="143" t="str">
        <f t="shared" si="8"/>
        <v>01</v>
      </c>
      <c r="C123" s="144"/>
      <c r="D123" s="144"/>
      <c r="E123" s="144"/>
      <c r="F123" s="145"/>
      <c r="G123" s="146" t="s">
        <v>196</v>
      </c>
      <c r="H123" s="147"/>
      <c r="I123" s="147"/>
      <c r="J123" s="147"/>
      <c r="K123" s="147"/>
      <c r="L123" s="147"/>
      <c r="M123" s="147"/>
      <c r="N123" s="148"/>
      <c r="O123" s="81" t="s">
        <v>3128</v>
      </c>
      <c r="P123" s="140" t="s">
        <v>1254</v>
      </c>
      <c r="Q123" s="141"/>
      <c r="R123" s="141"/>
      <c r="S123" s="141"/>
      <c r="T123" s="141"/>
      <c r="U123" s="141"/>
      <c r="V123" s="141"/>
      <c r="W123" s="141"/>
      <c r="X123" s="141"/>
      <c r="Y123" s="141"/>
      <c r="Z123" s="141"/>
      <c r="AA123" s="141"/>
      <c r="AB123" s="141"/>
      <c r="AC123" s="141"/>
      <c r="AD123" s="142"/>
      <c r="AE123" s="149" t="str">
        <f t="shared" ca="1" si="67"/>
        <v>sny_202310_backup_merge_receiptd_iy</v>
      </c>
      <c r="AF123" s="150"/>
      <c r="AG123" s="150"/>
      <c r="AH123" s="150"/>
      <c r="AI123" s="150"/>
      <c r="AJ123" s="150"/>
      <c r="AK123" s="150"/>
      <c r="AL123" s="151"/>
      <c r="AM123" s="149" t="str">
        <f t="shared" ca="1" si="68"/>
        <v>DPCレセプト_医薬品レコードテーブルから組入れ条件の第一条件で絞り込んだ結果を格納するテーブル</v>
      </c>
      <c r="AN123" s="150"/>
      <c r="AO123" s="150"/>
      <c r="AP123" s="150"/>
      <c r="AQ123" s="150"/>
      <c r="AR123" s="150"/>
      <c r="AS123" s="150"/>
      <c r="AT123" s="150"/>
      <c r="AU123" s="150"/>
      <c r="AV123" s="150"/>
      <c r="AW123" s="150"/>
      <c r="AX123" s="150"/>
      <c r="AY123" s="150"/>
      <c r="AZ123" s="150"/>
      <c r="BA123" s="150"/>
      <c r="BB123" s="150"/>
      <c r="BC123" s="150"/>
      <c r="BD123" s="150"/>
      <c r="BE123" s="150"/>
      <c r="BF123" s="150"/>
      <c r="BG123" s="150"/>
      <c r="BH123" s="150"/>
      <c r="BI123" s="150"/>
      <c r="BJ123" s="152"/>
      <c r="BK123" s="32" t="str">
        <f t="shared" si="59"/>
        <v>ENT_01_C3-18_バックアップ_DPCレセプト_医薬品レコード.sql</v>
      </c>
    </row>
    <row r="124" spans="1:64" ht="37.5" customHeight="1" outlineLevel="1">
      <c r="A124" s="34" t="str">
        <f t="shared" si="66"/>
        <v>バックアップ_DPCレセプト_医薬品レコード_算定日情報</v>
      </c>
      <c r="B124" s="143" t="str">
        <f t="shared" si="8"/>
        <v>01</v>
      </c>
      <c r="C124" s="144"/>
      <c r="D124" s="144"/>
      <c r="E124" s="144"/>
      <c r="F124" s="145"/>
      <c r="G124" s="146" t="s">
        <v>196</v>
      </c>
      <c r="H124" s="147"/>
      <c r="I124" s="147"/>
      <c r="J124" s="147"/>
      <c r="K124" s="147"/>
      <c r="L124" s="147"/>
      <c r="M124" s="147"/>
      <c r="N124" s="148"/>
      <c r="O124" s="81" t="s">
        <v>3129</v>
      </c>
      <c r="P124" s="140" t="s">
        <v>1256</v>
      </c>
      <c r="Q124" s="141"/>
      <c r="R124" s="141"/>
      <c r="S124" s="141"/>
      <c r="T124" s="141"/>
      <c r="U124" s="141"/>
      <c r="V124" s="141"/>
      <c r="W124" s="141"/>
      <c r="X124" s="141"/>
      <c r="Y124" s="141"/>
      <c r="Z124" s="141"/>
      <c r="AA124" s="141"/>
      <c r="AB124" s="141"/>
      <c r="AC124" s="141"/>
      <c r="AD124" s="142"/>
      <c r="AE124" s="149" t="str">
        <f t="shared" ca="1" si="67"/>
        <v>sny_202310_backup_merge_receiptd_iy_day</v>
      </c>
      <c r="AF124" s="150"/>
      <c r="AG124" s="150"/>
      <c r="AH124" s="150"/>
      <c r="AI124" s="150"/>
      <c r="AJ124" s="150"/>
      <c r="AK124" s="150"/>
      <c r="AL124" s="151"/>
      <c r="AM124" s="149" t="str">
        <f t="shared" ca="1" si="68"/>
        <v>DPCレセプト_医薬品レコード_算定日情報テーブルから組入れ条件の第一条件で絞り込んだ結果を格納するテーブル</v>
      </c>
      <c r="AN124" s="150"/>
      <c r="AO124" s="150"/>
      <c r="AP124" s="150"/>
      <c r="AQ124" s="150"/>
      <c r="AR124" s="150"/>
      <c r="AS124" s="150"/>
      <c r="AT124" s="150"/>
      <c r="AU124" s="150"/>
      <c r="AV124" s="150"/>
      <c r="AW124" s="150"/>
      <c r="AX124" s="150"/>
      <c r="AY124" s="150"/>
      <c r="AZ124" s="150"/>
      <c r="BA124" s="150"/>
      <c r="BB124" s="150"/>
      <c r="BC124" s="150"/>
      <c r="BD124" s="150"/>
      <c r="BE124" s="150"/>
      <c r="BF124" s="150"/>
      <c r="BG124" s="150"/>
      <c r="BH124" s="150"/>
      <c r="BI124" s="150"/>
      <c r="BJ124" s="152"/>
      <c r="BK124" s="32" t="str">
        <f t="shared" si="59"/>
        <v>ENT_01_C3-19_バックアップ_DPCレセプト_医薬品レコード_算定日情報.sql</v>
      </c>
    </row>
    <row r="125" spans="1:64" ht="37.5" customHeight="1" outlineLevel="1">
      <c r="A125" s="34" t="str">
        <f t="shared" ref="A125:A142" si="69">P125</f>
        <v>バックアップ_DPCレセプト_臓器提供者レセプト情報レコード</v>
      </c>
      <c r="B125" s="143" t="str">
        <f t="shared" si="8"/>
        <v>01</v>
      </c>
      <c r="C125" s="144"/>
      <c r="D125" s="144"/>
      <c r="E125" s="144"/>
      <c r="F125" s="145"/>
      <c r="G125" s="146" t="s">
        <v>196</v>
      </c>
      <c r="H125" s="147"/>
      <c r="I125" s="147"/>
      <c r="J125" s="147"/>
      <c r="K125" s="147"/>
      <c r="L125" s="147"/>
      <c r="M125" s="147"/>
      <c r="N125" s="148"/>
      <c r="O125" s="81" t="s">
        <v>3130</v>
      </c>
      <c r="P125" s="140" t="s">
        <v>1258</v>
      </c>
      <c r="Q125" s="141"/>
      <c r="R125" s="141"/>
      <c r="S125" s="141"/>
      <c r="T125" s="141"/>
      <c r="U125" s="141"/>
      <c r="V125" s="141"/>
      <c r="W125" s="141"/>
      <c r="X125" s="141"/>
      <c r="Y125" s="141"/>
      <c r="Z125" s="141"/>
      <c r="AA125" s="141"/>
      <c r="AB125" s="141"/>
      <c r="AC125" s="141"/>
      <c r="AD125" s="142"/>
      <c r="AE125" s="149" t="str">
        <f t="shared" ca="1" si="64"/>
        <v>sny_202310_backup_merge_receiptd_tr</v>
      </c>
      <c r="AF125" s="150"/>
      <c r="AG125" s="150"/>
      <c r="AH125" s="150"/>
      <c r="AI125" s="150"/>
      <c r="AJ125" s="150"/>
      <c r="AK125" s="150"/>
      <c r="AL125" s="151"/>
      <c r="AM125" s="149" t="str">
        <f t="shared" ca="1" si="65"/>
        <v>DPCレセプト_臓器提供者レセプト情報レコードテーブルから組入れ条件の第一条件で絞り込んだ結果を格納するテーブル</v>
      </c>
      <c r="AN125" s="150"/>
      <c r="AO125" s="150"/>
      <c r="AP125" s="150"/>
      <c r="AQ125" s="150"/>
      <c r="AR125" s="150"/>
      <c r="AS125" s="150"/>
      <c r="AT125" s="150"/>
      <c r="AU125" s="150"/>
      <c r="AV125" s="150"/>
      <c r="AW125" s="150"/>
      <c r="AX125" s="150"/>
      <c r="AY125" s="150"/>
      <c r="AZ125" s="150"/>
      <c r="BA125" s="150"/>
      <c r="BB125" s="150"/>
      <c r="BC125" s="150"/>
      <c r="BD125" s="150"/>
      <c r="BE125" s="150"/>
      <c r="BF125" s="150"/>
      <c r="BG125" s="150"/>
      <c r="BH125" s="150"/>
      <c r="BI125" s="150"/>
      <c r="BJ125" s="152"/>
      <c r="BK125" s="32" t="str">
        <f t="shared" si="59"/>
        <v>ENT_01_C3-24_バックアップ_DPCレセプト_臓器提供者レセプト情報レコード.sql</v>
      </c>
    </row>
    <row r="126" spans="1:64" ht="37.5" customHeight="1" outlineLevel="1">
      <c r="A126" s="34" t="str">
        <f t="shared" si="69"/>
        <v>バックアップ_患者情報モジュール_患者情報</v>
      </c>
      <c r="B126" s="143" t="str">
        <f t="shared" si="8"/>
        <v>01</v>
      </c>
      <c r="C126" s="144"/>
      <c r="D126" s="144"/>
      <c r="E126" s="144"/>
      <c r="F126" s="145"/>
      <c r="G126" s="146" t="s">
        <v>196</v>
      </c>
      <c r="H126" s="147"/>
      <c r="I126" s="147"/>
      <c r="J126" s="147"/>
      <c r="K126" s="147"/>
      <c r="L126" s="147"/>
      <c r="M126" s="147"/>
      <c r="N126" s="148"/>
      <c r="O126" s="81" t="s">
        <v>3131</v>
      </c>
      <c r="P126" s="140" t="s">
        <v>1260</v>
      </c>
      <c r="Q126" s="141"/>
      <c r="R126" s="141"/>
      <c r="S126" s="141"/>
      <c r="T126" s="141"/>
      <c r="U126" s="141"/>
      <c r="V126" s="141"/>
      <c r="W126" s="141"/>
      <c r="X126" s="141"/>
      <c r="Y126" s="141"/>
      <c r="Z126" s="141"/>
      <c r="AA126" s="141"/>
      <c r="AB126" s="141"/>
      <c r="AC126" s="141"/>
      <c r="AD126" s="142"/>
      <c r="AE126" s="149" t="str">
        <f t="shared" ca="1" si="64"/>
        <v>sny_202310_backup_merge_mml_pi_master</v>
      </c>
      <c r="AF126" s="150"/>
      <c r="AG126" s="150"/>
      <c r="AH126" s="150"/>
      <c r="AI126" s="150"/>
      <c r="AJ126" s="150"/>
      <c r="AK126" s="150"/>
      <c r="AL126" s="151"/>
      <c r="AM126" s="149" t="str">
        <f t="shared" ca="1" si="65"/>
        <v>患者情報モジュール_患者情報テーブルから組入れ条件の第一条件で絞り込んだ結果を格納するテーブル</v>
      </c>
      <c r="AN126" s="150"/>
      <c r="AO126" s="150"/>
      <c r="AP126" s="150"/>
      <c r="AQ126" s="150"/>
      <c r="AR126" s="150"/>
      <c r="AS126" s="150"/>
      <c r="AT126" s="150"/>
      <c r="AU126" s="150"/>
      <c r="AV126" s="150"/>
      <c r="AW126" s="150"/>
      <c r="AX126" s="150"/>
      <c r="AY126" s="150"/>
      <c r="AZ126" s="150"/>
      <c r="BA126" s="150"/>
      <c r="BB126" s="150"/>
      <c r="BC126" s="150"/>
      <c r="BD126" s="150"/>
      <c r="BE126" s="150"/>
      <c r="BF126" s="150"/>
      <c r="BG126" s="150"/>
      <c r="BH126" s="150"/>
      <c r="BI126" s="150"/>
      <c r="BJ126" s="152"/>
      <c r="BK126" s="32" t="str">
        <f t="shared" si="59"/>
        <v>ENT_01_C4-01_バックアップ_患者情報モジュール_患者情報.sql</v>
      </c>
    </row>
    <row r="127" spans="1:64" ht="37.5" customHeight="1" outlineLevel="1">
      <c r="A127" s="34" t="str">
        <f t="shared" si="69"/>
        <v>バックアップ_診断履歴情報モジュール_診断履歴情報レコード</v>
      </c>
      <c r="B127" s="143" t="str">
        <f t="shared" si="8"/>
        <v>01</v>
      </c>
      <c r="C127" s="144"/>
      <c r="D127" s="144"/>
      <c r="E127" s="144"/>
      <c r="F127" s="145"/>
      <c r="G127" s="146" t="s">
        <v>196</v>
      </c>
      <c r="H127" s="147"/>
      <c r="I127" s="147"/>
      <c r="J127" s="147"/>
      <c r="K127" s="147"/>
      <c r="L127" s="147"/>
      <c r="M127" s="147"/>
      <c r="N127" s="148"/>
      <c r="O127" s="81" t="s">
        <v>3132</v>
      </c>
      <c r="P127" s="140" t="s">
        <v>1318</v>
      </c>
      <c r="Q127" s="141"/>
      <c r="R127" s="141"/>
      <c r="S127" s="141"/>
      <c r="T127" s="141"/>
      <c r="U127" s="141"/>
      <c r="V127" s="141"/>
      <c r="W127" s="141"/>
      <c r="X127" s="141"/>
      <c r="Y127" s="141"/>
      <c r="Z127" s="141"/>
      <c r="AA127" s="141"/>
      <c r="AB127" s="141"/>
      <c r="AC127" s="141"/>
      <c r="AD127" s="142"/>
      <c r="AE127" s="149" t="str">
        <f t="shared" ca="1" si="64"/>
        <v>sny_202310_backup_merge_mml_rd_register</v>
      </c>
      <c r="AF127" s="150"/>
      <c r="AG127" s="150"/>
      <c r="AH127" s="150"/>
      <c r="AI127" s="150"/>
      <c r="AJ127" s="150"/>
      <c r="AK127" s="150"/>
      <c r="AL127" s="151"/>
      <c r="AM127" s="149" t="str">
        <f t="shared" ca="1" si="65"/>
        <v>診断履歴情報モジュール_診断履歴情報レコードテーブルから組入れ条件の第一条件で絞り込んだ結果を格納するテーブル</v>
      </c>
      <c r="AN127" s="150"/>
      <c r="AO127" s="150"/>
      <c r="AP127" s="150"/>
      <c r="AQ127" s="150"/>
      <c r="AR127" s="150"/>
      <c r="AS127" s="150"/>
      <c r="AT127" s="150"/>
      <c r="AU127" s="150"/>
      <c r="AV127" s="150"/>
      <c r="AW127" s="150"/>
      <c r="AX127" s="150"/>
      <c r="AY127" s="150"/>
      <c r="AZ127" s="150"/>
      <c r="BA127" s="150"/>
      <c r="BB127" s="150"/>
      <c r="BC127" s="150"/>
      <c r="BD127" s="150"/>
      <c r="BE127" s="150"/>
      <c r="BF127" s="150"/>
      <c r="BG127" s="150"/>
      <c r="BH127" s="150"/>
      <c r="BI127" s="150"/>
      <c r="BJ127" s="152"/>
      <c r="BK127" s="32" t="str">
        <f t="shared" si="59"/>
        <v>ENT_01_C4-03_バックアップ_診断履歴情報モジュール_診断履歴情報レコード.sql</v>
      </c>
      <c r="BL127" s="32">
        <v>1</v>
      </c>
    </row>
    <row r="128" spans="1:64" ht="37.5" customHeight="1" outlineLevel="1">
      <c r="A128" s="34" t="str">
        <f t="shared" si="69"/>
        <v>バックアップ_診断履歴情報モジュール_診断病名レコード</v>
      </c>
      <c r="B128" s="143" t="str">
        <f t="shared" si="8"/>
        <v>01</v>
      </c>
      <c r="C128" s="144"/>
      <c r="D128" s="144"/>
      <c r="E128" s="144"/>
      <c r="F128" s="145"/>
      <c r="G128" s="146" t="s">
        <v>196</v>
      </c>
      <c r="H128" s="147"/>
      <c r="I128" s="147"/>
      <c r="J128" s="147"/>
      <c r="K128" s="147"/>
      <c r="L128" s="147"/>
      <c r="M128" s="147"/>
      <c r="N128" s="148"/>
      <c r="O128" s="81" t="s">
        <v>3133</v>
      </c>
      <c r="P128" s="140" t="s">
        <v>1337</v>
      </c>
      <c r="Q128" s="141"/>
      <c r="R128" s="141"/>
      <c r="S128" s="141"/>
      <c r="T128" s="141"/>
      <c r="U128" s="141"/>
      <c r="V128" s="141"/>
      <c r="W128" s="141"/>
      <c r="X128" s="141"/>
      <c r="Y128" s="141"/>
      <c r="Z128" s="141"/>
      <c r="AA128" s="141"/>
      <c r="AB128" s="141"/>
      <c r="AC128" s="141"/>
      <c r="AD128" s="142"/>
      <c r="AE128" s="149" t="str">
        <f t="shared" ca="1" si="64"/>
        <v>sny_202310_backup_merge_mml_rd_byomei</v>
      </c>
      <c r="AF128" s="150"/>
      <c r="AG128" s="150"/>
      <c r="AH128" s="150"/>
      <c r="AI128" s="150"/>
      <c r="AJ128" s="150"/>
      <c r="AK128" s="150"/>
      <c r="AL128" s="151"/>
      <c r="AM128" s="149" t="str">
        <f t="shared" ca="1" si="65"/>
        <v>診断履歴情報モジュール_診断病名レコードテーブルから組入れ条件の第一条件で絞り込んだ結果を格納するテーブル</v>
      </c>
      <c r="AN128" s="150"/>
      <c r="AO128" s="150"/>
      <c r="AP128" s="150"/>
      <c r="AQ128" s="150"/>
      <c r="AR128" s="150"/>
      <c r="AS128" s="150"/>
      <c r="AT128" s="150"/>
      <c r="AU128" s="150"/>
      <c r="AV128" s="150"/>
      <c r="AW128" s="150"/>
      <c r="AX128" s="150"/>
      <c r="AY128" s="150"/>
      <c r="AZ128" s="150"/>
      <c r="BA128" s="150"/>
      <c r="BB128" s="150"/>
      <c r="BC128" s="150"/>
      <c r="BD128" s="150"/>
      <c r="BE128" s="150"/>
      <c r="BF128" s="150"/>
      <c r="BG128" s="150"/>
      <c r="BH128" s="150"/>
      <c r="BI128" s="150"/>
      <c r="BJ128" s="152"/>
      <c r="BK128" s="32" t="str">
        <f t="shared" si="59"/>
        <v>ENT_01_C4-04_バックアップ_診断履歴情報モジュール_診断病名レコード.sql</v>
      </c>
      <c r="BL128" s="32">
        <v>1</v>
      </c>
    </row>
    <row r="129" spans="1:64" ht="37.5" customHeight="1" outlineLevel="1">
      <c r="A129" s="34" t="str">
        <f t="shared" si="69"/>
        <v>バックアップ_診断履歴情報モジュール_診断分類レコード</v>
      </c>
      <c r="B129" s="143" t="str">
        <f t="shared" si="8"/>
        <v>01</v>
      </c>
      <c r="C129" s="144"/>
      <c r="D129" s="144"/>
      <c r="E129" s="144"/>
      <c r="F129" s="145"/>
      <c r="G129" s="146" t="s">
        <v>196</v>
      </c>
      <c r="H129" s="147"/>
      <c r="I129" s="147"/>
      <c r="J129" s="147"/>
      <c r="K129" s="147"/>
      <c r="L129" s="147"/>
      <c r="M129" s="147"/>
      <c r="N129" s="148"/>
      <c r="O129" s="81" t="s">
        <v>3134</v>
      </c>
      <c r="P129" s="140" t="s">
        <v>1351</v>
      </c>
      <c r="Q129" s="141"/>
      <c r="R129" s="141"/>
      <c r="S129" s="141"/>
      <c r="T129" s="141"/>
      <c r="U129" s="141"/>
      <c r="V129" s="141"/>
      <c r="W129" s="141"/>
      <c r="X129" s="141"/>
      <c r="Y129" s="141"/>
      <c r="Z129" s="141"/>
      <c r="AA129" s="141"/>
      <c r="AB129" s="141"/>
      <c r="AC129" s="141"/>
      <c r="AD129" s="142"/>
      <c r="AE129" s="149" t="str">
        <f t="shared" ca="1" si="64"/>
        <v>sny_202310_backup_merge_mml_rd_category</v>
      </c>
      <c r="AF129" s="150"/>
      <c r="AG129" s="150"/>
      <c r="AH129" s="150"/>
      <c r="AI129" s="150"/>
      <c r="AJ129" s="150"/>
      <c r="AK129" s="150"/>
      <c r="AL129" s="151"/>
      <c r="AM129" s="149" t="str">
        <f t="shared" ca="1" si="65"/>
        <v>診断履歴情報モジュール_診断分類レコードテーブルから組入れ条件の第一条件で絞り込んだ結果を格納するテーブル</v>
      </c>
      <c r="AN129" s="150"/>
      <c r="AO129" s="150"/>
      <c r="AP129" s="150"/>
      <c r="AQ129" s="150"/>
      <c r="AR129" s="150"/>
      <c r="AS129" s="150"/>
      <c r="AT129" s="150"/>
      <c r="AU129" s="150"/>
      <c r="AV129" s="150"/>
      <c r="AW129" s="150"/>
      <c r="AX129" s="150"/>
      <c r="AY129" s="150"/>
      <c r="AZ129" s="150"/>
      <c r="BA129" s="150"/>
      <c r="BB129" s="150"/>
      <c r="BC129" s="150"/>
      <c r="BD129" s="150"/>
      <c r="BE129" s="150"/>
      <c r="BF129" s="150"/>
      <c r="BG129" s="150"/>
      <c r="BH129" s="150"/>
      <c r="BI129" s="150"/>
      <c r="BJ129" s="152"/>
      <c r="BK129" s="32" t="str">
        <f t="shared" si="59"/>
        <v>ENT_01_C4-05_バックアップ_診断履歴情報モジュール_診断分類レコード.sql</v>
      </c>
    </row>
    <row r="130" spans="1:64" ht="37.5" customHeight="1" outlineLevel="1">
      <c r="A130" s="34" t="str">
        <f t="shared" si="69"/>
        <v>バックアップ_経過記録情報モジュール_経過記録情報レコード</v>
      </c>
      <c r="B130" s="143" t="str">
        <f t="shared" si="8"/>
        <v>01</v>
      </c>
      <c r="C130" s="144"/>
      <c r="D130" s="144"/>
      <c r="E130" s="144"/>
      <c r="F130" s="145"/>
      <c r="G130" s="146" t="s">
        <v>196</v>
      </c>
      <c r="H130" s="147"/>
      <c r="I130" s="147"/>
      <c r="J130" s="147"/>
      <c r="K130" s="147"/>
      <c r="L130" s="147"/>
      <c r="M130" s="147"/>
      <c r="N130" s="148"/>
      <c r="O130" s="81" t="s">
        <v>3135</v>
      </c>
      <c r="P130" s="140" t="s">
        <v>1362</v>
      </c>
      <c r="Q130" s="141"/>
      <c r="R130" s="141"/>
      <c r="S130" s="141"/>
      <c r="T130" s="141"/>
      <c r="U130" s="141"/>
      <c r="V130" s="141"/>
      <c r="W130" s="141"/>
      <c r="X130" s="141"/>
      <c r="Y130" s="141"/>
      <c r="Z130" s="141"/>
      <c r="AA130" s="141"/>
      <c r="AB130" s="141"/>
      <c r="AC130" s="141"/>
      <c r="AD130" s="142"/>
      <c r="AE130" s="149" t="str">
        <f t="shared" ca="1" si="64"/>
        <v>sny_202310_backup_merge_mml_pc_progress_course</v>
      </c>
      <c r="AF130" s="150"/>
      <c r="AG130" s="150"/>
      <c r="AH130" s="150"/>
      <c r="AI130" s="150"/>
      <c r="AJ130" s="150"/>
      <c r="AK130" s="150"/>
      <c r="AL130" s="151"/>
      <c r="AM130" s="149" t="str">
        <f t="shared" ca="1" si="65"/>
        <v>経過記録情報モジュール_経過記録情報レコードテーブルから組入れ条件の第一条件で絞り込んだ結果を格納するテーブル</v>
      </c>
      <c r="AN130" s="150"/>
      <c r="AO130" s="150"/>
      <c r="AP130" s="150"/>
      <c r="AQ130" s="150"/>
      <c r="AR130" s="150"/>
      <c r="AS130" s="150"/>
      <c r="AT130" s="150"/>
      <c r="AU130" s="150"/>
      <c r="AV130" s="150"/>
      <c r="AW130" s="150"/>
      <c r="AX130" s="150"/>
      <c r="AY130" s="150"/>
      <c r="AZ130" s="150"/>
      <c r="BA130" s="150"/>
      <c r="BB130" s="150"/>
      <c r="BC130" s="150"/>
      <c r="BD130" s="150"/>
      <c r="BE130" s="150"/>
      <c r="BF130" s="150"/>
      <c r="BG130" s="150"/>
      <c r="BH130" s="150"/>
      <c r="BI130" s="150"/>
      <c r="BJ130" s="152"/>
      <c r="BK130" s="32" t="str">
        <f t="shared" si="59"/>
        <v>ENT_01_C4-06_バックアップ_経過記録情報モジュール_経過記録情報レコード.sql</v>
      </c>
      <c r="BL130" s="32">
        <v>1</v>
      </c>
    </row>
    <row r="131" spans="1:64" ht="37.5" customHeight="1" outlineLevel="1">
      <c r="A131" s="34" t="str">
        <f t="shared" si="69"/>
        <v>バックアップ_経過記録情報モジュール_プロブレムレコード</v>
      </c>
      <c r="B131" s="143" t="str">
        <f t="shared" si="8"/>
        <v>01</v>
      </c>
      <c r="C131" s="144"/>
      <c r="D131" s="144"/>
      <c r="E131" s="144"/>
      <c r="F131" s="145"/>
      <c r="G131" s="146" t="s">
        <v>196</v>
      </c>
      <c r="H131" s="147"/>
      <c r="I131" s="147"/>
      <c r="J131" s="147"/>
      <c r="K131" s="147"/>
      <c r="L131" s="147"/>
      <c r="M131" s="147"/>
      <c r="N131" s="148"/>
      <c r="O131" s="81" t="s">
        <v>3136</v>
      </c>
      <c r="P131" s="140" t="s">
        <v>1370</v>
      </c>
      <c r="Q131" s="141"/>
      <c r="R131" s="141"/>
      <c r="S131" s="141"/>
      <c r="T131" s="141"/>
      <c r="U131" s="141"/>
      <c r="V131" s="141"/>
      <c r="W131" s="141"/>
      <c r="X131" s="141"/>
      <c r="Y131" s="141"/>
      <c r="Z131" s="141"/>
      <c r="AA131" s="141"/>
      <c r="AB131" s="141"/>
      <c r="AC131" s="141"/>
      <c r="AD131" s="142"/>
      <c r="AE131" s="149" t="str">
        <f t="shared" ca="1" si="64"/>
        <v>sny_202310_backup_merge_mml_pc_problem</v>
      </c>
      <c r="AF131" s="150"/>
      <c r="AG131" s="150"/>
      <c r="AH131" s="150"/>
      <c r="AI131" s="150"/>
      <c r="AJ131" s="150"/>
      <c r="AK131" s="150"/>
      <c r="AL131" s="151"/>
      <c r="AM131" s="149" t="str">
        <f t="shared" ca="1" si="65"/>
        <v>経過記録情報モジュール_プロブレムレコードテーブルから組入れ条件の第一条件で絞り込んだ結果を格納するテーブル</v>
      </c>
      <c r="AN131" s="150"/>
      <c r="AO131" s="150"/>
      <c r="AP131" s="150"/>
      <c r="AQ131" s="150"/>
      <c r="AR131" s="150"/>
      <c r="AS131" s="150"/>
      <c r="AT131" s="150"/>
      <c r="AU131" s="150"/>
      <c r="AV131" s="150"/>
      <c r="AW131" s="150"/>
      <c r="AX131" s="150"/>
      <c r="AY131" s="150"/>
      <c r="AZ131" s="150"/>
      <c r="BA131" s="150"/>
      <c r="BB131" s="150"/>
      <c r="BC131" s="150"/>
      <c r="BD131" s="150"/>
      <c r="BE131" s="150"/>
      <c r="BF131" s="150"/>
      <c r="BG131" s="150"/>
      <c r="BH131" s="150"/>
      <c r="BI131" s="150"/>
      <c r="BJ131" s="152"/>
      <c r="BK131" s="32" t="str">
        <f t="shared" si="59"/>
        <v>ENT_01_C4-07_バックアップ_経過記録情報モジュール_プロブレムレコード.sql</v>
      </c>
      <c r="BL131" s="32">
        <v>1</v>
      </c>
    </row>
    <row r="132" spans="1:64" ht="37.5" customHeight="1" outlineLevel="1">
      <c r="A132" s="34" t="str">
        <f t="shared" si="69"/>
        <v>バックアップ_経過記録情報モジュール_身体所見レコード</v>
      </c>
      <c r="B132" s="143" t="str">
        <f t="shared" si="8"/>
        <v>01</v>
      </c>
      <c r="C132" s="144"/>
      <c r="D132" s="144"/>
      <c r="E132" s="144"/>
      <c r="F132" s="145"/>
      <c r="G132" s="146" t="s">
        <v>196</v>
      </c>
      <c r="H132" s="147"/>
      <c r="I132" s="147"/>
      <c r="J132" s="147"/>
      <c r="K132" s="147"/>
      <c r="L132" s="147"/>
      <c r="M132" s="147"/>
      <c r="N132" s="148"/>
      <c r="O132" s="81" t="s">
        <v>3137</v>
      </c>
      <c r="P132" s="140" t="s">
        <v>1408</v>
      </c>
      <c r="Q132" s="141"/>
      <c r="R132" s="141"/>
      <c r="S132" s="141"/>
      <c r="T132" s="141"/>
      <c r="U132" s="141"/>
      <c r="V132" s="141"/>
      <c r="W132" s="141"/>
      <c r="X132" s="141"/>
      <c r="Y132" s="141"/>
      <c r="Z132" s="141"/>
      <c r="AA132" s="141"/>
      <c r="AB132" s="141"/>
      <c r="AC132" s="141"/>
      <c r="AD132" s="142"/>
      <c r="AE132" s="149" t="str">
        <f t="shared" ca="1" si="64"/>
        <v>sny_202310_backup_merge_mml_pc_physical_exam</v>
      </c>
      <c r="AF132" s="150"/>
      <c r="AG132" s="150"/>
      <c r="AH132" s="150"/>
      <c r="AI132" s="150"/>
      <c r="AJ132" s="150"/>
      <c r="AK132" s="150"/>
      <c r="AL132" s="151"/>
      <c r="AM132" s="149" t="str">
        <f t="shared" ca="1" si="65"/>
        <v>経過記録情報モジュール_身体所見レコードテーブルから組入れ条件の第一条件で絞り込んだ結果を格納するテーブル</v>
      </c>
      <c r="AN132" s="150"/>
      <c r="AO132" s="150"/>
      <c r="AP132" s="150"/>
      <c r="AQ132" s="150"/>
      <c r="AR132" s="150"/>
      <c r="AS132" s="150"/>
      <c r="AT132" s="150"/>
      <c r="AU132" s="150"/>
      <c r="AV132" s="150"/>
      <c r="AW132" s="150"/>
      <c r="AX132" s="150"/>
      <c r="AY132" s="150"/>
      <c r="AZ132" s="150"/>
      <c r="BA132" s="150"/>
      <c r="BB132" s="150"/>
      <c r="BC132" s="150"/>
      <c r="BD132" s="150"/>
      <c r="BE132" s="150"/>
      <c r="BF132" s="150"/>
      <c r="BG132" s="150"/>
      <c r="BH132" s="150"/>
      <c r="BI132" s="150"/>
      <c r="BJ132" s="152"/>
      <c r="BK132" s="32" t="str">
        <f t="shared" si="59"/>
        <v>ENT_01_C4-08_バックアップ_経過記録情報モジュール_身体所見レコード.sql</v>
      </c>
      <c r="BL132" s="32">
        <v>1</v>
      </c>
    </row>
    <row r="133" spans="1:64" ht="37.5" customHeight="1" outlineLevel="1">
      <c r="A133" s="34" t="str">
        <f t="shared" si="69"/>
        <v>バックアップ_経過記録情報モジュール_アセスメントレコード</v>
      </c>
      <c r="B133" s="143" t="str">
        <f t="shared" si="8"/>
        <v>01</v>
      </c>
      <c r="C133" s="144"/>
      <c r="D133" s="144"/>
      <c r="E133" s="144"/>
      <c r="F133" s="145"/>
      <c r="G133" s="146" t="s">
        <v>196</v>
      </c>
      <c r="H133" s="147"/>
      <c r="I133" s="147"/>
      <c r="J133" s="147"/>
      <c r="K133" s="147"/>
      <c r="L133" s="147"/>
      <c r="M133" s="147"/>
      <c r="N133" s="148"/>
      <c r="O133" s="81" t="s">
        <v>3138</v>
      </c>
      <c r="P133" s="140" t="s">
        <v>1422</v>
      </c>
      <c r="Q133" s="141"/>
      <c r="R133" s="141"/>
      <c r="S133" s="141"/>
      <c r="T133" s="141"/>
      <c r="U133" s="141"/>
      <c r="V133" s="141"/>
      <c r="W133" s="141"/>
      <c r="X133" s="141"/>
      <c r="Y133" s="141"/>
      <c r="Z133" s="141"/>
      <c r="AA133" s="141"/>
      <c r="AB133" s="141"/>
      <c r="AC133" s="141"/>
      <c r="AD133" s="142"/>
      <c r="AE133" s="149" t="str">
        <f t="shared" ca="1" si="64"/>
        <v>sny_202310_backup_merge_mml_pc_assessment</v>
      </c>
      <c r="AF133" s="150"/>
      <c r="AG133" s="150"/>
      <c r="AH133" s="150"/>
      <c r="AI133" s="150"/>
      <c r="AJ133" s="150"/>
      <c r="AK133" s="150"/>
      <c r="AL133" s="151"/>
      <c r="AM133" s="149" t="str">
        <f t="shared" ca="1" si="65"/>
        <v>経過記録情報モジュール_アセスメントレコードテーブルから組入れ条件の第一条件で絞り込んだ結果を格納するテーブル</v>
      </c>
      <c r="AN133" s="150"/>
      <c r="AO133" s="150"/>
      <c r="AP133" s="150"/>
      <c r="AQ133" s="150"/>
      <c r="AR133" s="150"/>
      <c r="AS133" s="150"/>
      <c r="AT133" s="150"/>
      <c r="AU133" s="150"/>
      <c r="AV133" s="150"/>
      <c r="AW133" s="150"/>
      <c r="AX133" s="150"/>
      <c r="AY133" s="150"/>
      <c r="AZ133" s="150"/>
      <c r="BA133" s="150"/>
      <c r="BB133" s="150"/>
      <c r="BC133" s="150"/>
      <c r="BD133" s="150"/>
      <c r="BE133" s="150"/>
      <c r="BF133" s="150"/>
      <c r="BG133" s="150"/>
      <c r="BH133" s="150"/>
      <c r="BI133" s="150"/>
      <c r="BJ133" s="152"/>
      <c r="BK133" s="32" t="str">
        <f t="shared" ref="BK133:BK146" si="70">IF(P133&lt;&gt;"",O133&amp;"_"&amp;P133&amp;".sql","")</f>
        <v>ENT_01_C4-15_バックアップ_経過記録情報モジュール_アセスメントレコード.sql</v>
      </c>
      <c r="BL133" s="32">
        <v>1</v>
      </c>
    </row>
    <row r="134" spans="1:64" ht="37.5" customHeight="1" outlineLevel="1">
      <c r="A134" s="34" t="str">
        <f t="shared" si="69"/>
        <v>バックアップ_経過記録情報モジュール_外部参照レコード</v>
      </c>
      <c r="B134" s="143" t="str">
        <f t="shared" si="8"/>
        <v>01</v>
      </c>
      <c r="C134" s="144"/>
      <c r="D134" s="144"/>
      <c r="E134" s="144"/>
      <c r="F134" s="145"/>
      <c r="G134" s="146" t="s">
        <v>196</v>
      </c>
      <c r="H134" s="147"/>
      <c r="I134" s="147"/>
      <c r="J134" s="147"/>
      <c r="K134" s="147"/>
      <c r="L134" s="147"/>
      <c r="M134" s="147"/>
      <c r="N134" s="148"/>
      <c r="O134" s="81" t="s">
        <v>3139</v>
      </c>
      <c r="P134" s="140" t="s">
        <v>1430</v>
      </c>
      <c r="Q134" s="141"/>
      <c r="R134" s="141"/>
      <c r="S134" s="141"/>
      <c r="T134" s="141"/>
      <c r="U134" s="141"/>
      <c r="V134" s="141"/>
      <c r="W134" s="141"/>
      <c r="X134" s="141"/>
      <c r="Y134" s="141"/>
      <c r="Z134" s="141"/>
      <c r="AA134" s="141"/>
      <c r="AB134" s="141"/>
      <c r="AC134" s="141"/>
      <c r="AD134" s="142"/>
      <c r="AE134" s="149" t="str">
        <f t="shared" ca="1" si="64"/>
        <v>sny_202310_backup_merge_mml_pc_external_reference</v>
      </c>
      <c r="AF134" s="150"/>
      <c r="AG134" s="150"/>
      <c r="AH134" s="150"/>
      <c r="AI134" s="150"/>
      <c r="AJ134" s="150"/>
      <c r="AK134" s="150"/>
      <c r="AL134" s="151"/>
      <c r="AM134" s="149" t="str">
        <f t="shared" ca="1" si="65"/>
        <v>経過記録情報モジュール_外部参照レコードテーブルから組入れ条件の第一条件で絞り込んだ結果を格納するテーブル</v>
      </c>
      <c r="AN134" s="150"/>
      <c r="AO134" s="150"/>
      <c r="AP134" s="150"/>
      <c r="AQ134" s="150"/>
      <c r="AR134" s="150"/>
      <c r="AS134" s="150"/>
      <c r="AT134" s="150"/>
      <c r="AU134" s="150"/>
      <c r="AV134" s="150"/>
      <c r="AW134" s="150"/>
      <c r="AX134" s="150"/>
      <c r="AY134" s="150"/>
      <c r="AZ134" s="150"/>
      <c r="BA134" s="150"/>
      <c r="BB134" s="150"/>
      <c r="BC134" s="150"/>
      <c r="BD134" s="150"/>
      <c r="BE134" s="150"/>
      <c r="BF134" s="150"/>
      <c r="BG134" s="150"/>
      <c r="BH134" s="150"/>
      <c r="BI134" s="150"/>
      <c r="BJ134" s="152"/>
      <c r="BK134" s="32" t="str">
        <f t="shared" si="70"/>
        <v>ENT_01_C4-22_バックアップ_経過記録情報モジュール_外部参照レコード.sql</v>
      </c>
      <c r="BL134" s="32">
        <v>1</v>
      </c>
    </row>
    <row r="135" spans="1:64" ht="37.5" customHeight="1" outlineLevel="1">
      <c r="A135" s="34" t="str">
        <f t="shared" si="69"/>
        <v>バックアップ_臨床サマリーモジュール_臨床サマリー情報レコード</v>
      </c>
      <c r="B135" s="143" t="str">
        <f t="shared" si="8"/>
        <v>01</v>
      </c>
      <c r="C135" s="144"/>
      <c r="D135" s="144"/>
      <c r="E135" s="144"/>
      <c r="F135" s="145"/>
      <c r="G135" s="146" t="s">
        <v>196</v>
      </c>
      <c r="H135" s="147"/>
      <c r="I135" s="147"/>
      <c r="J135" s="147"/>
      <c r="K135" s="147"/>
      <c r="L135" s="147"/>
      <c r="M135" s="147"/>
      <c r="N135" s="148"/>
      <c r="O135" s="81" t="s">
        <v>3140</v>
      </c>
      <c r="P135" s="140" t="s">
        <v>1453</v>
      </c>
      <c r="Q135" s="141"/>
      <c r="R135" s="141"/>
      <c r="S135" s="141"/>
      <c r="T135" s="141"/>
      <c r="U135" s="141"/>
      <c r="V135" s="141"/>
      <c r="W135" s="141"/>
      <c r="X135" s="141"/>
      <c r="Y135" s="141"/>
      <c r="Z135" s="141"/>
      <c r="AA135" s="141"/>
      <c r="AB135" s="141"/>
      <c r="AC135" s="141"/>
      <c r="AD135" s="142"/>
      <c r="AE135" s="149" t="str">
        <f t="shared" ca="1" si="64"/>
        <v>sny_202310_backup_merge_mml_sm_summary</v>
      </c>
      <c r="AF135" s="150"/>
      <c r="AG135" s="150"/>
      <c r="AH135" s="150"/>
      <c r="AI135" s="150"/>
      <c r="AJ135" s="150"/>
      <c r="AK135" s="150"/>
      <c r="AL135" s="151"/>
      <c r="AM135" s="149" t="str">
        <f t="shared" ca="1" si="65"/>
        <v>臨床サマリーモジュール_臨床サマリー情報レコードテーブルから組入れ条件の第一条件で絞り込んだ結果を格納するテーブル</v>
      </c>
      <c r="AN135" s="150"/>
      <c r="AO135" s="150"/>
      <c r="AP135" s="150"/>
      <c r="AQ135" s="150"/>
      <c r="AR135" s="150"/>
      <c r="AS135" s="150"/>
      <c r="AT135" s="150"/>
      <c r="AU135" s="150"/>
      <c r="AV135" s="150"/>
      <c r="AW135" s="150"/>
      <c r="AX135" s="150"/>
      <c r="AY135" s="150"/>
      <c r="AZ135" s="150"/>
      <c r="BA135" s="150"/>
      <c r="BB135" s="150"/>
      <c r="BC135" s="150"/>
      <c r="BD135" s="150"/>
      <c r="BE135" s="150"/>
      <c r="BF135" s="150"/>
      <c r="BG135" s="150"/>
      <c r="BH135" s="150"/>
      <c r="BI135" s="150"/>
      <c r="BJ135" s="152"/>
      <c r="BK135" s="32" t="str">
        <f t="shared" si="70"/>
        <v>ENT_01_C4-23_バックアップ_臨床サマリーモジュール_臨床サマリー情報レコード.sql</v>
      </c>
      <c r="BL135" s="32">
        <v>1</v>
      </c>
    </row>
    <row r="136" spans="1:64" ht="37.5" customHeight="1" outlineLevel="1">
      <c r="A136" s="34" t="str">
        <f t="shared" si="69"/>
        <v>バックアップ_臨床サマリーモジュール_外来受診レコード</v>
      </c>
      <c r="B136" s="143" t="str">
        <f t="shared" si="8"/>
        <v>01</v>
      </c>
      <c r="C136" s="144"/>
      <c r="D136" s="144"/>
      <c r="E136" s="144"/>
      <c r="F136" s="145"/>
      <c r="G136" s="146" t="s">
        <v>196</v>
      </c>
      <c r="H136" s="147"/>
      <c r="I136" s="147"/>
      <c r="J136" s="147"/>
      <c r="K136" s="147"/>
      <c r="L136" s="147"/>
      <c r="M136" s="147"/>
      <c r="N136" s="148"/>
      <c r="O136" s="81" t="s">
        <v>3141</v>
      </c>
      <c r="P136" s="140" t="s">
        <v>1495</v>
      </c>
      <c r="Q136" s="141"/>
      <c r="R136" s="141"/>
      <c r="S136" s="141"/>
      <c r="T136" s="141"/>
      <c r="U136" s="141"/>
      <c r="V136" s="141"/>
      <c r="W136" s="141"/>
      <c r="X136" s="141"/>
      <c r="Y136" s="141"/>
      <c r="Z136" s="141"/>
      <c r="AA136" s="141"/>
      <c r="AB136" s="141"/>
      <c r="AC136" s="141"/>
      <c r="AD136" s="142"/>
      <c r="AE136" s="149" t="str">
        <f t="shared" ca="1" si="64"/>
        <v>sny_202310_backup_merge_mml_sm_out_patient</v>
      </c>
      <c r="AF136" s="150"/>
      <c r="AG136" s="150"/>
      <c r="AH136" s="150"/>
      <c r="AI136" s="150"/>
      <c r="AJ136" s="150"/>
      <c r="AK136" s="150"/>
      <c r="AL136" s="151"/>
      <c r="AM136" s="149" t="str">
        <f t="shared" ca="1" si="65"/>
        <v>臨床サマリーモジュール_外来受診レコードテーブルから組入れ条件の第一条件で絞り込んだ結果を格納するテーブル</v>
      </c>
      <c r="AN136" s="150"/>
      <c r="AO136" s="150"/>
      <c r="AP136" s="150"/>
      <c r="AQ136" s="150"/>
      <c r="AR136" s="150"/>
      <c r="AS136" s="150"/>
      <c r="AT136" s="150"/>
      <c r="AU136" s="150"/>
      <c r="AV136" s="150"/>
      <c r="AW136" s="150"/>
      <c r="AX136" s="150"/>
      <c r="AY136" s="150"/>
      <c r="AZ136" s="150"/>
      <c r="BA136" s="150"/>
      <c r="BB136" s="150"/>
      <c r="BC136" s="150"/>
      <c r="BD136" s="150"/>
      <c r="BE136" s="150"/>
      <c r="BF136" s="150"/>
      <c r="BG136" s="150"/>
      <c r="BH136" s="150"/>
      <c r="BI136" s="150"/>
      <c r="BJ136" s="152"/>
      <c r="BK136" s="32" t="str">
        <f t="shared" si="70"/>
        <v>ENT_01_C4-24_バックアップ_臨床サマリーモジュール_外来受診レコード.sql</v>
      </c>
      <c r="BL136" s="32">
        <v>1</v>
      </c>
    </row>
    <row r="137" spans="1:64" ht="37.5" customHeight="1" outlineLevel="1">
      <c r="A137" s="34" t="str">
        <f t="shared" si="69"/>
        <v>バックアップ_臨床サマリーモジュール_入院レコード</v>
      </c>
      <c r="B137" s="143" t="str">
        <f t="shared" si="8"/>
        <v>01</v>
      </c>
      <c r="C137" s="144"/>
      <c r="D137" s="144"/>
      <c r="E137" s="144"/>
      <c r="F137" s="145"/>
      <c r="G137" s="146" t="s">
        <v>196</v>
      </c>
      <c r="H137" s="147"/>
      <c r="I137" s="147"/>
      <c r="J137" s="147"/>
      <c r="K137" s="147"/>
      <c r="L137" s="147"/>
      <c r="M137" s="147"/>
      <c r="N137" s="148"/>
      <c r="O137" s="81" t="s">
        <v>3142</v>
      </c>
      <c r="P137" s="140" t="s">
        <v>1512</v>
      </c>
      <c r="Q137" s="141"/>
      <c r="R137" s="141"/>
      <c r="S137" s="141"/>
      <c r="T137" s="141"/>
      <c r="U137" s="141"/>
      <c r="V137" s="141"/>
      <c r="W137" s="141"/>
      <c r="X137" s="141"/>
      <c r="Y137" s="141"/>
      <c r="Z137" s="141"/>
      <c r="AA137" s="141"/>
      <c r="AB137" s="141"/>
      <c r="AC137" s="141"/>
      <c r="AD137" s="142"/>
      <c r="AE137" s="149" t="str">
        <f t="shared" ca="1" si="64"/>
        <v>sny_202310_backup_merge_mml_sm_in_patient</v>
      </c>
      <c r="AF137" s="150"/>
      <c r="AG137" s="150"/>
      <c r="AH137" s="150"/>
      <c r="AI137" s="150"/>
      <c r="AJ137" s="150"/>
      <c r="AK137" s="150"/>
      <c r="AL137" s="151"/>
      <c r="AM137" s="149" t="str">
        <f t="shared" ca="1" si="65"/>
        <v>臨床サマリーモジュール_入院レコードテーブルから組入れ条件の第一条件で絞り込んだ結果を格納するテーブル</v>
      </c>
      <c r="AN137" s="150"/>
      <c r="AO137" s="150"/>
      <c r="AP137" s="150"/>
      <c r="AQ137" s="150"/>
      <c r="AR137" s="150"/>
      <c r="AS137" s="150"/>
      <c r="AT137" s="150"/>
      <c r="AU137" s="150"/>
      <c r="AV137" s="150"/>
      <c r="AW137" s="150"/>
      <c r="AX137" s="150"/>
      <c r="AY137" s="150"/>
      <c r="AZ137" s="150"/>
      <c r="BA137" s="150"/>
      <c r="BB137" s="150"/>
      <c r="BC137" s="150"/>
      <c r="BD137" s="150"/>
      <c r="BE137" s="150"/>
      <c r="BF137" s="150"/>
      <c r="BG137" s="150"/>
      <c r="BH137" s="150"/>
      <c r="BI137" s="150"/>
      <c r="BJ137" s="152"/>
      <c r="BK137" s="32" t="str">
        <f t="shared" si="70"/>
        <v>ENT_01_C4-25_バックアップ_臨床サマリーモジュール_入院レコード.sql</v>
      </c>
      <c r="BL137" s="32">
        <v>1</v>
      </c>
    </row>
    <row r="138" spans="1:64" ht="37.5" customHeight="1" outlineLevel="1">
      <c r="A138" s="34" t="str">
        <f t="shared" si="69"/>
        <v>バックアップ_臨床サマリーモジュール_経過記録レコード</v>
      </c>
      <c r="B138" s="143" t="str">
        <f t="shared" si="8"/>
        <v>01</v>
      </c>
      <c r="C138" s="144"/>
      <c r="D138" s="144"/>
      <c r="E138" s="144"/>
      <c r="F138" s="145"/>
      <c r="G138" s="146" t="s">
        <v>196</v>
      </c>
      <c r="H138" s="147"/>
      <c r="I138" s="147"/>
      <c r="J138" s="147"/>
      <c r="K138" s="147"/>
      <c r="L138" s="147"/>
      <c r="M138" s="147"/>
      <c r="N138" s="148"/>
      <c r="O138" s="81" t="s">
        <v>3143</v>
      </c>
      <c r="P138" s="140" t="s">
        <v>1538</v>
      </c>
      <c r="Q138" s="141"/>
      <c r="R138" s="141"/>
      <c r="S138" s="141"/>
      <c r="T138" s="141"/>
      <c r="U138" s="141"/>
      <c r="V138" s="141"/>
      <c r="W138" s="141"/>
      <c r="X138" s="141"/>
      <c r="Y138" s="141"/>
      <c r="Z138" s="141"/>
      <c r="AA138" s="141"/>
      <c r="AB138" s="141"/>
      <c r="AC138" s="141"/>
      <c r="AD138" s="142"/>
      <c r="AE138" s="149" t="str">
        <f t="shared" ca="1" si="64"/>
        <v>sny_202310_backup_merge_mml_sm_clinical_course</v>
      </c>
      <c r="AF138" s="150"/>
      <c r="AG138" s="150"/>
      <c r="AH138" s="150"/>
      <c r="AI138" s="150"/>
      <c r="AJ138" s="150"/>
      <c r="AK138" s="150"/>
      <c r="AL138" s="151"/>
      <c r="AM138" s="149" t="str">
        <f t="shared" ca="1" si="65"/>
        <v>臨床サマリーモジュール_経過記録レコードテーブルから組入れ条件の第一条件で絞り込んだ結果を格納するテーブル</v>
      </c>
      <c r="AN138" s="150"/>
      <c r="AO138" s="150"/>
      <c r="AP138" s="150"/>
      <c r="AQ138" s="150"/>
      <c r="AR138" s="150"/>
      <c r="AS138" s="150"/>
      <c r="AT138" s="150"/>
      <c r="AU138" s="150"/>
      <c r="AV138" s="150"/>
      <c r="AW138" s="150"/>
      <c r="AX138" s="150"/>
      <c r="AY138" s="150"/>
      <c r="AZ138" s="150"/>
      <c r="BA138" s="150"/>
      <c r="BB138" s="150"/>
      <c r="BC138" s="150"/>
      <c r="BD138" s="150"/>
      <c r="BE138" s="150"/>
      <c r="BF138" s="150"/>
      <c r="BG138" s="150"/>
      <c r="BH138" s="150"/>
      <c r="BI138" s="150"/>
      <c r="BJ138" s="152"/>
      <c r="BK138" s="32" t="str">
        <f t="shared" si="70"/>
        <v>ENT_01_C4-29_バックアップ_臨床サマリーモジュール_経過記録レコード.sql</v>
      </c>
      <c r="BL138" s="32">
        <v>1</v>
      </c>
    </row>
    <row r="139" spans="1:64" ht="37.5" customHeight="1" outlineLevel="1">
      <c r="A139" s="34" t="str">
        <f t="shared" si="69"/>
        <v>バックアップ_臨床サマリーモジュール_検査結果レコード</v>
      </c>
      <c r="B139" s="143" t="str">
        <f t="shared" si="8"/>
        <v>01</v>
      </c>
      <c r="C139" s="144"/>
      <c r="D139" s="144"/>
      <c r="E139" s="144"/>
      <c r="F139" s="145"/>
      <c r="G139" s="146" t="s">
        <v>196</v>
      </c>
      <c r="H139" s="147"/>
      <c r="I139" s="147"/>
      <c r="J139" s="147"/>
      <c r="K139" s="147"/>
      <c r="L139" s="147"/>
      <c r="M139" s="147"/>
      <c r="N139" s="148"/>
      <c r="O139" s="81" t="s">
        <v>3144</v>
      </c>
      <c r="P139" s="140" t="s">
        <v>1553</v>
      </c>
      <c r="Q139" s="141"/>
      <c r="R139" s="141"/>
      <c r="S139" s="141"/>
      <c r="T139" s="141"/>
      <c r="U139" s="141"/>
      <c r="V139" s="141"/>
      <c r="W139" s="141"/>
      <c r="X139" s="141"/>
      <c r="Y139" s="141"/>
      <c r="Z139" s="141"/>
      <c r="AA139" s="141"/>
      <c r="AB139" s="141"/>
      <c r="AC139" s="141"/>
      <c r="AD139" s="142"/>
      <c r="AE139" s="149" t="str">
        <f t="shared" ca="1" si="64"/>
        <v>sny_202310_backup_merge_mml_sm_test_results</v>
      </c>
      <c r="AF139" s="150"/>
      <c r="AG139" s="150"/>
      <c r="AH139" s="150"/>
      <c r="AI139" s="150"/>
      <c r="AJ139" s="150"/>
      <c r="AK139" s="150"/>
      <c r="AL139" s="151"/>
      <c r="AM139" s="149" t="str">
        <f t="shared" ca="1" si="65"/>
        <v>臨床サマリーモジュール_検査結果レコードテーブルから組入れ条件の第一条件で絞り込んだ結果を格納するテーブル</v>
      </c>
      <c r="AN139" s="150"/>
      <c r="AO139" s="150"/>
      <c r="AP139" s="150"/>
      <c r="AQ139" s="150"/>
      <c r="AR139" s="150"/>
      <c r="AS139" s="150"/>
      <c r="AT139" s="150"/>
      <c r="AU139" s="150"/>
      <c r="AV139" s="150"/>
      <c r="AW139" s="150"/>
      <c r="AX139" s="150"/>
      <c r="AY139" s="150"/>
      <c r="AZ139" s="150"/>
      <c r="BA139" s="150"/>
      <c r="BB139" s="150"/>
      <c r="BC139" s="150"/>
      <c r="BD139" s="150"/>
      <c r="BE139" s="150"/>
      <c r="BF139" s="150"/>
      <c r="BG139" s="150"/>
      <c r="BH139" s="150"/>
      <c r="BI139" s="150"/>
      <c r="BJ139" s="152"/>
      <c r="BK139" s="32" t="str">
        <f t="shared" si="70"/>
        <v>ENT_01_C4-30_バックアップ_臨床サマリーモジュール_検査結果レコード.sql</v>
      </c>
      <c r="BL139" s="32">
        <v>1</v>
      </c>
    </row>
    <row r="140" spans="1:64" ht="37.5" customHeight="1" outlineLevel="1">
      <c r="A140" s="34" t="str">
        <f t="shared" si="69"/>
        <v>バックアップ_検歴情報モジュール_検歴情報</v>
      </c>
      <c r="B140" s="143" t="str">
        <f t="shared" si="8"/>
        <v>01</v>
      </c>
      <c r="C140" s="144"/>
      <c r="D140" s="144"/>
      <c r="E140" s="144"/>
      <c r="F140" s="145"/>
      <c r="G140" s="146" t="s">
        <v>196</v>
      </c>
      <c r="H140" s="147"/>
      <c r="I140" s="147"/>
      <c r="J140" s="147"/>
      <c r="K140" s="147"/>
      <c r="L140" s="147"/>
      <c r="M140" s="147"/>
      <c r="N140" s="148"/>
      <c r="O140" s="81" t="s">
        <v>3145</v>
      </c>
      <c r="P140" s="140" t="s">
        <v>1563</v>
      </c>
      <c r="Q140" s="141"/>
      <c r="R140" s="141"/>
      <c r="S140" s="141"/>
      <c r="T140" s="141"/>
      <c r="U140" s="141"/>
      <c r="V140" s="141"/>
      <c r="W140" s="141"/>
      <c r="X140" s="141"/>
      <c r="Y140" s="141"/>
      <c r="Z140" s="141"/>
      <c r="AA140" s="141"/>
      <c r="AB140" s="141"/>
      <c r="AC140" s="141"/>
      <c r="AD140" s="142"/>
      <c r="AE140" s="149" t="str">
        <f t="shared" ca="1" si="64"/>
        <v>sny_202310_backup_merge_mml_lb_test</v>
      </c>
      <c r="AF140" s="150"/>
      <c r="AG140" s="150"/>
      <c r="AH140" s="150"/>
      <c r="AI140" s="150"/>
      <c r="AJ140" s="150"/>
      <c r="AK140" s="150"/>
      <c r="AL140" s="151"/>
      <c r="AM140" s="149" t="str">
        <f t="shared" ca="1" si="65"/>
        <v>検歴情報モジュール_検歴情報テーブルから組入れ条件の第一条件で絞り込んだ結果を格納するテーブル</v>
      </c>
      <c r="AN140" s="150"/>
      <c r="AO140" s="150"/>
      <c r="AP140" s="150"/>
      <c r="AQ140" s="150"/>
      <c r="AR140" s="150"/>
      <c r="AS140" s="150"/>
      <c r="AT140" s="150"/>
      <c r="AU140" s="150"/>
      <c r="AV140" s="150"/>
      <c r="AW140" s="150"/>
      <c r="AX140" s="150"/>
      <c r="AY140" s="150"/>
      <c r="AZ140" s="150"/>
      <c r="BA140" s="150"/>
      <c r="BB140" s="150"/>
      <c r="BC140" s="150"/>
      <c r="BD140" s="150"/>
      <c r="BE140" s="150"/>
      <c r="BF140" s="150"/>
      <c r="BG140" s="150"/>
      <c r="BH140" s="150"/>
      <c r="BI140" s="150"/>
      <c r="BJ140" s="152"/>
      <c r="BK140" s="32" t="str">
        <f t="shared" si="70"/>
        <v>ENT_01_C4-31_バックアップ_検歴情報モジュール_検歴情報.sql</v>
      </c>
      <c r="BL140" s="32">
        <v>1</v>
      </c>
    </row>
    <row r="141" spans="1:64" ht="37.200000000000003" customHeight="1" outlineLevel="1">
      <c r="A141" s="34" t="str">
        <f t="shared" si="69"/>
        <v>バックアップ_検歴情報モジュール_検歴検体材料</v>
      </c>
      <c r="B141" s="143" t="str">
        <f t="shared" si="8"/>
        <v>01</v>
      </c>
      <c r="C141" s="144"/>
      <c r="D141" s="144"/>
      <c r="E141" s="144"/>
      <c r="F141" s="145"/>
      <c r="G141" s="146" t="s">
        <v>196</v>
      </c>
      <c r="H141" s="147"/>
      <c r="I141" s="147"/>
      <c r="J141" s="147"/>
      <c r="K141" s="147"/>
      <c r="L141" s="147"/>
      <c r="M141" s="147"/>
      <c r="N141" s="148"/>
      <c r="O141" s="81" t="s">
        <v>3146</v>
      </c>
      <c r="P141" s="140" t="s">
        <v>1621</v>
      </c>
      <c r="Q141" s="141"/>
      <c r="R141" s="141"/>
      <c r="S141" s="141"/>
      <c r="T141" s="141"/>
      <c r="U141" s="141"/>
      <c r="V141" s="141"/>
      <c r="W141" s="141"/>
      <c r="X141" s="141"/>
      <c r="Y141" s="141"/>
      <c r="Z141" s="141"/>
      <c r="AA141" s="141"/>
      <c r="AB141" s="141"/>
      <c r="AC141" s="141"/>
      <c r="AD141" s="142"/>
      <c r="AE141" s="149" t="str">
        <f t="shared" ca="1" si="64"/>
        <v>sny_202310_backup_merge_mml_lb_specimen</v>
      </c>
      <c r="AF141" s="150"/>
      <c r="AG141" s="150"/>
      <c r="AH141" s="150"/>
      <c r="AI141" s="150"/>
      <c r="AJ141" s="150"/>
      <c r="AK141" s="150"/>
      <c r="AL141" s="151"/>
      <c r="AM141" s="149" t="str">
        <f t="shared" ca="1" si="65"/>
        <v>検歴情報モジュール_検歴検体材料テーブルから組入れ条件の第一条件で絞り込んだ結果を格納するテーブル</v>
      </c>
      <c r="AN141" s="150"/>
      <c r="AO141" s="150"/>
      <c r="AP141" s="150"/>
      <c r="AQ141" s="150"/>
      <c r="AR141" s="150"/>
      <c r="AS141" s="150"/>
      <c r="AT141" s="150"/>
      <c r="AU141" s="150"/>
      <c r="AV141" s="150"/>
      <c r="AW141" s="150"/>
      <c r="AX141" s="150"/>
      <c r="AY141" s="150"/>
      <c r="AZ141" s="150"/>
      <c r="BA141" s="150"/>
      <c r="BB141" s="150"/>
      <c r="BC141" s="150"/>
      <c r="BD141" s="150"/>
      <c r="BE141" s="150"/>
      <c r="BF141" s="150"/>
      <c r="BG141" s="150"/>
      <c r="BH141" s="150"/>
      <c r="BI141" s="150"/>
      <c r="BJ141" s="152"/>
      <c r="BK141" s="32" t="str">
        <f t="shared" si="70"/>
        <v>ENT_01_C4-33_バックアップ_検歴情報モジュール_検歴検体材料.sql</v>
      </c>
      <c r="BL141" s="32">
        <v>1</v>
      </c>
    </row>
    <row r="142" spans="1:64" ht="37.5" customHeight="1" outlineLevel="1">
      <c r="A142" s="34" t="str">
        <f t="shared" si="69"/>
        <v>バックアップ_検歴情報モジュール_検歴項目情報</v>
      </c>
      <c r="B142" s="143" t="str">
        <f t="shared" si="8"/>
        <v>01</v>
      </c>
      <c r="C142" s="144"/>
      <c r="D142" s="144"/>
      <c r="E142" s="144"/>
      <c r="F142" s="145"/>
      <c r="G142" s="146" t="s">
        <v>196</v>
      </c>
      <c r="H142" s="147"/>
      <c r="I142" s="147"/>
      <c r="J142" s="147"/>
      <c r="K142" s="147"/>
      <c r="L142" s="147"/>
      <c r="M142" s="147"/>
      <c r="N142" s="148"/>
      <c r="O142" s="81" t="s">
        <v>3147</v>
      </c>
      <c r="P142" s="140" t="s">
        <v>1640</v>
      </c>
      <c r="Q142" s="141"/>
      <c r="R142" s="141"/>
      <c r="S142" s="141"/>
      <c r="T142" s="141"/>
      <c r="U142" s="141"/>
      <c r="V142" s="141"/>
      <c r="W142" s="141"/>
      <c r="X142" s="141"/>
      <c r="Y142" s="141"/>
      <c r="Z142" s="141"/>
      <c r="AA142" s="141"/>
      <c r="AB142" s="141"/>
      <c r="AC142" s="141"/>
      <c r="AD142" s="142"/>
      <c r="AE142" s="149" t="str">
        <f t="shared" ca="1" si="64"/>
        <v>sny_202310_backup_merge_mml_lb_item</v>
      </c>
      <c r="AF142" s="150"/>
      <c r="AG142" s="150"/>
      <c r="AH142" s="150"/>
      <c r="AI142" s="150"/>
      <c r="AJ142" s="150"/>
      <c r="AK142" s="150"/>
      <c r="AL142" s="151"/>
      <c r="AM142" s="149" t="str">
        <f t="shared" ca="1" si="65"/>
        <v>検歴情報モジュール_検歴項目情報テーブルから組入れ条件の第一条件で絞り込んだ結果を格納するテーブル</v>
      </c>
      <c r="AN142" s="150"/>
      <c r="AO142" s="150"/>
      <c r="AP142" s="150"/>
      <c r="AQ142" s="150"/>
      <c r="AR142" s="150"/>
      <c r="AS142" s="150"/>
      <c r="AT142" s="150"/>
      <c r="AU142" s="150"/>
      <c r="AV142" s="150"/>
      <c r="AW142" s="150"/>
      <c r="AX142" s="150"/>
      <c r="AY142" s="150"/>
      <c r="AZ142" s="150"/>
      <c r="BA142" s="150"/>
      <c r="BB142" s="150"/>
      <c r="BC142" s="150"/>
      <c r="BD142" s="150"/>
      <c r="BE142" s="150"/>
      <c r="BF142" s="150"/>
      <c r="BG142" s="150"/>
      <c r="BH142" s="150"/>
      <c r="BI142" s="150"/>
      <c r="BJ142" s="152"/>
      <c r="BK142" s="32" t="str">
        <f t="shared" si="70"/>
        <v>ENT_01_C4-35_バックアップ_検歴情報モジュール_検歴項目情報.sql</v>
      </c>
      <c r="BL142" s="32">
        <v>1</v>
      </c>
    </row>
    <row r="143" spans="1:64" ht="37.5" customHeight="1" outlineLevel="1">
      <c r="A143" s="34" t="str">
        <f t="shared" ref="A143:A145" si="71">P143</f>
        <v>バックアップ_バイタルサインモジュール_バイタルサイン</v>
      </c>
      <c r="B143" s="143" t="str">
        <f t="shared" si="8"/>
        <v>01</v>
      </c>
      <c r="C143" s="144"/>
      <c r="D143" s="144"/>
      <c r="E143" s="144"/>
      <c r="F143" s="145"/>
      <c r="G143" s="146" t="s">
        <v>196</v>
      </c>
      <c r="H143" s="147"/>
      <c r="I143" s="147"/>
      <c r="J143" s="147"/>
      <c r="K143" s="147"/>
      <c r="L143" s="147"/>
      <c r="M143" s="147"/>
      <c r="N143" s="148"/>
      <c r="O143" s="81" t="s">
        <v>3148</v>
      </c>
      <c r="P143" s="140" t="s">
        <v>1698</v>
      </c>
      <c r="Q143" s="141"/>
      <c r="R143" s="141"/>
      <c r="S143" s="141"/>
      <c r="T143" s="141"/>
      <c r="U143" s="141"/>
      <c r="V143" s="141"/>
      <c r="W143" s="141"/>
      <c r="X143" s="141"/>
      <c r="Y143" s="141"/>
      <c r="Z143" s="141"/>
      <c r="AA143" s="141"/>
      <c r="AB143" s="141"/>
      <c r="AC143" s="141"/>
      <c r="AD143" s="142"/>
      <c r="AE143" s="149" t="str">
        <f t="shared" ref="AE143:AE145" ca="1" si="72">IFERROR(INDIRECT(P143&amp;"!D8"),"")</f>
        <v>sny_202310_backup_merge_mml_vs_vitalsign</v>
      </c>
      <c r="AF143" s="150"/>
      <c r="AG143" s="150"/>
      <c r="AH143" s="150"/>
      <c r="AI143" s="150"/>
      <c r="AJ143" s="150"/>
      <c r="AK143" s="150"/>
      <c r="AL143" s="151"/>
      <c r="AM143" s="149" t="str">
        <f t="shared" ref="AM143:AM145" ca="1" si="73">IFERROR(INDIRECT(P143&amp;"!D9"),"")</f>
        <v>バイタルサインモジュール_バイタルサインテーブルから組入れ条件の第一条件で絞り込んだ結果を格納するテーブル</v>
      </c>
      <c r="AN143" s="150"/>
      <c r="AO143" s="150"/>
      <c r="AP143" s="150"/>
      <c r="AQ143" s="150"/>
      <c r="AR143" s="150"/>
      <c r="AS143" s="150"/>
      <c r="AT143" s="150"/>
      <c r="AU143" s="150"/>
      <c r="AV143" s="150"/>
      <c r="AW143" s="150"/>
      <c r="AX143" s="150"/>
      <c r="AY143" s="150"/>
      <c r="AZ143" s="150"/>
      <c r="BA143" s="150"/>
      <c r="BB143" s="150"/>
      <c r="BC143" s="150"/>
      <c r="BD143" s="150"/>
      <c r="BE143" s="150"/>
      <c r="BF143" s="150"/>
      <c r="BG143" s="150"/>
      <c r="BH143" s="150"/>
      <c r="BI143" s="150"/>
      <c r="BJ143" s="152"/>
      <c r="BK143" s="32" t="str">
        <f t="shared" si="70"/>
        <v>ENT_01_C4-37_バックアップ_バイタルサインモジュール_バイタルサイン.sql</v>
      </c>
    </row>
    <row r="144" spans="1:64" ht="37.5" customHeight="1" outlineLevel="1">
      <c r="A144" s="34" t="str">
        <f t="shared" si="71"/>
        <v>バックアップ_バイタルサインモジュール_記録項目</v>
      </c>
      <c r="B144" s="143" t="str">
        <f t="shared" si="8"/>
        <v>01</v>
      </c>
      <c r="C144" s="144"/>
      <c r="D144" s="144"/>
      <c r="E144" s="144"/>
      <c r="F144" s="145"/>
      <c r="G144" s="146" t="s">
        <v>196</v>
      </c>
      <c r="H144" s="147"/>
      <c r="I144" s="147"/>
      <c r="J144" s="147"/>
      <c r="K144" s="147"/>
      <c r="L144" s="147"/>
      <c r="M144" s="147"/>
      <c r="N144" s="148"/>
      <c r="O144" s="81" t="s">
        <v>3149</v>
      </c>
      <c r="P144" s="140" t="s">
        <v>1735</v>
      </c>
      <c r="Q144" s="141"/>
      <c r="R144" s="141"/>
      <c r="S144" s="141"/>
      <c r="T144" s="141"/>
      <c r="U144" s="141"/>
      <c r="V144" s="141"/>
      <c r="W144" s="141"/>
      <c r="X144" s="141"/>
      <c r="Y144" s="141"/>
      <c r="Z144" s="141"/>
      <c r="AA144" s="141"/>
      <c r="AB144" s="141"/>
      <c r="AC144" s="141"/>
      <c r="AD144" s="142"/>
      <c r="AE144" s="149" t="str">
        <f t="shared" ca="1" si="72"/>
        <v>sny_202310_backup_merge_mml_vs_item</v>
      </c>
      <c r="AF144" s="150"/>
      <c r="AG144" s="150"/>
      <c r="AH144" s="150"/>
      <c r="AI144" s="150"/>
      <c r="AJ144" s="150"/>
      <c r="AK144" s="150"/>
      <c r="AL144" s="151"/>
      <c r="AM144" s="149" t="str">
        <f t="shared" ca="1" si="73"/>
        <v>バイタルサインモジュール_記録項目テーブルから組入れ条件の第一条件で絞り込んだ結果を格納するテーブル</v>
      </c>
      <c r="AN144" s="150"/>
      <c r="AO144" s="150"/>
      <c r="AP144" s="150"/>
      <c r="AQ144" s="150"/>
      <c r="AR144" s="150"/>
      <c r="AS144" s="150"/>
      <c r="AT144" s="150"/>
      <c r="AU144" s="150"/>
      <c r="AV144" s="150"/>
      <c r="AW144" s="150"/>
      <c r="AX144" s="150"/>
      <c r="AY144" s="150"/>
      <c r="AZ144" s="150"/>
      <c r="BA144" s="150"/>
      <c r="BB144" s="150"/>
      <c r="BC144" s="150"/>
      <c r="BD144" s="150"/>
      <c r="BE144" s="150"/>
      <c r="BF144" s="150"/>
      <c r="BG144" s="150"/>
      <c r="BH144" s="150"/>
      <c r="BI144" s="150"/>
      <c r="BJ144" s="152"/>
      <c r="BK144" s="32" t="str">
        <f t="shared" si="70"/>
        <v>ENT_01_C4-38_バックアップ_バイタルサインモジュール_記録項目.sql</v>
      </c>
    </row>
    <row r="145" spans="1:63" ht="37.5" customHeight="1" outlineLevel="1">
      <c r="A145" s="34" t="str">
        <f t="shared" si="71"/>
        <v>バックアップ_体温表モジュール_バイタルサイン</v>
      </c>
      <c r="B145" s="143" t="str">
        <f t="shared" si="8"/>
        <v>01</v>
      </c>
      <c r="C145" s="144"/>
      <c r="D145" s="144"/>
      <c r="E145" s="144"/>
      <c r="F145" s="145"/>
      <c r="G145" s="146" t="s">
        <v>196</v>
      </c>
      <c r="H145" s="147"/>
      <c r="I145" s="147"/>
      <c r="J145" s="147"/>
      <c r="K145" s="147"/>
      <c r="L145" s="147"/>
      <c r="M145" s="147"/>
      <c r="N145" s="148"/>
      <c r="O145" s="81" t="s">
        <v>3150</v>
      </c>
      <c r="P145" s="140" t="s">
        <v>1749</v>
      </c>
      <c r="Q145" s="141"/>
      <c r="R145" s="141"/>
      <c r="S145" s="141"/>
      <c r="T145" s="141"/>
      <c r="U145" s="141"/>
      <c r="V145" s="141"/>
      <c r="W145" s="141"/>
      <c r="X145" s="141"/>
      <c r="Y145" s="141"/>
      <c r="Z145" s="141"/>
      <c r="AA145" s="141"/>
      <c r="AB145" s="141"/>
      <c r="AC145" s="141"/>
      <c r="AD145" s="142"/>
      <c r="AE145" s="149" t="str">
        <f t="shared" ca="1" si="72"/>
        <v>sny_202310_backup_merge_mml_fs_vitalsign</v>
      </c>
      <c r="AF145" s="150"/>
      <c r="AG145" s="150"/>
      <c r="AH145" s="150"/>
      <c r="AI145" s="150"/>
      <c r="AJ145" s="150"/>
      <c r="AK145" s="150"/>
      <c r="AL145" s="151"/>
      <c r="AM145" s="149" t="str">
        <f t="shared" ca="1" si="73"/>
        <v>体温表モジュール_バイタルサインテーブルから組入れ条件の第一条件で絞り込んだ結果を格納するテーブル</v>
      </c>
      <c r="AN145" s="150"/>
      <c r="AO145" s="150"/>
      <c r="AP145" s="150"/>
      <c r="AQ145" s="150"/>
      <c r="AR145" s="150"/>
      <c r="AS145" s="150"/>
      <c r="AT145" s="150"/>
      <c r="AU145" s="150"/>
      <c r="AV145" s="150"/>
      <c r="AW145" s="150"/>
      <c r="AX145" s="150"/>
      <c r="AY145" s="150"/>
      <c r="AZ145" s="150"/>
      <c r="BA145" s="150"/>
      <c r="BB145" s="150"/>
      <c r="BC145" s="150"/>
      <c r="BD145" s="150"/>
      <c r="BE145" s="150"/>
      <c r="BF145" s="150"/>
      <c r="BG145" s="150"/>
      <c r="BH145" s="150"/>
      <c r="BI145" s="150"/>
      <c r="BJ145" s="152"/>
      <c r="BK145" s="32" t="str">
        <f t="shared" si="70"/>
        <v>ENT_01_C4-40_バックアップ_体温表モジュール_バイタルサイン.sql</v>
      </c>
    </row>
    <row r="146" spans="1:63" ht="37.5" customHeight="1" outlineLevel="1">
      <c r="A146" s="34" t="str">
        <f>P146</f>
        <v>バックアップ_体温表モジュール_記録項目</v>
      </c>
      <c r="B146" s="143" t="str">
        <f t="shared" si="8"/>
        <v>01</v>
      </c>
      <c r="C146" s="144"/>
      <c r="D146" s="144"/>
      <c r="E146" s="144"/>
      <c r="F146" s="145"/>
      <c r="G146" s="146" t="s">
        <v>196</v>
      </c>
      <c r="H146" s="147"/>
      <c r="I146" s="147"/>
      <c r="J146" s="147"/>
      <c r="K146" s="147"/>
      <c r="L146" s="147"/>
      <c r="M146" s="147"/>
      <c r="N146" s="148"/>
      <c r="O146" s="81" t="s">
        <v>3151</v>
      </c>
      <c r="P146" s="140" t="s">
        <v>1753</v>
      </c>
      <c r="Q146" s="141"/>
      <c r="R146" s="141"/>
      <c r="S146" s="141"/>
      <c r="T146" s="141"/>
      <c r="U146" s="141"/>
      <c r="V146" s="141"/>
      <c r="W146" s="141"/>
      <c r="X146" s="141"/>
      <c r="Y146" s="141"/>
      <c r="Z146" s="141"/>
      <c r="AA146" s="141"/>
      <c r="AB146" s="141"/>
      <c r="AC146" s="141"/>
      <c r="AD146" s="142"/>
      <c r="AE146" s="149" t="str">
        <f t="shared" ca="1" si="64"/>
        <v>sny_202310_backup_merge_mml_fs_item</v>
      </c>
      <c r="AF146" s="150"/>
      <c r="AG146" s="150"/>
      <c r="AH146" s="150"/>
      <c r="AI146" s="150"/>
      <c r="AJ146" s="150"/>
      <c r="AK146" s="150"/>
      <c r="AL146" s="151"/>
      <c r="AM146" s="149" t="str">
        <f t="shared" ca="1" si="65"/>
        <v>体温表モジュール_記録項目テーブルから組入れ条件の第一条件で絞り込んだ結果を格納するテーブル</v>
      </c>
      <c r="AN146" s="150"/>
      <c r="AO146" s="150"/>
      <c r="AP146" s="150"/>
      <c r="AQ146" s="150"/>
      <c r="AR146" s="150"/>
      <c r="AS146" s="150"/>
      <c r="AT146" s="150"/>
      <c r="AU146" s="150"/>
      <c r="AV146" s="150"/>
      <c r="AW146" s="150"/>
      <c r="AX146" s="150"/>
      <c r="AY146" s="150"/>
      <c r="AZ146" s="150"/>
      <c r="BA146" s="150"/>
      <c r="BB146" s="150"/>
      <c r="BC146" s="150"/>
      <c r="BD146" s="150"/>
      <c r="BE146" s="150"/>
      <c r="BF146" s="150"/>
      <c r="BG146" s="150"/>
      <c r="BH146" s="150"/>
      <c r="BI146" s="150"/>
      <c r="BJ146" s="152"/>
      <c r="BK146" s="32" t="str">
        <f t="shared" si="70"/>
        <v>ENT_01_C4-41_バックアップ_体温表モジュール_記録項目.sql</v>
      </c>
    </row>
    <row r="147" spans="1:63" ht="37.5" customHeight="1">
      <c r="A147" s="34" t="str">
        <f t="shared" ref="A147:A192" si="74">P147</f>
        <v>組入れ_対象施設</v>
      </c>
      <c r="B147" s="209" t="str">
        <f t="shared" ref="B147:B152" si="75">TEXT(11,"00")</f>
        <v>11</v>
      </c>
      <c r="C147" s="210"/>
      <c r="D147" s="210"/>
      <c r="E147" s="210"/>
      <c r="F147" s="211"/>
      <c r="G147" s="215" t="s">
        <v>197</v>
      </c>
      <c r="H147" s="216"/>
      <c r="I147" s="216"/>
      <c r="J147" s="216"/>
      <c r="K147" s="216"/>
      <c r="L147" s="216"/>
      <c r="M147" s="216"/>
      <c r="N147" s="217"/>
      <c r="O147" s="81" t="str">
        <f t="shared" ref="O147:O152" si="76">IF(P147&lt;&gt;"","ENT_"&amp;RIGHT(B147,2)&amp;"_"&amp;TEXT(ROW(O147)-ROW(O$147)+1,"00"),"")</f>
        <v>ENT_11_01</v>
      </c>
      <c r="P147" s="140" t="s">
        <v>3845</v>
      </c>
      <c r="Q147" s="141"/>
      <c r="R147" s="141"/>
      <c r="S147" s="141"/>
      <c r="T147" s="141"/>
      <c r="U147" s="141"/>
      <c r="V147" s="141"/>
      <c r="W147" s="141"/>
      <c r="X147" s="141"/>
      <c r="Y147" s="141"/>
      <c r="Z147" s="141"/>
      <c r="AA147" s="141"/>
      <c r="AB147" s="141"/>
      <c r="AC147" s="141"/>
      <c r="AD147" s="142"/>
      <c r="AE147" s="149" t="str">
        <f t="shared" ref="AE147:AE148" ca="1" si="77">IFERROR(INDIRECT(P147&amp;"!D8"),"")</f>
        <v>sny_202310_enroll_shisetsu</v>
      </c>
      <c r="AF147" s="150"/>
      <c r="AG147" s="150"/>
      <c r="AH147" s="150"/>
      <c r="AI147" s="150"/>
      <c r="AJ147" s="150"/>
      <c r="AK147" s="150"/>
      <c r="AL147" s="151"/>
      <c r="AM147" s="149" t="str">
        <f t="shared" ref="AM147:AM148" ca="1" si="78">IFERROR(INDIRECT(P147&amp;"!D9"),"")</f>
        <v>バックアップ_処理対象施設マスタ管理テーブルから組入れ条件で絞り込んだ結果を登録するテーブル</v>
      </c>
      <c r="AN147" s="150"/>
      <c r="AO147" s="150"/>
      <c r="AP147" s="150"/>
      <c r="AQ147" s="150"/>
      <c r="AR147" s="150"/>
      <c r="AS147" s="150"/>
      <c r="AT147" s="150"/>
      <c r="AU147" s="150"/>
      <c r="AV147" s="150"/>
      <c r="AW147" s="150"/>
      <c r="AX147" s="150"/>
      <c r="AY147" s="150"/>
      <c r="AZ147" s="150"/>
      <c r="BA147" s="150"/>
      <c r="BB147" s="150"/>
      <c r="BC147" s="150"/>
      <c r="BD147" s="150"/>
      <c r="BE147" s="150"/>
      <c r="BF147" s="150"/>
      <c r="BG147" s="150"/>
      <c r="BH147" s="150"/>
      <c r="BI147" s="150"/>
      <c r="BJ147" s="152"/>
      <c r="BK147" s="32" t="str">
        <f t="shared" si="39"/>
        <v>ENT_11_01_組入れ_対象施設.sql</v>
      </c>
    </row>
    <row r="148" spans="1:63" ht="37.5" customHeight="1">
      <c r="A148" s="34" t="str">
        <f t="shared" si="74"/>
        <v>組入れ_対象疾患</v>
      </c>
      <c r="B148" s="143" t="str">
        <f t="shared" si="75"/>
        <v>11</v>
      </c>
      <c r="C148" s="144"/>
      <c r="D148" s="144"/>
      <c r="E148" s="144"/>
      <c r="F148" s="145"/>
      <c r="G148" s="146" t="s">
        <v>197</v>
      </c>
      <c r="H148" s="147"/>
      <c r="I148" s="147"/>
      <c r="J148" s="147"/>
      <c r="K148" s="147"/>
      <c r="L148" s="147"/>
      <c r="M148" s="147"/>
      <c r="N148" s="148"/>
      <c r="O148" s="81" t="str">
        <f t="shared" si="76"/>
        <v>ENT_11_02</v>
      </c>
      <c r="P148" s="140" t="s">
        <v>3858</v>
      </c>
      <c r="Q148" s="141"/>
      <c r="R148" s="141"/>
      <c r="S148" s="141"/>
      <c r="T148" s="141"/>
      <c r="U148" s="141"/>
      <c r="V148" s="141"/>
      <c r="W148" s="141"/>
      <c r="X148" s="141"/>
      <c r="Y148" s="141"/>
      <c r="Z148" s="141"/>
      <c r="AA148" s="141"/>
      <c r="AB148" s="141"/>
      <c r="AC148" s="141"/>
      <c r="AD148" s="142"/>
      <c r="AE148" s="149" t="str">
        <f t="shared" ca="1" si="77"/>
        <v>sny_202310_enroll_shikkan</v>
      </c>
      <c r="AF148" s="150"/>
      <c r="AG148" s="150"/>
      <c r="AH148" s="150"/>
      <c r="AI148" s="150"/>
      <c r="AJ148" s="150"/>
      <c r="AK148" s="150"/>
      <c r="AL148" s="151"/>
      <c r="AM148" s="149" t="str">
        <f t="shared" ca="1" si="78"/>
        <v>バックアップ_処理対象施設マスタ管理テーブルから組入れ条件で絞り込んだ結果を登録するテーブル</v>
      </c>
      <c r="AN148" s="150"/>
      <c r="AO148" s="150"/>
      <c r="AP148" s="150"/>
      <c r="AQ148" s="150"/>
      <c r="AR148" s="150"/>
      <c r="AS148" s="150"/>
      <c r="AT148" s="150"/>
      <c r="AU148" s="150"/>
      <c r="AV148" s="150"/>
      <c r="AW148" s="150"/>
      <c r="AX148" s="150"/>
      <c r="AY148" s="150"/>
      <c r="AZ148" s="150"/>
      <c r="BA148" s="150"/>
      <c r="BB148" s="150"/>
      <c r="BC148" s="150"/>
      <c r="BD148" s="150"/>
      <c r="BE148" s="150"/>
      <c r="BF148" s="150"/>
      <c r="BG148" s="150"/>
      <c r="BH148" s="150"/>
      <c r="BI148" s="150"/>
      <c r="BJ148" s="152"/>
      <c r="BK148" s="32" t="str">
        <f t="shared" ref="BK148" si="79">IF(P148&lt;&gt;"",O148&amp;"_"&amp;P148&amp;".sql","")</f>
        <v>ENT_11_02_組入れ_対象疾患.sql</v>
      </c>
    </row>
    <row r="149" spans="1:63" ht="37.5" customHeight="1">
      <c r="A149" s="34" t="str">
        <f t="shared" ref="A149:A150" si="80">P149</f>
        <v>組入れ_対象診療行為</v>
      </c>
      <c r="B149" s="143" t="str">
        <f t="shared" si="75"/>
        <v>11</v>
      </c>
      <c r="C149" s="144"/>
      <c r="D149" s="144"/>
      <c r="E149" s="144"/>
      <c r="F149" s="145"/>
      <c r="G149" s="146" t="s">
        <v>197</v>
      </c>
      <c r="H149" s="147"/>
      <c r="I149" s="147"/>
      <c r="J149" s="147"/>
      <c r="K149" s="147"/>
      <c r="L149" s="147"/>
      <c r="M149" s="147"/>
      <c r="N149" s="148"/>
      <c r="O149" s="81" t="str">
        <f t="shared" si="76"/>
        <v>ENT_11_03</v>
      </c>
      <c r="P149" s="140" t="s">
        <v>3822</v>
      </c>
      <c r="Q149" s="141"/>
      <c r="R149" s="141"/>
      <c r="S149" s="141"/>
      <c r="T149" s="141"/>
      <c r="U149" s="141"/>
      <c r="V149" s="141"/>
      <c r="W149" s="141"/>
      <c r="X149" s="141"/>
      <c r="Y149" s="141"/>
      <c r="Z149" s="141"/>
      <c r="AA149" s="141"/>
      <c r="AB149" s="141"/>
      <c r="AC149" s="141"/>
      <c r="AD149" s="142"/>
      <c r="AE149" s="149" t="str">
        <f t="shared" ref="AE149:AE150" ca="1" si="81">IFERROR(INDIRECT(P149&amp;"!D8"),"")</f>
        <v>sny_202310_enroll_shinryou_koui</v>
      </c>
      <c r="AF149" s="150"/>
      <c r="AG149" s="150"/>
      <c r="AH149" s="150"/>
      <c r="AI149" s="150"/>
      <c r="AJ149" s="150"/>
      <c r="AK149" s="150"/>
      <c r="AL149" s="151"/>
      <c r="AM149" s="149">
        <f t="shared" ref="AM149:AM150" ca="1" si="82">IFERROR(INDIRECT(P149&amp;"!D9"),"")</f>
        <v>0</v>
      </c>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2"/>
      <c r="BK149" s="32" t="str">
        <f t="shared" ref="BK149:BK150" si="83">IF(P149&lt;&gt;"",O149&amp;"_"&amp;P149&amp;".sql","")</f>
        <v>ENT_11_03_組入れ_対象診療行為.sql</v>
      </c>
    </row>
    <row r="150" spans="1:63" ht="37.5" customHeight="1">
      <c r="A150" s="34" t="str">
        <f t="shared" si="80"/>
        <v>組入れ_検体検査マスタ</v>
      </c>
      <c r="B150" s="143" t="str">
        <f t="shared" si="75"/>
        <v>11</v>
      </c>
      <c r="C150" s="144"/>
      <c r="D150" s="144"/>
      <c r="E150" s="144"/>
      <c r="F150" s="145"/>
      <c r="G150" s="146" t="s">
        <v>197</v>
      </c>
      <c r="H150" s="147"/>
      <c r="I150" s="147"/>
      <c r="J150" s="147"/>
      <c r="K150" s="147"/>
      <c r="L150" s="147"/>
      <c r="M150" s="147"/>
      <c r="N150" s="148"/>
      <c r="O150" s="81" t="str">
        <f t="shared" si="76"/>
        <v>ENT_11_04</v>
      </c>
      <c r="P150" s="140" t="s">
        <v>3864</v>
      </c>
      <c r="Q150" s="141"/>
      <c r="R150" s="141"/>
      <c r="S150" s="141"/>
      <c r="T150" s="141"/>
      <c r="U150" s="141"/>
      <c r="V150" s="141"/>
      <c r="W150" s="141"/>
      <c r="X150" s="141"/>
      <c r="Y150" s="141"/>
      <c r="Z150" s="141"/>
      <c r="AA150" s="141"/>
      <c r="AB150" s="141"/>
      <c r="AC150" s="141"/>
      <c r="AD150" s="142"/>
      <c r="AE150" s="149" t="str">
        <f t="shared" ca="1" si="81"/>
        <v>sny_202310_backup_mart_patient_basic__mt_kensa</v>
      </c>
      <c r="AF150" s="150"/>
      <c r="AG150" s="150"/>
      <c r="AH150" s="150"/>
      <c r="AI150" s="150"/>
      <c r="AJ150" s="150"/>
      <c r="AK150" s="150"/>
      <c r="AL150" s="151"/>
      <c r="AM150" s="149">
        <f t="shared" ca="1" si="82"/>
        <v>0</v>
      </c>
      <c r="AN150" s="150"/>
      <c r="AO150" s="150"/>
      <c r="AP150" s="150"/>
      <c r="AQ150" s="150"/>
      <c r="AR150" s="150"/>
      <c r="AS150" s="150"/>
      <c r="AT150" s="150"/>
      <c r="AU150" s="150"/>
      <c r="AV150" s="150"/>
      <c r="AW150" s="150"/>
      <c r="AX150" s="150"/>
      <c r="AY150" s="150"/>
      <c r="AZ150" s="150"/>
      <c r="BA150" s="150"/>
      <c r="BB150" s="150"/>
      <c r="BC150" s="150"/>
      <c r="BD150" s="150"/>
      <c r="BE150" s="150"/>
      <c r="BF150" s="150"/>
      <c r="BG150" s="150"/>
      <c r="BH150" s="150"/>
      <c r="BI150" s="150"/>
      <c r="BJ150" s="152"/>
      <c r="BK150" s="32" t="str">
        <f t="shared" si="83"/>
        <v>ENT_11_04_組入れ_検体検査マスタ.sql</v>
      </c>
    </row>
    <row r="151" spans="1:63" ht="37.5" customHeight="1">
      <c r="A151" s="34" t="str">
        <f t="shared" ref="A151" si="84">P151</f>
        <v>組入れ_対象検体検査</v>
      </c>
      <c r="B151" s="143" t="str">
        <f t="shared" si="75"/>
        <v>11</v>
      </c>
      <c r="C151" s="144"/>
      <c r="D151" s="144"/>
      <c r="E151" s="144"/>
      <c r="F151" s="145"/>
      <c r="G151" s="146" t="s">
        <v>197</v>
      </c>
      <c r="H151" s="147"/>
      <c r="I151" s="147"/>
      <c r="J151" s="147"/>
      <c r="K151" s="147"/>
      <c r="L151" s="147"/>
      <c r="M151" s="147"/>
      <c r="N151" s="148"/>
      <c r="O151" s="81" t="str">
        <f t="shared" si="76"/>
        <v>ENT_11_05</v>
      </c>
      <c r="P151" s="140" t="s">
        <v>3832</v>
      </c>
      <c r="Q151" s="141"/>
      <c r="R151" s="141"/>
      <c r="S151" s="141"/>
      <c r="T151" s="141"/>
      <c r="U151" s="141"/>
      <c r="V151" s="141"/>
      <c r="W151" s="141"/>
      <c r="X151" s="141"/>
      <c r="Y151" s="141"/>
      <c r="Z151" s="141"/>
      <c r="AA151" s="141"/>
      <c r="AB151" s="141"/>
      <c r="AC151" s="141"/>
      <c r="AD151" s="142"/>
      <c r="AE151" s="149" t="str">
        <f t="shared" ref="AE151" ca="1" si="85">IFERROR(INDIRECT(P151&amp;"!D8"),"")</f>
        <v>sny_202310_enroll_kensa</v>
      </c>
      <c r="AF151" s="150"/>
      <c r="AG151" s="150"/>
      <c r="AH151" s="150"/>
      <c r="AI151" s="150"/>
      <c r="AJ151" s="150"/>
      <c r="AK151" s="150"/>
      <c r="AL151" s="151"/>
      <c r="AM151" s="149" t="str">
        <f t="shared" ref="AM151" ca="1" si="86">IFERROR(INDIRECT(P151&amp;"!D9"),"")</f>
        <v>検査データのテーブルから組入れ条件で絞り込んだ結果を登録するテーブル</v>
      </c>
      <c r="AN151" s="150"/>
      <c r="AO151" s="150"/>
      <c r="AP151" s="150"/>
      <c r="AQ151" s="150"/>
      <c r="AR151" s="150"/>
      <c r="AS151" s="150"/>
      <c r="AT151" s="150"/>
      <c r="AU151" s="150"/>
      <c r="AV151" s="150"/>
      <c r="AW151" s="150"/>
      <c r="AX151" s="150"/>
      <c r="AY151" s="150"/>
      <c r="AZ151" s="150"/>
      <c r="BA151" s="150"/>
      <c r="BB151" s="150"/>
      <c r="BC151" s="150"/>
      <c r="BD151" s="150"/>
      <c r="BE151" s="150"/>
      <c r="BF151" s="150"/>
      <c r="BG151" s="150"/>
      <c r="BH151" s="150"/>
      <c r="BI151" s="150"/>
      <c r="BJ151" s="152"/>
      <c r="BK151" s="32" t="str">
        <f t="shared" ref="BK151" si="87">IF(P151&lt;&gt;"",O151&amp;"_"&amp;P151&amp;".sql","")</f>
        <v>ENT_11_05_組入れ_対象検体検査.sql</v>
      </c>
    </row>
    <row r="152" spans="1:63" ht="37.5" customHeight="1">
      <c r="A152" s="34" t="str">
        <f t="shared" ref="A152" si="88">P152</f>
        <v>組入れ_対象患者</v>
      </c>
      <c r="B152" s="143" t="str">
        <f t="shared" si="75"/>
        <v>11</v>
      </c>
      <c r="C152" s="144"/>
      <c r="D152" s="144"/>
      <c r="E152" s="144"/>
      <c r="F152" s="145"/>
      <c r="G152" s="146" t="s">
        <v>197</v>
      </c>
      <c r="H152" s="147"/>
      <c r="I152" s="147"/>
      <c r="J152" s="147"/>
      <c r="K152" s="147"/>
      <c r="L152" s="147"/>
      <c r="M152" s="147"/>
      <c r="N152" s="148"/>
      <c r="O152" s="81" t="str">
        <f t="shared" si="76"/>
        <v>ENT_11_06</v>
      </c>
      <c r="P152" s="140" t="s">
        <v>3846</v>
      </c>
      <c r="Q152" s="141"/>
      <c r="R152" s="141"/>
      <c r="S152" s="141"/>
      <c r="T152" s="141"/>
      <c r="U152" s="141"/>
      <c r="V152" s="141"/>
      <c r="W152" s="141"/>
      <c r="X152" s="141"/>
      <c r="Y152" s="141"/>
      <c r="Z152" s="141"/>
      <c r="AA152" s="141"/>
      <c r="AB152" s="141"/>
      <c r="AC152" s="141"/>
      <c r="AD152" s="142"/>
      <c r="AE152" s="149" t="str">
        <f t="shared" ref="AE152" ca="1" si="89">IFERROR(INDIRECT(P152&amp;"!D8"),"")</f>
        <v>sny_202310_enroll_kanja</v>
      </c>
      <c r="AF152" s="150"/>
      <c r="AG152" s="150"/>
      <c r="AH152" s="150"/>
      <c r="AI152" s="150"/>
      <c r="AJ152" s="150"/>
      <c r="AK152" s="150"/>
      <c r="AL152" s="151"/>
      <c r="AM152" s="149" t="str">
        <f t="shared" ref="AM152" ca="1" si="90">IFERROR(INDIRECT(P152&amp;"!D9"),"")</f>
        <v>全て追の組入れ条件を満たす患者一覧を登録するテーブル</v>
      </c>
      <c r="AN152" s="150"/>
      <c r="AO152" s="150"/>
      <c r="AP152" s="150"/>
      <c r="AQ152" s="150"/>
      <c r="AR152" s="150"/>
      <c r="AS152" s="150"/>
      <c r="AT152" s="150"/>
      <c r="AU152" s="150"/>
      <c r="AV152" s="150"/>
      <c r="AW152" s="150"/>
      <c r="AX152" s="150"/>
      <c r="AY152" s="150"/>
      <c r="AZ152" s="150"/>
      <c r="BA152" s="150"/>
      <c r="BB152" s="150"/>
      <c r="BC152" s="150"/>
      <c r="BD152" s="150"/>
      <c r="BE152" s="150"/>
      <c r="BF152" s="150"/>
      <c r="BG152" s="150"/>
      <c r="BH152" s="150"/>
      <c r="BI152" s="150"/>
      <c r="BJ152" s="152"/>
      <c r="BK152" s="32" t="str">
        <f t="shared" si="39"/>
        <v>ENT_11_06_組入れ_対象患者.sql</v>
      </c>
    </row>
    <row r="153" spans="1:63" ht="37.5" customHeight="1">
      <c r="A153" s="34" t="str">
        <f t="shared" si="74"/>
        <v>患者ID一覧マスタ</v>
      </c>
      <c r="B153" s="209" t="str">
        <f t="shared" ref="B153:B158" si="91">TEXT(21,"00")</f>
        <v>21</v>
      </c>
      <c r="C153" s="210"/>
      <c r="D153" s="210"/>
      <c r="E153" s="210"/>
      <c r="F153" s="211"/>
      <c r="G153" s="215" t="s">
        <v>305</v>
      </c>
      <c r="H153" s="216"/>
      <c r="I153" s="216"/>
      <c r="J153" s="216"/>
      <c r="K153" s="216"/>
      <c r="L153" s="216"/>
      <c r="M153" s="216"/>
      <c r="N153" s="217"/>
      <c r="O153" s="81" t="str">
        <f t="shared" ref="O153:O158" si="92">IF(P153&lt;&gt;"","ENT_"&amp;RIGHT(B153,2)&amp;"_"&amp;TEXT(ROW(O153)-ROW(O$153)+1,"00"),"")</f>
        <v>ENT_21_01</v>
      </c>
      <c r="P153" s="140" t="s">
        <v>3885</v>
      </c>
      <c r="Q153" s="141"/>
      <c r="R153" s="141"/>
      <c r="S153" s="141"/>
      <c r="T153" s="141"/>
      <c r="U153" s="141"/>
      <c r="V153" s="141"/>
      <c r="W153" s="141"/>
      <c r="X153" s="141"/>
      <c r="Y153" s="141"/>
      <c r="Z153" s="141"/>
      <c r="AA153" s="141"/>
      <c r="AB153" s="141"/>
      <c r="AC153" s="141"/>
      <c r="AD153" s="142"/>
      <c r="AE153" s="149" t="str">
        <f t="shared" ref="AE153:AE158" ca="1" si="93">IFERROR(INDIRECT(P153&amp;"!D8"),"")</f>
        <v>sny_202310_mt_kanja_list</v>
      </c>
      <c r="AF153" s="150"/>
      <c r="AG153" s="150"/>
      <c r="AH153" s="150"/>
      <c r="AI153" s="150"/>
      <c r="AJ153" s="150"/>
      <c r="AK153" s="150"/>
      <c r="AL153" s="151"/>
      <c r="AM153" s="149">
        <f t="shared" ref="AM153:AM158" ca="1" si="94">IFERROR(INDIRECT(P153&amp;"!D9"),"")</f>
        <v>0</v>
      </c>
      <c r="AN153" s="150"/>
      <c r="AO153" s="150"/>
      <c r="AP153" s="150"/>
      <c r="AQ153" s="150"/>
      <c r="AR153" s="150"/>
      <c r="AS153" s="150"/>
      <c r="AT153" s="150"/>
      <c r="AU153" s="150"/>
      <c r="AV153" s="150"/>
      <c r="AW153" s="150"/>
      <c r="AX153" s="150"/>
      <c r="AY153" s="150"/>
      <c r="AZ153" s="150"/>
      <c r="BA153" s="150"/>
      <c r="BB153" s="150"/>
      <c r="BC153" s="150"/>
      <c r="BD153" s="150"/>
      <c r="BE153" s="150"/>
      <c r="BF153" s="150"/>
      <c r="BG153" s="150"/>
      <c r="BH153" s="150"/>
      <c r="BI153" s="150"/>
      <c r="BJ153" s="152"/>
      <c r="BK153" s="32" t="str">
        <f t="shared" si="39"/>
        <v>ENT_21_01_患者ID一覧マスタ.sql</v>
      </c>
    </row>
    <row r="154" spans="1:63" ht="37.5" customHeight="1">
      <c r="A154" s="34" t="str">
        <f t="shared" si="74"/>
        <v>施設マスタ</v>
      </c>
      <c r="B154" s="143" t="str">
        <f t="shared" si="91"/>
        <v>21</v>
      </c>
      <c r="C154" s="144"/>
      <c r="D154" s="144"/>
      <c r="E154" s="144"/>
      <c r="F154" s="145"/>
      <c r="G154" s="146" t="s">
        <v>305</v>
      </c>
      <c r="H154" s="147"/>
      <c r="I154" s="147"/>
      <c r="J154" s="147"/>
      <c r="K154" s="147"/>
      <c r="L154" s="147"/>
      <c r="M154" s="147"/>
      <c r="N154" s="148"/>
      <c r="O154" s="81" t="str">
        <f t="shared" si="92"/>
        <v>ENT_21_02</v>
      </c>
      <c r="P154" s="140" t="s">
        <v>3840</v>
      </c>
      <c r="Q154" s="141"/>
      <c r="R154" s="141"/>
      <c r="S154" s="141"/>
      <c r="T154" s="141"/>
      <c r="U154" s="141"/>
      <c r="V154" s="141"/>
      <c r="W154" s="141"/>
      <c r="X154" s="141"/>
      <c r="Y154" s="141"/>
      <c r="Z154" s="141"/>
      <c r="AA154" s="141"/>
      <c r="AB154" s="141"/>
      <c r="AC154" s="141"/>
      <c r="AD154" s="142"/>
      <c r="AE154" s="149" t="str">
        <f t="shared" ca="1" si="93"/>
        <v>sny_202310_mt_shisetsu</v>
      </c>
      <c r="AF154" s="150"/>
      <c r="AG154" s="150"/>
      <c r="AH154" s="150"/>
      <c r="AI154" s="150"/>
      <c r="AJ154" s="150"/>
      <c r="AK154" s="150"/>
      <c r="AL154" s="151"/>
      <c r="AM154" s="149">
        <f t="shared" ca="1" si="94"/>
        <v>0</v>
      </c>
      <c r="AN154" s="150"/>
      <c r="AO154" s="150"/>
      <c r="AP154" s="150"/>
      <c r="AQ154" s="150"/>
      <c r="AR154" s="150"/>
      <c r="AS154" s="150"/>
      <c r="AT154" s="150"/>
      <c r="AU154" s="150"/>
      <c r="AV154" s="150"/>
      <c r="AW154" s="150"/>
      <c r="AX154" s="150"/>
      <c r="AY154" s="150"/>
      <c r="AZ154" s="150"/>
      <c r="BA154" s="150"/>
      <c r="BB154" s="150"/>
      <c r="BC154" s="150"/>
      <c r="BD154" s="150"/>
      <c r="BE154" s="150"/>
      <c r="BF154" s="150"/>
      <c r="BG154" s="150"/>
      <c r="BH154" s="150"/>
      <c r="BI154" s="150"/>
      <c r="BJ154" s="152"/>
      <c r="BK154" s="32" t="str">
        <f t="shared" si="39"/>
        <v>ENT_21_02_施設マスタ.sql</v>
      </c>
    </row>
    <row r="155" spans="1:63" ht="37.5" customHeight="1">
      <c r="A155" s="34" t="str">
        <f t="shared" ref="A155:A156" si="95">P155</f>
        <v>患者マスタ</v>
      </c>
      <c r="B155" s="143" t="str">
        <f t="shared" si="91"/>
        <v>21</v>
      </c>
      <c r="C155" s="144"/>
      <c r="D155" s="144"/>
      <c r="E155" s="144"/>
      <c r="F155" s="145"/>
      <c r="G155" s="146" t="s">
        <v>305</v>
      </c>
      <c r="H155" s="147"/>
      <c r="I155" s="147"/>
      <c r="J155" s="147"/>
      <c r="K155" s="147"/>
      <c r="L155" s="147"/>
      <c r="M155" s="147"/>
      <c r="N155" s="148"/>
      <c r="O155" s="81" t="str">
        <f t="shared" si="92"/>
        <v>ENT_21_03</v>
      </c>
      <c r="P155" s="140" t="s">
        <v>3841</v>
      </c>
      <c r="Q155" s="141"/>
      <c r="R155" s="141"/>
      <c r="S155" s="141"/>
      <c r="T155" s="141"/>
      <c r="U155" s="141"/>
      <c r="V155" s="141"/>
      <c r="W155" s="141"/>
      <c r="X155" s="141"/>
      <c r="Y155" s="141"/>
      <c r="Z155" s="141"/>
      <c r="AA155" s="141"/>
      <c r="AB155" s="141"/>
      <c r="AC155" s="141"/>
      <c r="AD155" s="142"/>
      <c r="AE155" s="149" t="str">
        <f t="shared" ca="1" si="93"/>
        <v>sny_202310_mt_kanja</v>
      </c>
      <c r="AF155" s="150"/>
      <c r="AG155" s="150"/>
      <c r="AH155" s="150"/>
      <c r="AI155" s="150"/>
      <c r="AJ155" s="150"/>
      <c r="AK155" s="150"/>
      <c r="AL155" s="151"/>
      <c r="AM155" s="149">
        <f t="shared" ca="1" si="94"/>
        <v>0</v>
      </c>
      <c r="AN155" s="150"/>
      <c r="AO155" s="150"/>
      <c r="AP155" s="150"/>
      <c r="AQ155" s="150"/>
      <c r="AR155" s="150"/>
      <c r="AS155" s="150"/>
      <c r="AT155" s="150"/>
      <c r="AU155" s="150"/>
      <c r="AV155" s="150"/>
      <c r="AW155" s="150"/>
      <c r="AX155" s="150"/>
      <c r="AY155" s="150"/>
      <c r="AZ155" s="150"/>
      <c r="BA155" s="150"/>
      <c r="BB155" s="150"/>
      <c r="BC155" s="150"/>
      <c r="BD155" s="150"/>
      <c r="BE155" s="150"/>
      <c r="BF155" s="150"/>
      <c r="BG155" s="150"/>
      <c r="BH155" s="150"/>
      <c r="BI155" s="150"/>
      <c r="BJ155" s="152"/>
      <c r="BK155" s="32" t="str">
        <f t="shared" ref="BK155:BK156" si="96">IF(P155&lt;&gt;"",O155&amp;"_"&amp;P155&amp;".sql","")</f>
        <v>ENT_21_03_患者マスタ.sql</v>
      </c>
    </row>
    <row r="156" spans="1:63" ht="37.5" customHeight="1">
      <c r="A156" s="34" t="str">
        <f t="shared" si="95"/>
        <v>疾患マスタ</v>
      </c>
      <c r="B156" s="143" t="str">
        <f t="shared" si="91"/>
        <v>21</v>
      </c>
      <c r="C156" s="144"/>
      <c r="D156" s="144"/>
      <c r="E156" s="144"/>
      <c r="F156" s="145"/>
      <c r="G156" s="146" t="s">
        <v>305</v>
      </c>
      <c r="H156" s="147"/>
      <c r="I156" s="147"/>
      <c r="J156" s="147"/>
      <c r="K156" s="147"/>
      <c r="L156" s="147"/>
      <c r="M156" s="147"/>
      <c r="N156" s="148"/>
      <c r="O156" s="81" t="str">
        <f t="shared" si="92"/>
        <v>ENT_21_04</v>
      </c>
      <c r="P156" s="140" t="s">
        <v>3842</v>
      </c>
      <c r="Q156" s="141"/>
      <c r="R156" s="141"/>
      <c r="S156" s="141"/>
      <c r="T156" s="141"/>
      <c r="U156" s="141"/>
      <c r="V156" s="141"/>
      <c r="W156" s="141"/>
      <c r="X156" s="141"/>
      <c r="Y156" s="141"/>
      <c r="Z156" s="141"/>
      <c r="AA156" s="141"/>
      <c r="AB156" s="141"/>
      <c r="AC156" s="141"/>
      <c r="AD156" s="142"/>
      <c r="AE156" s="149" t="str">
        <f t="shared" ca="1" si="93"/>
        <v>sny_202310_mt_shikkan</v>
      </c>
      <c r="AF156" s="150"/>
      <c r="AG156" s="150"/>
      <c r="AH156" s="150"/>
      <c r="AI156" s="150"/>
      <c r="AJ156" s="150"/>
      <c r="AK156" s="150"/>
      <c r="AL156" s="151"/>
      <c r="AM156" s="149">
        <f t="shared" ca="1" si="94"/>
        <v>0</v>
      </c>
      <c r="AN156" s="150"/>
      <c r="AO156" s="150"/>
      <c r="AP156" s="150"/>
      <c r="AQ156" s="150"/>
      <c r="AR156" s="150"/>
      <c r="AS156" s="150"/>
      <c r="AT156" s="150"/>
      <c r="AU156" s="150"/>
      <c r="AV156" s="150"/>
      <c r="AW156" s="150"/>
      <c r="AX156" s="150"/>
      <c r="AY156" s="150"/>
      <c r="AZ156" s="150"/>
      <c r="BA156" s="150"/>
      <c r="BB156" s="150"/>
      <c r="BC156" s="150"/>
      <c r="BD156" s="150"/>
      <c r="BE156" s="150"/>
      <c r="BF156" s="150"/>
      <c r="BG156" s="150"/>
      <c r="BH156" s="150"/>
      <c r="BI156" s="150"/>
      <c r="BJ156" s="152"/>
      <c r="BK156" s="32" t="str">
        <f t="shared" si="96"/>
        <v>ENT_21_04_疾患マスタ.sql</v>
      </c>
    </row>
    <row r="157" spans="1:63" ht="37.5" customHeight="1">
      <c r="A157" s="34" t="str">
        <f t="shared" ref="A157" si="97">P157</f>
        <v>薬剤マスタ</v>
      </c>
      <c r="B157" s="143" t="str">
        <f t="shared" si="91"/>
        <v>21</v>
      </c>
      <c r="C157" s="144"/>
      <c r="D157" s="144"/>
      <c r="E157" s="144"/>
      <c r="F157" s="145"/>
      <c r="G157" s="146" t="s">
        <v>305</v>
      </c>
      <c r="H157" s="147"/>
      <c r="I157" s="147"/>
      <c r="J157" s="147"/>
      <c r="K157" s="147"/>
      <c r="L157" s="147"/>
      <c r="M157" s="147"/>
      <c r="N157" s="148"/>
      <c r="O157" s="81" t="str">
        <f t="shared" si="92"/>
        <v>ENT_21_05</v>
      </c>
      <c r="P157" s="140" t="s">
        <v>3843</v>
      </c>
      <c r="Q157" s="141"/>
      <c r="R157" s="141"/>
      <c r="S157" s="141"/>
      <c r="T157" s="141"/>
      <c r="U157" s="141"/>
      <c r="V157" s="141"/>
      <c r="W157" s="141"/>
      <c r="X157" s="141"/>
      <c r="Y157" s="141"/>
      <c r="Z157" s="141"/>
      <c r="AA157" s="141"/>
      <c r="AB157" s="141"/>
      <c r="AC157" s="141"/>
      <c r="AD157" s="142"/>
      <c r="AE157" s="149" t="str">
        <f t="shared" ca="1" si="93"/>
        <v/>
      </c>
      <c r="AF157" s="150"/>
      <c r="AG157" s="150"/>
      <c r="AH157" s="150"/>
      <c r="AI157" s="150"/>
      <c r="AJ157" s="150"/>
      <c r="AK157" s="150"/>
      <c r="AL157" s="151"/>
      <c r="AM157" s="149" t="str">
        <f t="shared" ca="1" si="94"/>
        <v/>
      </c>
      <c r="AN157" s="150"/>
      <c r="AO157" s="150"/>
      <c r="AP157" s="150"/>
      <c r="AQ157" s="150"/>
      <c r="AR157" s="150"/>
      <c r="AS157" s="150"/>
      <c r="AT157" s="150"/>
      <c r="AU157" s="150"/>
      <c r="AV157" s="150"/>
      <c r="AW157" s="150"/>
      <c r="AX157" s="150"/>
      <c r="AY157" s="150"/>
      <c r="AZ157" s="150"/>
      <c r="BA157" s="150"/>
      <c r="BB157" s="150"/>
      <c r="BC157" s="150"/>
      <c r="BD157" s="150"/>
      <c r="BE157" s="150"/>
      <c r="BF157" s="150"/>
      <c r="BG157" s="150"/>
      <c r="BH157" s="150"/>
      <c r="BI157" s="150"/>
      <c r="BJ157" s="152"/>
      <c r="BK157" s="32" t="str">
        <f t="shared" ref="BK157" si="98">IF(P157&lt;&gt;"",O157&amp;"_"&amp;P157&amp;".sql","")</f>
        <v>ENT_21_05_薬剤マスタ.sql</v>
      </c>
    </row>
    <row r="158" spans="1:63" ht="37.5" customHeight="1">
      <c r="A158" s="34" t="str">
        <f t="shared" ref="A158" si="99">P158</f>
        <v>検体検査マスタ</v>
      </c>
      <c r="B158" s="221" t="str">
        <f t="shared" si="91"/>
        <v>21</v>
      </c>
      <c r="C158" s="222"/>
      <c r="D158" s="222"/>
      <c r="E158" s="222"/>
      <c r="F158" s="223"/>
      <c r="G158" s="218" t="s">
        <v>305</v>
      </c>
      <c r="H158" s="219"/>
      <c r="I158" s="219"/>
      <c r="J158" s="219"/>
      <c r="K158" s="219"/>
      <c r="L158" s="219"/>
      <c r="M158" s="219"/>
      <c r="N158" s="220"/>
      <c r="O158" s="81" t="str">
        <f t="shared" si="92"/>
        <v>ENT_21_06</v>
      </c>
      <c r="P158" s="140" t="s">
        <v>3844</v>
      </c>
      <c r="Q158" s="141"/>
      <c r="R158" s="141"/>
      <c r="S158" s="141"/>
      <c r="T158" s="141"/>
      <c r="U158" s="141"/>
      <c r="V158" s="141"/>
      <c r="W158" s="141"/>
      <c r="X158" s="141"/>
      <c r="Y158" s="141"/>
      <c r="Z158" s="141"/>
      <c r="AA158" s="141"/>
      <c r="AB158" s="141"/>
      <c r="AC158" s="141"/>
      <c r="AD158" s="142"/>
      <c r="AE158" s="149" t="str">
        <f t="shared" ca="1" si="93"/>
        <v/>
      </c>
      <c r="AF158" s="150"/>
      <c r="AG158" s="150"/>
      <c r="AH158" s="150"/>
      <c r="AI158" s="150"/>
      <c r="AJ158" s="150"/>
      <c r="AK158" s="150"/>
      <c r="AL158" s="151"/>
      <c r="AM158" s="149" t="str">
        <f t="shared" ca="1" si="94"/>
        <v/>
      </c>
      <c r="AN158" s="150"/>
      <c r="AO158" s="150"/>
      <c r="AP158" s="150"/>
      <c r="AQ158" s="150"/>
      <c r="AR158" s="150"/>
      <c r="AS158" s="150"/>
      <c r="AT158" s="150"/>
      <c r="AU158" s="150"/>
      <c r="AV158" s="150"/>
      <c r="AW158" s="150"/>
      <c r="AX158" s="150"/>
      <c r="AY158" s="150"/>
      <c r="AZ158" s="150"/>
      <c r="BA158" s="150"/>
      <c r="BB158" s="150"/>
      <c r="BC158" s="150"/>
      <c r="BD158" s="150"/>
      <c r="BE158" s="150"/>
      <c r="BF158" s="150"/>
      <c r="BG158" s="150"/>
      <c r="BH158" s="150"/>
      <c r="BI158" s="150"/>
      <c r="BJ158" s="152"/>
      <c r="BK158" s="32" t="str">
        <f t="shared" ref="BK158" si="100">IF(P158&lt;&gt;"",O158&amp;"_"&amp;P158&amp;".sql","")</f>
        <v>ENT_21_06_検体検査マスタ.sql</v>
      </c>
    </row>
    <row r="159" spans="1:63" ht="37.5" hidden="1" customHeight="1" outlineLevel="1">
      <c r="A159" s="34" t="str">
        <f t="shared" si="74"/>
        <v>ベース_処方データ</v>
      </c>
      <c r="B159" s="209" t="str">
        <f>TEXT(31,"00")</f>
        <v>31</v>
      </c>
      <c r="C159" s="210"/>
      <c r="D159" s="210"/>
      <c r="E159" s="210"/>
      <c r="F159" s="211"/>
      <c r="G159" s="215" t="s">
        <v>308</v>
      </c>
      <c r="H159" s="216"/>
      <c r="I159" s="216"/>
      <c r="J159" s="216"/>
      <c r="K159" s="216"/>
      <c r="L159" s="216"/>
      <c r="M159" s="216"/>
      <c r="N159" s="217"/>
      <c r="O159" s="81" t="str">
        <f>IF(P159&lt;&gt;"","ENT_"&amp;RIGHT(B159,2)&amp;"_"&amp;TEXT(ROW(O159)-ROW(O$159)+1,"00"),"")</f>
        <v>ENT_31_01</v>
      </c>
      <c r="P159" s="140" t="s">
        <v>3725</v>
      </c>
      <c r="Q159" s="141"/>
      <c r="R159" s="141"/>
      <c r="S159" s="141"/>
      <c r="T159" s="141"/>
      <c r="U159" s="141"/>
      <c r="V159" s="141"/>
      <c r="W159" s="141"/>
      <c r="X159" s="141"/>
      <c r="Y159" s="141"/>
      <c r="Z159" s="141"/>
      <c r="AA159" s="141"/>
      <c r="AB159" s="141"/>
      <c r="AC159" s="141"/>
      <c r="AD159" s="142"/>
      <c r="AE159" s="149" t="str">
        <f t="shared" ref="AE159" ca="1" si="101">IFERROR(INDIRECT(P159&amp;"!D8"),"")</f>
        <v>sny_202310_base_mart_shohou</v>
      </c>
      <c r="AF159" s="150"/>
      <c r="AG159" s="150"/>
      <c r="AH159" s="150"/>
      <c r="AI159" s="150"/>
      <c r="AJ159" s="150"/>
      <c r="AK159" s="150"/>
      <c r="AL159" s="151"/>
      <c r="AM159" s="149" t="str">
        <f t="shared" ref="AM159" ca="1" si="102">IFERROR(INDIRECT(P159&amp;"!D9"),"")</f>
        <v>バックアップ_処方データテーブルから対象患者で絞り込んだ結果を格納するテーブル</v>
      </c>
      <c r="AN159" s="150"/>
      <c r="AO159" s="150"/>
      <c r="AP159" s="150"/>
      <c r="AQ159" s="150"/>
      <c r="AR159" s="150"/>
      <c r="AS159" s="150"/>
      <c r="AT159" s="150"/>
      <c r="AU159" s="150"/>
      <c r="AV159" s="150"/>
      <c r="AW159" s="150"/>
      <c r="AX159" s="150"/>
      <c r="AY159" s="150"/>
      <c r="AZ159" s="150"/>
      <c r="BA159" s="150"/>
      <c r="BB159" s="150"/>
      <c r="BC159" s="150"/>
      <c r="BD159" s="150"/>
      <c r="BE159" s="150"/>
      <c r="BF159" s="150"/>
      <c r="BG159" s="150"/>
      <c r="BH159" s="150"/>
      <c r="BI159" s="150"/>
      <c r="BJ159" s="152"/>
      <c r="BK159" s="32" t="str">
        <f t="shared" si="39"/>
        <v>ENT_31_01_ベース_処方データ.sql</v>
      </c>
    </row>
    <row r="160" spans="1:63" ht="37.5" hidden="1" customHeight="1" outlineLevel="1">
      <c r="A160" s="34" t="str">
        <f t="shared" ref="A160:A187" si="103">P160</f>
        <v>ベース_診療行為データ</v>
      </c>
      <c r="B160" s="143" t="str">
        <f t="shared" ref="B160:B187" si="104">TEXT(31,"00")</f>
        <v>31</v>
      </c>
      <c r="C160" s="144"/>
      <c r="D160" s="144"/>
      <c r="E160" s="144"/>
      <c r="F160" s="145"/>
      <c r="G160" s="146" t="s">
        <v>308</v>
      </c>
      <c r="H160" s="147"/>
      <c r="I160" s="147"/>
      <c r="J160" s="147"/>
      <c r="K160" s="147"/>
      <c r="L160" s="147"/>
      <c r="M160" s="147"/>
      <c r="N160" s="148"/>
      <c r="O160" s="81" t="str">
        <f t="shared" ref="O160:O187" si="105">IF(P160&lt;&gt;"","ENT_"&amp;RIGHT(B160,2)&amp;"_"&amp;TEXT(ROW(O160)-ROW(O$159)+1,"00"),"")</f>
        <v>ENT_31_02</v>
      </c>
      <c r="P160" s="140" t="s">
        <v>3726</v>
      </c>
      <c r="Q160" s="141"/>
      <c r="R160" s="141"/>
      <c r="S160" s="141"/>
      <c r="T160" s="141"/>
      <c r="U160" s="141"/>
      <c r="V160" s="141"/>
      <c r="W160" s="141"/>
      <c r="X160" s="141"/>
      <c r="Y160" s="141"/>
      <c r="Z160" s="141"/>
      <c r="AA160" s="141"/>
      <c r="AB160" s="141"/>
      <c r="AC160" s="141"/>
      <c r="AD160" s="142"/>
      <c r="AE160" s="149" t="str">
        <f t="shared" ref="AE160:AE187" ca="1" si="106">IFERROR(INDIRECT(P160&amp;"!D8"),"")</f>
        <v>sny_202310_base_mart_shinryou_koui</v>
      </c>
      <c r="AF160" s="150"/>
      <c r="AG160" s="150"/>
      <c r="AH160" s="150"/>
      <c r="AI160" s="150"/>
      <c r="AJ160" s="150"/>
      <c r="AK160" s="150"/>
      <c r="AL160" s="151"/>
      <c r="AM160" s="149" t="str">
        <f t="shared" ref="AM160:AM187" ca="1" si="107">IFERROR(INDIRECT(P160&amp;"!D9"),"")</f>
        <v>バックアップ_診療行為データテーブルから対象患者で絞り込んだ結果を格納するテーブル</v>
      </c>
      <c r="AN160" s="150"/>
      <c r="AO160" s="150"/>
      <c r="AP160" s="150"/>
      <c r="AQ160" s="150"/>
      <c r="AR160" s="150"/>
      <c r="AS160" s="150"/>
      <c r="AT160" s="150"/>
      <c r="AU160" s="150"/>
      <c r="AV160" s="150"/>
      <c r="AW160" s="150"/>
      <c r="AX160" s="150"/>
      <c r="AY160" s="150"/>
      <c r="AZ160" s="150"/>
      <c r="BA160" s="150"/>
      <c r="BB160" s="150"/>
      <c r="BC160" s="150"/>
      <c r="BD160" s="150"/>
      <c r="BE160" s="150"/>
      <c r="BF160" s="150"/>
      <c r="BG160" s="150"/>
      <c r="BH160" s="150"/>
      <c r="BI160" s="150"/>
      <c r="BJ160" s="152"/>
      <c r="BK160" s="32" t="str">
        <f t="shared" ref="BK160:BK187" si="108">IF(P160&lt;&gt;"",O160&amp;"_"&amp;P160&amp;".sql","")</f>
        <v>ENT_31_02_ベース_診療行為データ.sql</v>
      </c>
    </row>
    <row r="161" spans="1:63" ht="37.5" hidden="1" customHeight="1" outlineLevel="1">
      <c r="A161" s="34" t="str">
        <f t="shared" si="103"/>
        <v>ベース_入院退院データ</v>
      </c>
      <c r="B161" s="143" t="str">
        <f t="shared" si="104"/>
        <v>31</v>
      </c>
      <c r="C161" s="144"/>
      <c r="D161" s="144"/>
      <c r="E161" s="144"/>
      <c r="F161" s="145"/>
      <c r="G161" s="146" t="s">
        <v>308</v>
      </c>
      <c r="H161" s="147"/>
      <c r="I161" s="147"/>
      <c r="J161" s="147"/>
      <c r="K161" s="147"/>
      <c r="L161" s="147"/>
      <c r="M161" s="147"/>
      <c r="N161" s="148"/>
      <c r="O161" s="81" t="str">
        <f t="shared" si="105"/>
        <v>ENT_31_03</v>
      </c>
      <c r="P161" s="140" t="s">
        <v>3727</v>
      </c>
      <c r="Q161" s="141"/>
      <c r="R161" s="141"/>
      <c r="S161" s="141"/>
      <c r="T161" s="141"/>
      <c r="U161" s="141"/>
      <c r="V161" s="141"/>
      <c r="W161" s="141"/>
      <c r="X161" s="141"/>
      <c r="Y161" s="141"/>
      <c r="Z161" s="141"/>
      <c r="AA161" s="141"/>
      <c r="AB161" s="141"/>
      <c r="AC161" s="141"/>
      <c r="AD161" s="142"/>
      <c r="AE161" s="149" t="str">
        <f t="shared" ca="1" si="106"/>
        <v>sny_202310_base_mart_nyu_tai_in</v>
      </c>
      <c r="AF161" s="150"/>
      <c r="AG161" s="150"/>
      <c r="AH161" s="150"/>
      <c r="AI161" s="150"/>
      <c r="AJ161" s="150"/>
      <c r="AK161" s="150"/>
      <c r="AL161" s="151"/>
      <c r="AM161" s="149" t="str">
        <f t="shared" ca="1" si="107"/>
        <v>バックアップ_入院退院データテーブルから対象患者で絞り込んだ結果を格納するテーブル</v>
      </c>
      <c r="AN161" s="150"/>
      <c r="AO161" s="150"/>
      <c r="AP161" s="150"/>
      <c r="AQ161" s="150"/>
      <c r="AR161" s="150"/>
      <c r="AS161" s="150"/>
      <c r="AT161" s="150"/>
      <c r="AU161" s="150"/>
      <c r="AV161" s="150"/>
      <c r="AW161" s="150"/>
      <c r="AX161" s="150"/>
      <c r="AY161" s="150"/>
      <c r="AZ161" s="150"/>
      <c r="BA161" s="150"/>
      <c r="BB161" s="150"/>
      <c r="BC161" s="150"/>
      <c r="BD161" s="150"/>
      <c r="BE161" s="150"/>
      <c r="BF161" s="150"/>
      <c r="BG161" s="150"/>
      <c r="BH161" s="150"/>
      <c r="BI161" s="150"/>
      <c r="BJ161" s="152"/>
      <c r="BK161" s="32" t="str">
        <f t="shared" si="108"/>
        <v>ENT_31_03_ベース_入院退院データ.sql</v>
      </c>
    </row>
    <row r="162" spans="1:63" ht="37.5" hidden="1" customHeight="1" outlineLevel="1">
      <c r="A162" s="34" t="str">
        <f t="shared" si="103"/>
        <v>ベース_患者基本データ</v>
      </c>
      <c r="B162" s="143" t="str">
        <f t="shared" si="104"/>
        <v>31</v>
      </c>
      <c r="C162" s="144"/>
      <c r="D162" s="144"/>
      <c r="E162" s="144"/>
      <c r="F162" s="145"/>
      <c r="G162" s="146" t="s">
        <v>308</v>
      </c>
      <c r="H162" s="147"/>
      <c r="I162" s="147"/>
      <c r="J162" s="147"/>
      <c r="K162" s="147"/>
      <c r="L162" s="147"/>
      <c r="M162" s="147"/>
      <c r="N162" s="148"/>
      <c r="O162" s="81" t="str">
        <f t="shared" si="105"/>
        <v>ENT_31_04</v>
      </c>
      <c r="P162" s="140" t="s">
        <v>3728</v>
      </c>
      <c r="Q162" s="141"/>
      <c r="R162" s="141"/>
      <c r="S162" s="141"/>
      <c r="T162" s="141"/>
      <c r="U162" s="141"/>
      <c r="V162" s="141"/>
      <c r="W162" s="141"/>
      <c r="X162" s="141"/>
      <c r="Y162" s="141"/>
      <c r="Z162" s="141"/>
      <c r="AA162" s="141"/>
      <c r="AB162" s="141"/>
      <c r="AC162" s="141"/>
      <c r="AD162" s="142"/>
      <c r="AE162" s="149" t="str">
        <f t="shared" ca="1" si="106"/>
        <v>sny_202310_base_mart_patient_basic</v>
      </c>
      <c r="AF162" s="150"/>
      <c r="AG162" s="150"/>
      <c r="AH162" s="150"/>
      <c r="AI162" s="150"/>
      <c r="AJ162" s="150"/>
      <c r="AK162" s="150"/>
      <c r="AL162" s="151"/>
      <c r="AM162" s="149" t="str">
        <f t="shared" ca="1" si="107"/>
        <v>バックアップ_患者基本データテーブルから対象患者で絞り込んだ結果を格納するテーブル</v>
      </c>
      <c r="AN162" s="150"/>
      <c r="AO162" s="150"/>
      <c r="AP162" s="150"/>
      <c r="AQ162" s="150"/>
      <c r="AR162" s="150"/>
      <c r="AS162" s="150"/>
      <c r="AT162" s="150"/>
      <c r="AU162" s="150"/>
      <c r="AV162" s="150"/>
      <c r="AW162" s="150"/>
      <c r="AX162" s="150"/>
      <c r="AY162" s="150"/>
      <c r="AZ162" s="150"/>
      <c r="BA162" s="150"/>
      <c r="BB162" s="150"/>
      <c r="BC162" s="150"/>
      <c r="BD162" s="150"/>
      <c r="BE162" s="150"/>
      <c r="BF162" s="150"/>
      <c r="BG162" s="150"/>
      <c r="BH162" s="150"/>
      <c r="BI162" s="150"/>
      <c r="BJ162" s="152"/>
      <c r="BK162" s="32" t="str">
        <f t="shared" si="108"/>
        <v>ENT_31_04_ベース_患者基本データ.sql</v>
      </c>
    </row>
    <row r="163" spans="1:63" ht="37.5" hidden="1" customHeight="1" outlineLevel="1">
      <c r="A163" s="34" t="str">
        <f t="shared" si="103"/>
        <v>ベース_MML共通</v>
      </c>
      <c r="B163" s="143" t="str">
        <f t="shared" si="104"/>
        <v>31</v>
      </c>
      <c r="C163" s="144"/>
      <c r="D163" s="144"/>
      <c r="E163" s="144"/>
      <c r="F163" s="145"/>
      <c r="G163" s="146" t="s">
        <v>308</v>
      </c>
      <c r="H163" s="147"/>
      <c r="I163" s="147"/>
      <c r="J163" s="147"/>
      <c r="K163" s="147"/>
      <c r="L163" s="147"/>
      <c r="M163" s="147"/>
      <c r="N163" s="148"/>
      <c r="O163" s="81" t="str">
        <f t="shared" si="105"/>
        <v>ENT_31_05</v>
      </c>
      <c r="P163" s="140" t="s">
        <v>3729</v>
      </c>
      <c r="Q163" s="141"/>
      <c r="R163" s="141"/>
      <c r="S163" s="141"/>
      <c r="T163" s="141"/>
      <c r="U163" s="141"/>
      <c r="V163" s="141"/>
      <c r="W163" s="141"/>
      <c r="X163" s="141"/>
      <c r="Y163" s="141"/>
      <c r="Z163" s="141"/>
      <c r="AA163" s="141"/>
      <c r="AB163" s="141"/>
      <c r="AC163" s="141"/>
      <c r="AD163" s="142"/>
      <c r="AE163" s="149" t="str">
        <f t="shared" ca="1" si="106"/>
        <v>sny_202310_base_text_mml_common</v>
      </c>
      <c r="AF163" s="150"/>
      <c r="AG163" s="150"/>
      <c r="AH163" s="150"/>
      <c r="AI163" s="150"/>
      <c r="AJ163" s="150"/>
      <c r="AK163" s="150"/>
      <c r="AL163" s="151"/>
      <c r="AM163" s="149" t="str">
        <f t="shared" ca="1" si="107"/>
        <v>バックアップ_MML共通テーブルから対象患者で絞り込んだ結果を格納するテーブル</v>
      </c>
      <c r="AN163" s="150"/>
      <c r="AO163" s="150"/>
      <c r="AP163" s="150"/>
      <c r="AQ163" s="150"/>
      <c r="AR163" s="150"/>
      <c r="AS163" s="150"/>
      <c r="AT163" s="150"/>
      <c r="AU163" s="150"/>
      <c r="AV163" s="150"/>
      <c r="AW163" s="150"/>
      <c r="AX163" s="150"/>
      <c r="AY163" s="150"/>
      <c r="AZ163" s="150"/>
      <c r="BA163" s="150"/>
      <c r="BB163" s="150"/>
      <c r="BC163" s="150"/>
      <c r="BD163" s="150"/>
      <c r="BE163" s="150"/>
      <c r="BF163" s="150"/>
      <c r="BG163" s="150"/>
      <c r="BH163" s="150"/>
      <c r="BI163" s="150"/>
      <c r="BJ163" s="152"/>
      <c r="BK163" s="32" t="str">
        <f t="shared" si="108"/>
        <v>ENT_31_05_ベース_MML共通.sql</v>
      </c>
    </row>
    <row r="164" spans="1:63" ht="37.5" hidden="1" customHeight="1" outlineLevel="1">
      <c r="A164" s="34" t="str">
        <f t="shared" si="103"/>
        <v>ベース_MML_診断履歴情報モジュール_本文</v>
      </c>
      <c r="B164" s="143" t="str">
        <f t="shared" si="104"/>
        <v>31</v>
      </c>
      <c r="C164" s="144"/>
      <c r="D164" s="144"/>
      <c r="E164" s="144"/>
      <c r="F164" s="145"/>
      <c r="G164" s="146" t="s">
        <v>308</v>
      </c>
      <c r="H164" s="147"/>
      <c r="I164" s="147"/>
      <c r="J164" s="147"/>
      <c r="K164" s="147"/>
      <c r="L164" s="147"/>
      <c r="M164" s="147"/>
      <c r="N164" s="148"/>
      <c r="O164" s="81" t="str">
        <f t="shared" si="105"/>
        <v>ENT_31_06</v>
      </c>
      <c r="P164" s="140" t="s">
        <v>3730</v>
      </c>
      <c r="Q164" s="141"/>
      <c r="R164" s="141"/>
      <c r="S164" s="141"/>
      <c r="T164" s="141"/>
      <c r="U164" s="141"/>
      <c r="V164" s="141"/>
      <c r="W164" s="141"/>
      <c r="X164" s="141"/>
      <c r="Y164" s="141"/>
      <c r="Z164" s="141"/>
      <c r="AA164" s="141"/>
      <c r="AB164" s="141"/>
      <c r="AC164" s="141"/>
      <c r="AD164" s="142"/>
      <c r="AE164" s="149" t="str">
        <f t="shared" ca="1" si="106"/>
        <v>sny_202310_base_text_mml_mmlrd_body</v>
      </c>
      <c r="AF164" s="150"/>
      <c r="AG164" s="150"/>
      <c r="AH164" s="150"/>
      <c r="AI164" s="150"/>
      <c r="AJ164" s="150"/>
      <c r="AK164" s="150"/>
      <c r="AL164" s="151"/>
      <c r="AM164" s="149" t="str">
        <f t="shared" ca="1" si="107"/>
        <v>バックアップ_MML_診断履歴情報モジュール_本文テーブルから対象患者で絞り込んだ結果を格納するテーブル</v>
      </c>
      <c r="AN164" s="150"/>
      <c r="AO164" s="150"/>
      <c r="AP164" s="150"/>
      <c r="AQ164" s="150"/>
      <c r="AR164" s="150"/>
      <c r="AS164" s="150"/>
      <c r="AT164" s="150"/>
      <c r="AU164" s="150"/>
      <c r="AV164" s="150"/>
      <c r="AW164" s="150"/>
      <c r="AX164" s="150"/>
      <c r="AY164" s="150"/>
      <c r="AZ164" s="150"/>
      <c r="BA164" s="150"/>
      <c r="BB164" s="150"/>
      <c r="BC164" s="150"/>
      <c r="BD164" s="150"/>
      <c r="BE164" s="150"/>
      <c r="BF164" s="150"/>
      <c r="BG164" s="150"/>
      <c r="BH164" s="150"/>
      <c r="BI164" s="150"/>
      <c r="BJ164" s="152"/>
      <c r="BK164" s="32" t="str">
        <f t="shared" si="108"/>
        <v>ENT_31_06_ベース_MML_診断履歴情報モジュール_本文.sql</v>
      </c>
    </row>
    <row r="165" spans="1:63" ht="37.5" hidden="1" customHeight="1" outlineLevel="1">
      <c r="A165" s="34" t="str">
        <f t="shared" si="103"/>
        <v>ベース_MML_診断履歴情報モジュール_病名</v>
      </c>
      <c r="B165" s="143" t="str">
        <f t="shared" si="104"/>
        <v>31</v>
      </c>
      <c r="C165" s="144"/>
      <c r="D165" s="144"/>
      <c r="E165" s="144"/>
      <c r="F165" s="145"/>
      <c r="G165" s="146" t="s">
        <v>308</v>
      </c>
      <c r="H165" s="147"/>
      <c r="I165" s="147"/>
      <c r="J165" s="147"/>
      <c r="K165" s="147"/>
      <c r="L165" s="147"/>
      <c r="M165" s="147"/>
      <c r="N165" s="148"/>
      <c r="O165" s="81" t="str">
        <f t="shared" si="105"/>
        <v>ENT_31_07</v>
      </c>
      <c r="P165" s="140" t="s">
        <v>3731</v>
      </c>
      <c r="Q165" s="141"/>
      <c r="R165" s="141"/>
      <c r="S165" s="141"/>
      <c r="T165" s="141"/>
      <c r="U165" s="141"/>
      <c r="V165" s="141"/>
      <c r="W165" s="141"/>
      <c r="X165" s="141"/>
      <c r="Y165" s="141"/>
      <c r="Z165" s="141"/>
      <c r="AA165" s="141"/>
      <c r="AB165" s="141"/>
      <c r="AC165" s="141"/>
      <c r="AD165" s="142"/>
      <c r="AE165" s="149" t="str">
        <f t="shared" ca="1" si="106"/>
        <v>sny_202310_base_text_mml_mmlrd_byomei</v>
      </c>
      <c r="AF165" s="150"/>
      <c r="AG165" s="150"/>
      <c r="AH165" s="150"/>
      <c r="AI165" s="150"/>
      <c r="AJ165" s="150"/>
      <c r="AK165" s="150"/>
      <c r="AL165" s="151"/>
      <c r="AM165" s="149" t="str">
        <f t="shared" ca="1" si="107"/>
        <v>バックアップ_MML_診断履歴情報モジュール_病名テーブルから対象患者で絞り込んだ結果を格納するテーブル</v>
      </c>
      <c r="AN165" s="150"/>
      <c r="AO165" s="150"/>
      <c r="AP165" s="150"/>
      <c r="AQ165" s="150"/>
      <c r="AR165" s="150"/>
      <c r="AS165" s="150"/>
      <c r="AT165" s="150"/>
      <c r="AU165" s="150"/>
      <c r="AV165" s="150"/>
      <c r="AW165" s="150"/>
      <c r="AX165" s="150"/>
      <c r="AY165" s="150"/>
      <c r="AZ165" s="150"/>
      <c r="BA165" s="150"/>
      <c r="BB165" s="150"/>
      <c r="BC165" s="150"/>
      <c r="BD165" s="150"/>
      <c r="BE165" s="150"/>
      <c r="BF165" s="150"/>
      <c r="BG165" s="150"/>
      <c r="BH165" s="150"/>
      <c r="BI165" s="150"/>
      <c r="BJ165" s="152"/>
      <c r="BK165" s="32" t="str">
        <f t="shared" si="108"/>
        <v>ENT_31_07_ベース_MML_診断履歴情報モジュール_病名.sql</v>
      </c>
    </row>
    <row r="166" spans="1:63" ht="37.5" hidden="1" customHeight="1" outlineLevel="1">
      <c r="A166" s="34" t="str">
        <f t="shared" si="103"/>
        <v>ベース_MML_処方箋モジュール_本文</v>
      </c>
      <c r="B166" s="143" t="str">
        <f t="shared" si="104"/>
        <v>31</v>
      </c>
      <c r="C166" s="144"/>
      <c r="D166" s="144"/>
      <c r="E166" s="144"/>
      <c r="F166" s="145"/>
      <c r="G166" s="146" t="s">
        <v>308</v>
      </c>
      <c r="H166" s="147"/>
      <c r="I166" s="147"/>
      <c r="J166" s="147"/>
      <c r="K166" s="147"/>
      <c r="L166" s="147"/>
      <c r="M166" s="147"/>
      <c r="N166" s="148"/>
      <c r="O166" s="81" t="str">
        <f t="shared" si="105"/>
        <v>ENT_31_08</v>
      </c>
      <c r="P166" s="140" t="s">
        <v>3732</v>
      </c>
      <c r="Q166" s="141"/>
      <c r="R166" s="141"/>
      <c r="S166" s="141"/>
      <c r="T166" s="141"/>
      <c r="U166" s="141"/>
      <c r="V166" s="141"/>
      <c r="W166" s="141"/>
      <c r="X166" s="141"/>
      <c r="Y166" s="141"/>
      <c r="Z166" s="141"/>
      <c r="AA166" s="141"/>
      <c r="AB166" s="141"/>
      <c r="AC166" s="141"/>
      <c r="AD166" s="142"/>
      <c r="AE166" s="149" t="str">
        <f t="shared" ca="1" si="106"/>
        <v>sny_202310_base_text_mml_mmlps_body</v>
      </c>
      <c r="AF166" s="150"/>
      <c r="AG166" s="150"/>
      <c r="AH166" s="150"/>
      <c r="AI166" s="150"/>
      <c r="AJ166" s="150"/>
      <c r="AK166" s="150"/>
      <c r="AL166" s="151"/>
      <c r="AM166" s="149" t="str">
        <f t="shared" ca="1" si="107"/>
        <v>バックアップ_MML_処方箋モジュール_本文テーブルから対象患者で絞り込んだ結果を格納するテーブル</v>
      </c>
      <c r="AN166" s="150"/>
      <c r="AO166" s="150"/>
      <c r="AP166" s="150"/>
      <c r="AQ166" s="150"/>
      <c r="AR166" s="150"/>
      <c r="AS166" s="150"/>
      <c r="AT166" s="150"/>
      <c r="AU166" s="150"/>
      <c r="AV166" s="150"/>
      <c r="AW166" s="150"/>
      <c r="AX166" s="150"/>
      <c r="AY166" s="150"/>
      <c r="AZ166" s="150"/>
      <c r="BA166" s="150"/>
      <c r="BB166" s="150"/>
      <c r="BC166" s="150"/>
      <c r="BD166" s="150"/>
      <c r="BE166" s="150"/>
      <c r="BF166" s="150"/>
      <c r="BG166" s="150"/>
      <c r="BH166" s="150"/>
      <c r="BI166" s="150"/>
      <c r="BJ166" s="152"/>
      <c r="BK166" s="32" t="str">
        <f t="shared" si="108"/>
        <v>ENT_31_08_ベース_MML_処方箋モジュール_本文.sql</v>
      </c>
    </row>
    <row r="167" spans="1:63" ht="37.5" hidden="1" customHeight="1" outlineLevel="1">
      <c r="A167" s="34" t="str">
        <f t="shared" si="103"/>
        <v>ベース_MML_処方箋モジュール_投薬</v>
      </c>
      <c r="B167" s="143" t="str">
        <f t="shared" si="104"/>
        <v>31</v>
      </c>
      <c r="C167" s="144"/>
      <c r="D167" s="144"/>
      <c r="E167" s="144"/>
      <c r="F167" s="145"/>
      <c r="G167" s="146" t="s">
        <v>308</v>
      </c>
      <c r="H167" s="147"/>
      <c r="I167" s="147"/>
      <c r="J167" s="147"/>
      <c r="K167" s="147"/>
      <c r="L167" s="147"/>
      <c r="M167" s="147"/>
      <c r="N167" s="148"/>
      <c r="O167" s="81" t="str">
        <f t="shared" si="105"/>
        <v>ENT_31_09</v>
      </c>
      <c r="P167" s="140" t="s">
        <v>3733</v>
      </c>
      <c r="Q167" s="141"/>
      <c r="R167" s="141"/>
      <c r="S167" s="141"/>
      <c r="T167" s="141"/>
      <c r="U167" s="141"/>
      <c r="V167" s="141"/>
      <c r="W167" s="141"/>
      <c r="X167" s="141"/>
      <c r="Y167" s="141"/>
      <c r="Z167" s="141"/>
      <c r="AA167" s="141"/>
      <c r="AB167" s="141"/>
      <c r="AC167" s="141"/>
      <c r="AD167" s="142"/>
      <c r="AE167" s="149" t="str">
        <f t="shared" ca="1" si="106"/>
        <v>sny_202310_base_text_mml_mmlps_medication</v>
      </c>
      <c r="AF167" s="150"/>
      <c r="AG167" s="150"/>
      <c r="AH167" s="150"/>
      <c r="AI167" s="150"/>
      <c r="AJ167" s="150"/>
      <c r="AK167" s="150"/>
      <c r="AL167" s="151"/>
      <c r="AM167" s="149" t="str">
        <f t="shared" ca="1" si="107"/>
        <v>バックアップ_MML_処方箋モジュール_投薬テーブルから対象患者で絞り込んだ結果を格納するテーブル</v>
      </c>
      <c r="AN167" s="150"/>
      <c r="AO167" s="150"/>
      <c r="AP167" s="150"/>
      <c r="AQ167" s="150"/>
      <c r="AR167" s="150"/>
      <c r="AS167" s="150"/>
      <c r="AT167" s="150"/>
      <c r="AU167" s="150"/>
      <c r="AV167" s="150"/>
      <c r="AW167" s="150"/>
      <c r="AX167" s="150"/>
      <c r="AY167" s="150"/>
      <c r="AZ167" s="150"/>
      <c r="BA167" s="150"/>
      <c r="BB167" s="150"/>
      <c r="BC167" s="150"/>
      <c r="BD167" s="150"/>
      <c r="BE167" s="150"/>
      <c r="BF167" s="150"/>
      <c r="BG167" s="150"/>
      <c r="BH167" s="150"/>
      <c r="BI167" s="150"/>
      <c r="BJ167" s="152"/>
      <c r="BK167" s="32" t="str">
        <f t="shared" si="108"/>
        <v>ENT_31_09_ベース_MML_処方箋モジュール_投薬.sql</v>
      </c>
    </row>
    <row r="168" spans="1:63" ht="37.5" hidden="1" customHeight="1" outlineLevel="1">
      <c r="A168" s="34" t="str">
        <f t="shared" si="103"/>
        <v>ベース_MML_処方箋モジュール_薬剤</v>
      </c>
      <c r="B168" s="143" t="str">
        <f t="shared" si="104"/>
        <v>31</v>
      </c>
      <c r="C168" s="144"/>
      <c r="D168" s="144"/>
      <c r="E168" s="144"/>
      <c r="F168" s="145"/>
      <c r="G168" s="146" t="s">
        <v>308</v>
      </c>
      <c r="H168" s="147"/>
      <c r="I168" s="147"/>
      <c r="J168" s="147"/>
      <c r="K168" s="147"/>
      <c r="L168" s="147"/>
      <c r="M168" s="147"/>
      <c r="N168" s="148"/>
      <c r="O168" s="81" t="str">
        <f t="shared" si="105"/>
        <v>ENT_31_10</v>
      </c>
      <c r="P168" s="140" t="s">
        <v>3734</v>
      </c>
      <c r="Q168" s="141"/>
      <c r="R168" s="141"/>
      <c r="S168" s="141"/>
      <c r="T168" s="141"/>
      <c r="U168" s="141"/>
      <c r="V168" s="141"/>
      <c r="W168" s="141"/>
      <c r="X168" s="141"/>
      <c r="Y168" s="141"/>
      <c r="Z168" s="141"/>
      <c r="AA168" s="141"/>
      <c r="AB168" s="141"/>
      <c r="AC168" s="141"/>
      <c r="AD168" s="142"/>
      <c r="AE168" s="149" t="str">
        <f t="shared" ca="1" si="106"/>
        <v>sny_202310_base_text_mml_mmlps_medicine</v>
      </c>
      <c r="AF168" s="150"/>
      <c r="AG168" s="150"/>
      <c r="AH168" s="150"/>
      <c r="AI168" s="150"/>
      <c r="AJ168" s="150"/>
      <c r="AK168" s="150"/>
      <c r="AL168" s="151"/>
      <c r="AM168" s="149" t="str">
        <f t="shared" ca="1" si="107"/>
        <v>バックアップ_MML_処方箋モジュール_薬剤テーブルから対象患者で絞り込んだ結果を格納するテーブル</v>
      </c>
      <c r="AN168" s="150"/>
      <c r="AO168" s="150"/>
      <c r="AP168" s="150"/>
      <c r="AQ168" s="150"/>
      <c r="AR168" s="150"/>
      <c r="AS168" s="150"/>
      <c r="AT168" s="150"/>
      <c r="AU168" s="150"/>
      <c r="AV168" s="150"/>
      <c r="AW168" s="150"/>
      <c r="AX168" s="150"/>
      <c r="AY168" s="150"/>
      <c r="AZ168" s="150"/>
      <c r="BA168" s="150"/>
      <c r="BB168" s="150"/>
      <c r="BC168" s="150"/>
      <c r="BD168" s="150"/>
      <c r="BE168" s="150"/>
      <c r="BF168" s="150"/>
      <c r="BG168" s="150"/>
      <c r="BH168" s="150"/>
      <c r="BI168" s="150"/>
      <c r="BJ168" s="152"/>
      <c r="BK168" s="32" t="str">
        <f t="shared" si="108"/>
        <v>ENT_31_10_ベース_MML_処方箋モジュール_薬剤.sql</v>
      </c>
    </row>
    <row r="169" spans="1:63" ht="37.5" hidden="1" customHeight="1" outlineLevel="1">
      <c r="A169" s="34" t="str">
        <f t="shared" si="103"/>
        <v>ベース_DPC調査データ_入院EF統合ファイル</v>
      </c>
      <c r="B169" s="143" t="str">
        <f t="shared" si="104"/>
        <v>31</v>
      </c>
      <c r="C169" s="144"/>
      <c r="D169" s="144"/>
      <c r="E169" s="144"/>
      <c r="F169" s="145"/>
      <c r="G169" s="146" t="s">
        <v>308</v>
      </c>
      <c r="H169" s="147"/>
      <c r="I169" s="147"/>
      <c r="J169" s="147"/>
      <c r="K169" s="147"/>
      <c r="L169" s="147"/>
      <c r="M169" s="147"/>
      <c r="N169" s="148"/>
      <c r="O169" s="81" t="str">
        <f t="shared" si="105"/>
        <v>ENT_31_11</v>
      </c>
      <c r="P169" s="140" t="s">
        <v>3735</v>
      </c>
      <c r="Q169" s="141"/>
      <c r="R169" s="141"/>
      <c r="S169" s="141"/>
      <c r="T169" s="141"/>
      <c r="U169" s="141"/>
      <c r="V169" s="141"/>
      <c r="W169" s="141"/>
      <c r="X169" s="141"/>
      <c r="Y169" s="141"/>
      <c r="Z169" s="141"/>
      <c r="AA169" s="141"/>
      <c r="AB169" s="141"/>
      <c r="AC169" s="141"/>
      <c r="AD169" s="142"/>
      <c r="AE169" s="149" t="str">
        <f t="shared" ca="1" si="106"/>
        <v>sny_202310_base_merge_dpc_efn</v>
      </c>
      <c r="AF169" s="150"/>
      <c r="AG169" s="150"/>
      <c r="AH169" s="150"/>
      <c r="AI169" s="150"/>
      <c r="AJ169" s="150"/>
      <c r="AK169" s="150"/>
      <c r="AL169" s="151"/>
      <c r="AM169" s="149" t="str">
        <f t="shared" ca="1" si="107"/>
        <v>バックアップ_DPC調査データ_入院EF統合ファイルテーブルから対象患者で絞り込んだ結果を格納するテーブル</v>
      </c>
      <c r="AN169" s="150"/>
      <c r="AO169" s="150"/>
      <c r="AP169" s="150"/>
      <c r="AQ169" s="150"/>
      <c r="AR169" s="150"/>
      <c r="AS169" s="150"/>
      <c r="AT169" s="150"/>
      <c r="AU169" s="150"/>
      <c r="AV169" s="150"/>
      <c r="AW169" s="150"/>
      <c r="AX169" s="150"/>
      <c r="AY169" s="150"/>
      <c r="AZ169" s="150"/>
      <c r="BA169" s="150"/>
      <c r="BB169" s="150"/>
      <c r="BC169" s="150"/>
      <c r="BD169" s="150"/>
      <c r="BE169" s="150"/>
      <c r="BF169" s="150"/>
      <c r="BG169" s="150"/>
      <c r="BH169" s="150"/>
      <c r="BI169" s="150"/>
      <c r="BJ169" s="152"/>
      <c r="BK169" s="32" t="str">
        <f t="shared" si="108"/>
        <v>ENT_31_11_ベース_DPC調査データ_入院EF統合ファイル.sql</v>
      </c>
    </row>
    <row r="170" spans="1:63" ht="37.5" hidden="1" customHeight="1" outlineLevel="1">
      <c r="A170" s="34" t="str">
        <f t="shared" si="103"/>
        <v>ベース_DPC調査データ_外来EF統合ファイル</v>
      </c>
      <c r="B170" s="143" t="str">
        <f t="shared" si="104"/>
        <v>31</v>
      </c>
      <c r="C170" s="144"/>
      <c r="D170" s="144"/>
      <c r="E170" s="144"/>
      <c r="F170" s="145"/>
      <c r="G170" s="146" t="s">
        <v>308</v>
      </c>
      <c r="H170" s="147"/>
      <c r="I170" s="147"/>
      <c r="J170" s="147"/>
      <c r="K170" s="147"/>
      <c r="L170" s="147"/>
      <c r="M170" s="147"/>
      <c r="N170" s="148"/>
      <c r="O170" s="81" t="str">
        <f t="shared" si="105"/>
        <v>ENT_31_12</v>
      </c>
      <c r="P170" s="140" t="s">
        <v>3736</v>
      </c>
      <c r="Q170" s="141"/>
      <c r="R170" s="141"/>
      <c r="S170" s="141"/>
      <c r="T170" s="141"/>
      <c r="U170" s="141"/>
      <c r="V170" s="141"/>
      <c r="W170" s="141"/>
      <c r="X170" s="141"/>
      <c r="Y170" s="141"/>
      <c r="Z170" s="141"/>
      <c r="AA170" s="141"/>
      <c r="AB170" s="141"/>
      <c r="AC170" s="141"/>
      <c r="AD170" s="142"/>
      <c r="AE170" s="149" t="str">
        <f t="shared" ca="1" si="106"/>
        <v>sny_202310_base_merge_dpc_efg</v>
      </c>
      <c r="AF170" s="150"/>
      <c r="AG170" s="150"/>
      <c r="AH170" s="150"/>
      <c r="AI170" s="150"/>
      <c r="AJ170" s="150"/>
      <c r="AK170" s="150"/>
      <c r="AL170" s="151"/>
      <c r="AM170" s="149" t="str">
        <f t="shared" ca="1" si="107"/>
        <v>バックアップ_DPC調査データ_外来EF統合ファイルテーブルから対象患者で絞り込んだ結果を格納するテーブル</v>
      </c>
      <c r="AN170" s="150"/>
      <c r="AO170" s="150"/>
      <c r="AP170" s="150"/>
      <c r="AQ170" s="150"/>
      <c r="AR170" s="150"/>
      <c r="AS170" s="150"/>
      <c r="AT170" s="150"/>
      <c r="AU170" s="150"/>
      <c r="AV170" s="150"/>
      <c r="AW170" s="150"/>
      <c r="AX170" s="150"/>
      <c r="AY170" s="150"/>
      <c r="AZ170" s="150"/>
      <c r="BA170" s="150"/>
      <c r="BB170" s="150"/>
      <c r="BC170" s="150"/>
      <c r="BD170" s="150"/>
      <c r="BE170" s="150"/>
      <c r="BF170" s="150"/>
      <c r="BG170" s="150"/>
      <c r="BH170" s="150"/>
      <c r="BI170" s="150"/>
      <c r="BJ170" s="152"/>
      <c r="BK170" s="32" t="str">
        <f t="shared" si="108"/>
        <v>ENT_31_12_ベース_DPC調査データ_外来EF統合ファイル.sql</v>
      </c>
    </row>
    <row r="171" spans="1:63" ht="37.5" hidden="1" customHeight="1" outlineLevel="1">
      <c r="A171" s="34" t="str">
        <f t="shared" si="103"/>
        <v>ベース_DPC調査データ_様式1</v>
      </c>
      <c r="B171" s="143" t="str">
        <f t="shared" si="104"/>
        <v>31</v>
      </c>
      <c r="C171" s="144"/>
      <c r="D171" s="144"/>
      <c r="E171" s="144"/>
      <c r="F171" s="145"/>
      <c r="G171" s="146" t="s">
        <v>308</v>
      </c>
      <c r="H171" s="147"/>
      <c r="I171" s="147"/>
      <c r="J171" s="147"/>
      <c r="K171" s="147"/>
      <c r="L171" s="147"/>
      <c r="M171" s="147"/>
      <c r="N171" s="148"/>
      <c r="O171" s="81" t="str">
        <f t="shared" si="105"/>
        <v>ENT_31_13</v>
      </c>
      <c r="P171" s="140" t="s">
        <v>3737</v>
      </c>
      <c r="Q171" s="141"/>
      <c r="R171" s="141"/>
      <c r="S171" s="141"/>
      <c r="T171" s="141"/>
      <c r="U171" s="141"/>
      <c r="V171" s="141"/>
      <c r="W171" s="141"/>
      <c r="X171" s="141"/>
      <c r="Y171" s="141"/>
      <c r="Z171" s="141"/>
      <c r="AA171" s="141"/>
      <c r="AB171" s="141"/>
      <c r="AC171" s="141"/>
      <c r="AD171" s="142"/>
      <c r="AE171" s="149" t="str">
        <f t="shared" ca="1" si="106"/>
        <v>sny_202310_base_merge_dpc_ff1</v>
      </c>
      <c r="AF171" s="150"/>
      <c r="AG171" s="150"/>
      <c r="AH171" s="150"/>
      <c r="AI171" s="150"/>
      <c r="AJ171" s="150"/>
      <c r="AK171" s="150"/>
      <c r="AL171" s="151"/>
      <c r="AM171" s="149" t="str">
        <f t="shared" ca="1" si="107"/>
        <v>バックアップ_DPC調査データ_様式1テーブルから対象患者で絞り込んだ結果を格納するテーブル</v>
      </c>
      <c r="AN171" s="150"/>
      <c r="AO171" s="150"/>
      <c r="AP171" s="150"/>
      <c r="AQ171" s="150"/>
      <c r="AR171" s="150"/>
      <c r="AS171" s="150"/>
      <c r="AT171" s="150"/>
      <c r="AU171" s="150"/>
      <c r="AV171" s="150"/>
      <c r="AW171" s="150"/>
      <c r="AX171" s="150"/>
      <c r="AY171" s="150"/>
      <c r="AZ171" s="150"/>
      <c r="BA171" s="150"/>
      <c r="BB171" s="150"/>
      <c r="BC171" s="150"/>
      <c r="BD171" s="150"/>
      <c r="BE171" s="150"/>
      <c r="BF171" s="150"/>
      <c r="BG171" s="150"/>
      <c r="BH171" s="150"/>
      <c r="BI171" s="150"/>
      <c r="BJ171" s="152"/>
      <c r="BK171" s="32" t="str">
        <f t="shared" si="108"/>
        <v>ENT_31_13_ベース_DPC調査データ_様式1.sql</v>
      </c>
    </row>
    <row r="172" spans="1:63" ht="37.5" hidden="1" customHeight="1" outlineLevel="1">
      <c r="A172" s="34" t="str">
        <f t="shared" si="103"/>
        <v>ベース_DPC調査データ_様式1_診断情報_併存症</v>
      </c>
      <c r="B172" s="143" t="str">
        <f t="shared" si="104"/>
        <v>31</v>
      </c>
      <c r="C172" s="144"/>
      <c r="D172" s="144"/>
      <c r="E172" s="144"/>
      <c r="F172" s="145"/>
      <c r="G172" s="146" t="s">
        <v>308</v>
      </c>
      <c r="H172" s="147"/>
      <c r="I172" s="147"/>
      <c r="J172" s="147"/>
      <c r="K172" s="147"/>
      <c r="L172" s="147"/>
      <c r="M172" s="147"/>
      <c r="N172" s="148"/>
      <c r="O172" s="81" t="str">
        <f t="shared" si="105"/>
        <v>ENT_31_14</v>
      </c>
      <c r="P172" s="140" t="s">
        <v>3738</v>
      </c>
      <c r="Q172" s="141"/>
      <c r="R172" s="141"/>
      <c r="S172" s="141"/>
      <c r="T172" s="141"/>
      <c r="U172" s="141"/>
      <c r="V172" s="141"/>
      <c r="W172" s="141"/>
      <c r="X172" s="141"/>
      <c r="Y172" s="141"/>
      <c r="Z172" s="141"/>
      <c r="AA172" s="141"/>
      <c r="AB172" s="141"/>
      <c r="AC172" s="141"/>
      <c r="AD172" s="142"/>
      <c r="AE172" s="149" t="str">
        <f t="shared" ca="1" si="106"/>
        <v>sny_202310_base_merge_dpc_ff1_a006040</v>
      </c>
      <c r="AF172" s="150"/>
      <c r="AG172" s="150"/>
      <c r="AH172" s="150"/>
      <c r="AI172" s="150"/>
      <c r="AJ172" s="150"/>
      <c r="AK172" s="150"/>
      <c r="AL172" s="151"/>
      <c r="AM172" s="149" t="str">
        <f t="shared" ca="1" si="107"/>
        <v>バックアップ_DPC調査データ_様式1_診断情報_併存症テーブルから対象患者で絞り込んだ結果を格納するテーブル</v>
      </c>
      <c r="AN172" s="150"/>
      <c r="AO172" s="150"/>
      <c r="AP172" s="150"/>
      <c r="AQ172" s="150"/>
      <c r="AR172" s="150"/>
      <c r="AS172" s="150"/>
      <c r="AT172" s="150"/>
      <c r="AU172" s="150"/>
      <c r="AV172" s="150"/>
      <c r="AW172" s="150"/>
      <c r="AX172" s="150"/>
      <c r="AY172" s="150"/>
      <c r="AZ172" s="150"/>
      <c r="BA172" s="150"/>
      <c r="BB172" s="150"/>
      <c r="BC172" s="150"/>
      <c r="BD172" s="150"/>
      <c r="BE172" s="150"/>
      <c r="BF172" s="150"/>
      <c r="BG172" s="150"/>
      <c r="BH172" s="150"/>
      <c r="BI172" s="150"/>
      <c r="BJ172" s="152"/>
      <c r="BK172" s="32" t="str">
        <f t="shared" si="108"/>
        <v>ENT_31_14_ベース_DPC調査データ_様式1_診断情報_併存症.sql</v>
      </c>
    </row>
    <row r="173" spans="1:63" ht="37.5" hidden="1" customHeight="1" outlineLevel="1">
      <c r="A173" s="34" t="str">
        <f t="shared" si="103"/>
        <v>ベース_DPC調査データ_様式1_診断情報_続発症</v>
      </c>
      <c r="B173" s="143" t="str">
        <f t="shared" si="104"/>
        <v>31</v>
      </c>
      <c r="C173" s="144"/>
      <c r="D173" s="144"/>
      <c r="E173" s="144"/>
      <c r="F173" s="145"/>
      <c r="G173" s="146" t="s">
        <v>308</v>
      </c>
      <c r="H173" s="147"/>
      <c r="I173" s="147"/>
      <c r="J173" s="147"/>
      <c r="K173" s="147"/>
      <c r="L173" s="147"/>
      <c r="M173" s="147"/>
      <c r="N173" s="148"/>
      <c r="O173" s="81" t="str">
        <f t="shared" si="105"/>
        <v>ENT_31_15</v>
      </c>
      <c r="P173" s="140" t="s">
        <v>3739</v>
      </c>
      <c r="Q173" s="141"/>
      <c r="R173" s="141"/>
      <c r="S173" s="141"/>
      <c r="T173" s="141"/>
      <c r="U173" s="141"/>
      <c r="V173" s="141"/>
      <c r="W173" s="141"/>
      <c r="X173" s="141"/>
      <c r="Y173" s="141"/>
      <c r="Z173" s="141"/>
      <c r="AA173" s="141"/>
      <c r="AB173" s="141"/>
      <c r="AC173" s="141"/>
      <c r="AD173" s="142"/>
      <c r="AE173" s="149" t="str">
        <f t="shared" ca="1" si="106"/>
        <v>sny_202310_base_merge_dpc_ff1_a006050</v>
      </c>
      <c r="AF173" s="150"/>
      <c r="AG173" s="150"/>
      <c r="AH173" s="150"/>
      <c r="AI173" s="150"/>
      <c r="AJ173" s="150"/>
      <c r="AK173" s="150"/>
      <c r="AL173" s="151"/>
      <c r="AM173" s="149" t="str">
        <f t="shared" ca="1" si="107"/>
        <v>バックアップ_DPC調査データ_様式1_診断情報_続発症テーブルから対象患者で絞り込んだ結果を格納するテーブル</v>
      </c>
      <c r="AN173" s="150"/>
      <c r="AO173" s="150"/>
      <c r="AP173" s="150"/>
      <c r="AQ173" s="150"/>
      <c r="AR173" s="150"/>
      <c r="AS173" s="150"/>
      <c r="AT173" s="150"/>
      <c r="AU173" s="150"/>
      <c r="AV173" s="150"/>
      <c r="AW173" s="150"/>
      <c r="AX173" s="150"/>
      <c r="AY173" s="150"/>
      <c r="AZ173" s="150"/>
      <c r="BA173" s="150"/>
      <c r="BB173" s="150"/>
      <c r="BC173" s="150"/>
      <c r="BD173" s="150"/>
      <c r="BE173" s="150"/>
      <c r="BF173" s="150"/>
      <c r="BG173" s="150"/>
      <c r="BH173" s="150"/>
      <c r="BI173" s="150"/>
      <c r="BJ173" s="152"/>
      <c r="BK173" s="32" t="str">
        <f t="shared" si="108"/>
        <v>ENT_31_15_ベース_DPC調査データ_様式1_診断情報_続発症.sql</v>
      </c>
    </row>
    <row r="174" spans="1:63" ht="37.5" hidden="1" customHeight="1" outlineLevel="1">
      <c r="A174" s="34" t="str">
        <f t="shared" si="103"/>
        <v>ベース_診断履歴情報モジュール_診断履歴情報レコード</v>
      </c>
      <c r="B174" s="143" t="str">
        <f t="shared" si="104"/>
        <v>31</v>
      </c>
      <c r="C174" s="144"/>
      <c r="D174" s="144"/>
      <c r="E174" s="144"/>
      <c r="F174" s="145"/>
      <c r="G174" s="146" t="s">
        <v>308</v>
      </c>
      <c r="H174" s="147"/>
      <c r="I174" s="147"/>
      <c r="J174" s="147"/>
      <c r="K174" s="147"/>
      <c r="L174" s="147"/>
      <c r="M174" s="147"/>
      <c r="N174" s="148"/>
      <c r="O174" s="81" t="str">
        <f t="shared" si="105"/>
        <v>ENT_31_16</v>
      </c>
      <c r="P174" s="140" t="s">
        <v>3740</v>
      </c>
      <c r="Q174" s="141"/>
      <c r="R174" s="141"/>
      <c r="S174" s="141"/>
      <c r="T174" s="141"/>
      <c r="U174" s="141"/>
      <c r="V174" s="141"/>
      <c r="W174" s="141"/>
      <c r="X174" s="141"/>
      <c r="Y174" s="141"/>
      <c r="Z174" s="141"/>
      <c r="AA174" s="141"/>
      <c r="AB174" s="141"/>
      <c r="AC174" s="141"/>
      <c r="AD174" s="142"/>
      <c r="AE174" s="149" t="str">
        <f t="shared" ca="1" si="106"/>
        <v>sny_202310_base_merge_mml_rd_register</v>
      </c>
      <c r="AF174" s="150"/>
      <c r="AG174" s="150"/>
      <c r="AH174" s="150"/>
      <c r="AI174" s="150"/>
      <c r="AJ174" s="150"/>
      <c r="AK174" s="150"/>
      <c r="AL174" s="151"/>
      <c r="AM174" s="149" t="str">
        <f t="shared" ca="1" si="107"/>
        <v>バックアップ_診断履歴情報モジュール_診断履歴情報レコードテーブルから対象患者で絞り込んだ結果を格納するテーブル</v>
      </c>
      <c r="AN174" s="150"/>
      <c r="AO174" s="150"/>
      <c r="AP174" s="150"/>
      <c r="AQ174" s="150"/>
      <c r="AR174" s="150"/>
      <c r="AS174" s="150"/>
      <c r="AT174" s="150"/>
      <c r="AU174" s="150"/>
      <c r="AV174" s="150"/>
      <c r="AW174" s="150"/>
      <c r="AX174" s="150"/>
      <c r="AY174" s="150"/>
      <c r="AZ174" s="150"/>
      <c r="BA174" s="150"/>
      <c r="BB174" s="150"/>
      <c r="BC174" s="150"/>
      <c r="BD174" s="150"/>
      <c r="BE174" s="150"/>
      <c r="BF174" s="150"/>
      <c r="BG174" s="150"/>
      <c r="BH174" s="150"/>
      <c r="BI174" s="150"/>
      <c r="BJ174" s="152"/>
      <c r="BK174" s="32" t="str">
        <f t="shared" si="108"/>
        <v>ENT_31_16_ベース_診断履歴情報モジュール_診断履歴情報レコード.sql</v>
      </c>
    </row>
    <row r="175" spans="1:63" ht="37.5" hidden="1" customHeight="1" outlineLevel="1">
      <c r="A175" s="34" t="str">
        <f t="shared" si="103"/>
        <v>ベース_診断履歴情報モジュール_診断病名レコード</v>
      </c>
      <c r="B175" s="143" t="str">
        <f t="shared" si="104"/>
        <v>31</v>
      </c>
      <c r="C175" s="144"/>
      <c r="D175" s="144"/>
      <c r="E175" s="144"/>
      <c r="F175" s="145"/>
      <c r="G175" s="146" t="s">
        <v>308</v>
      </c>
      <c r="H175" s="147"/>
      <c r="I175" s="147"/>
      <c r="J175" s="147"/>
      <c r="K175" s="147"/>
      <c r="L175" s="147"/>
      <c r="M175" s="147"/>
      <c r="N175" s="148"/>
      <c r="O175" s="81" t="str">
        <f t="shared" si="105"/>
        <v>ENT_31_17</v>
      </c>
      <c r="P175" s="140" t="s">
        <v>3741</v>
      </c>
      <c r="Q175" s="141"/>
      <c r="R175" s="141"/>
      <c r="S175" s="141"/>
      <c r="T175" s="141"/>
      <c r="U175" s="141"/>
      <c r="V175" s="141"/>
      <c r="W175" s="141"/>
      <c r="X175" s="141"/>
      <c r="Y175" s="141"/>
      <c r="Z175" s="141"/>
      <c r="AA175" s="141"/>
      <c r="AB175" s="141"/>
      <c r="AC175" s="141"/>
      <c r="AD175" s="142"/>
      <c r="AE175" s="149" t="str">
        <f t="shared" ca="1" si="106"/>
        <v>sny_202310_base_merge_mml_rd_byomei</v>
      </c>
      <c r="AF175" s="150"/>
      <c r="AG175" s="150"/>
      <c r="AH175" s="150"/>
      <c r="AI175" s="150"/>
      <c r="AJ175" s="150"/>
      <c r="AK175" s="150"/>
      <c r="AL175" s="151"/>
      <c r="AM175" s="149" t="str">
        <f t="shared" ca="1" si="107"/>
        <v>バックアップ_診断履歴情報モジュール_診断病名レコードテーブルから対象患者で絞り込んだ結果を格納するテーブル</v>
      </c>
      <c r="AN175" s="150"/>
      <c r="AO175" s="150"/>
      <c r="AP175" s="150"/>
      <c r="AQ175" s="150"/>
      <c r="AR175" s="150"/>
      <c r="AS175" s="150"/>
      <c r="AT175" s="150"/>
      <c r="AU175" s="150"/>
      <c r="AV175" s="150"/>
      <c r="AW175" s="150"/>
      <c r="AX175" s="150"/>
      <c r="AY175" s="150"/>
      <c r="AZ175" s="150"/>
      <c r="BA175" s="150"/>
      <c r="BB175" s="150"/>
      <c r="BC175" s="150"/>
      <c r="BD175" s="150"/>
      <c r="BE175" s="150"/>
      <c r="BF175" s="150"/>
      <c r="BG175" s="150"/>
      <c r="BH175" s="150"/>
      <c r="BI175" s="150"/>
      <c r="BJ175" s="152"/>
      <c r="BK175" s="32" t="str">
        <f t="shared" si="108"/>
        <v>ENT_31_17_ベース_診断履歴情報モジュール_診断病名レコード.sql</v>
      </c>
    </row>
    <row r="176" spans="1:63" ht="37.5" hidden="1" customHeight="1" outlineLevel="1">
      <c r="A176" s="34" t="str">
        <f t="shared" si="103"/>
        <v>ベース_経過記録情報モジュール_経過記録情報レコード</v>
      </c>
      <c r="B176" s="143" t="str">
        <f t="shared" si="104"/>
        <v>31</v>
      </c>
      <c r="C176" s="144"/>
      <c r="D176" s="144"/>
      <c r="E176" s="144"/>
      <c r="F176" s="145"/>
      <c r="G176" s="146" t="s">
        <v>308</v>
      </c>
      <c r="H176" s="147"/>
      <c r="I176" s="147"/>
      <c r="J176" s="147"/>
      <c r="K176" s="147"/>
      <c r="L176" s="147"/>
      <c r="M176" s="147"/>
      <c r="N176" s="148"/>
      <c r="O176" s="81" t="str">
        <f t="shared" si="105"/>
        <v>ENT_31_18</v>
      </c>
      <c r="P176" s="140" t="s">
        <v>3742</v>
      </c>
      <c r="Q176" s="141"/>
      <c r="R176" s="141"/>
      <c r="S176" s="141"/>
      <c r="T176" s="141"/>
      <c r="U176" s="141"/>
      <c r="V176" s="141"/>
      <c r="W176" s="141"/>
      <c r="X176" s="141"/>
      <c r="Y176" s="141"/>
      <c r="Z176" s="141"/>
      <c r="AA176" s="141"/>
      <c r="AB176" s="141"/>
      <c r="AC176" s="141"/>
      <c r="AD176" s="142"/>
      <c r="AE176" s="149" t="str">
        <f t="shared" ca="1" si="106"/>
        <v>sny_202310_base_merge_mml_pc_progress_course</v>
      </c>
      <c r="AF176" s="150"/>
      <c r="AG176" s="150"/>
      <c r="AH176" s="150"/>
      <c r="AI176" s="150"/>
      <c r="AJ176" s="150"/>
      <c r="AK176" s="150"/>
      <c r="AL176" s="151"/>
      <c r="AM176" s="149" t="str">
        <f t="shared" ca="1" si="107"/>
        <v>バックアップ_経過記録情報モジュール_経過記録情報レコードテーブルから対象患者で絞り込んだ結果を格納するテーブル</v>
      </c>
      <c r="AN176" s="150"/>
      <c r="AO176" s="150"/>
      <c r="AP176" s="150"/>
      <c r="AQ176" s="150"/>
      <c r="AR176" s="150"/>
      <c r="AS176" s="150"/>
      <c r="AT176" s="150"/>
      <c r="AU176" s="150"/>
      <c r="AV176" s="150"/>
      <c r="AW176" s="150"/>
      <c r="AX176" s="150"/>
      <c r="AY176" s="150"/>
      <c r="AZ176" s="150"/>
      <c r="BA176" s="150"/>
      <c r="BB176" s="150"/>
      <c r="BC176" s="150"/>
      <c r="BD176" s="150"/>
      <c r="BE176" s="150"/>
      <c r="BF176" s="150"/>
      <c r="BG176" s="150"/>
      <c r="BH176" s="150"/>
      <c r="BI176" s="150"/>
      <c r="BJ176" s="152"/>
      <c r="BK176" s="32" t="str">
        <f t="shared" si="108"/>
        <v>ENT_31_18_ベース_経過記録情報モジュール_経過記録情報レコード.sql</v>
      </c>
    </row>
    <row r="177" spans="1:63" ht="37.5" hidden="1" customHeight="1" outlineLevel="1">
      <c r="A177" s="34" t="str">
        <f t="shared" si="103"/>
        <v>ベース_経過記録情報モジュール_プロブレムレコード</v>
      </c>
      <c r="B177" s="143" t="str">
        <f t="shared" si="104"/>
        <v>31</v>
      </c>
      <c r="C177" s="144"/>
      <c r="D177" s="144"/>
      <c r="E177" s="144"/>
      <c r="F177" s="145"/>
      <c r="G177" s="146" t="s">
        <v>308</v>
      </c>
      <c r="H177" s="147"/>
      <c r="I177" s="147"/>
      <c r="J177" s="147"/>
      <c r="K177" s="147"/>
      <c r="L177" s="147"/>
      <c r="M177" s="147"/>
      <c r="N177" s="148"/>
      <c r="O177" s="81" t="str">
        <f t="shared" si="105"/>
        <v>ENT_31_19</v>
      </c>
      <c r="P177" s="140" t="s">
        <v>3743</v>
      </c>
      <c r="Q177" s="141"/>
      <c r="R177" s="141"/>
      <c r="S177" s="141"/>
      <c r="T177" s="141"/>
      <c r="U177" s="141"/>
      <c r="V177" s="141"/>
      <c r="W177" s="141"/>
      <c r="X177" s="141"/>
      <c r="Y177" s="141"/>
      <c r="Z177" s="141"/>
      <c r="AA177" s="141"/>
      <c r="AB177" s="141"/>
      <c r="AC177" s="141"/>
      <c r="AD177" s="142"/>
      <c r="AE177" s="149" t="str">
        <f t="shared" ca="1" si="106"/>
        <v>sny_202310_base_merge_mml_pc_problem</v>
      </c>
      <c r="AF177" s="150"/>
      <c r="AG177" s="150"/>
      <c r="AH177" s="150"/>
      <c r="AI177" s="150"/>
      <c r="AJ177" s="150"/>
      <c r="AK177" s="150"/>
      <c r="AL177" s="151"/>
      <c r="AM177" s="149" t="str">
        <f t="shared" ca="1" si="107"/>
        <v>バックアップ_経過記録情報モジュール_プロブレムレコードテーブルから対象患者で絞り込んだ結果を格納するテーブル</v>
      </c>
      <c r="AN177" s="150"/>
      <c r="AO177" s="150"/>
      <c r="AP177" s="150"/>
      <c r="AQ177" s="150"/>
      <c r="AR177" s="150"/>
      <c r="AS177" s="150"/>
      <c r="AT177" s="150"/>
      <c r="AU177" s="150"/>
      <c r="AV177" s="150"/>
      <c r="AW177" s="150"/>
      <c r="AX177" s="150"/>
      <c r="AY177" s="150"/>
      <c r="AZ177" s="150"/>
      <c r="BA177" s="150"/>
      <c r="BB177" s="150"/>
      <c r="BC177" s="150"/>
      <c r="BD177" s="150"/>
      <c r="BE177" s="150"/>
      <c r="BF177" s="150"/>
      <c r="BG177" s="150"/>
      <c r="BH177" s="150"/>
      <c r="BI177" s="150"/>
      <c r="BJ177" s="152"/>
      <c r="BK177" s="32" t="str">
        <f t="shared" si="108"/>
        <v>ENT_31_19_ベース_経過記録情報モジュール_プロブレムレコード.sql</v>
      </c>
    </row>
    <row r="178" spans="1:63" ht="37.5" hidden="1" customHeight="1" outlineLevel="1">
      <c r="A178" s="34" t="str">
        <f t="shared" si="103"/>
        <v>ベース_経過記録情報モジュール_身体所見レコード</v>
      </c>
      <c r="B178" s="143" t="str">
        <f t="shared" si="104"/>
        <v>31</v>
      </c>
      <c r="C178" s="144"/>
      <c r="D178" s="144"/>
      <c r="E178" s="144"/>
      <c r="F178" s="145"/>
      <c r="G178" s="146" t="s">
        <v>308</v>
      </c>
      <c r="H178" s="147"/>
      <c r="I178" s="147"/>
      <c r="J178" s="147"/>
      <c r="K178" s="147"/>
      <c r="L178" s="147"/>
      <c r="M178" s="147"/>
      <c r="N178" s="148"/>
      <c r="O178" s="81" t="str">
        <f t="shared" si="105"/>
        <v>ENT_31_20</v>
      </c>
      <c r="P178" s="140" t="s">
        <v>3744</v>
      </c>
      <c r="Q178" s="141"/>
      <c r="R178" s="141"/>
      <c r="S178" s="141"/>
      <c r="T178" s="141"/>
      <c r="U178" s="141"/>
      <c r="V178" s="141"/>
      <c r="W178" s="141"/>
      <c r="X178" s="141"/>
      <c r="Y178" s="141"/>
      <c r="Z178" s="141"/>
      <c r="AA178" s="141"/>
      <c r="AB178" s="141"/>
      <c r="AC178" s="141"/>
      <c r="AD178" s="142"/>
      <c r="AE178" s="149" t="str">
        <f t="shared" ca="1" si="106"/>
        <v>sny_202310_base_merge_mml_pc_physical_exam</v>
      </c>
      <c r="AF178" s="150"/>
      <c r="AG178" s="150"/>
      <c r="AH178" s="150"/>
      <c r="AI178" s="150"/>
      <c r="AJ178" s="150"/>
      <c r="AK178" s="150"/>
      <c r="AL178" s="151"/>
      <c r="AM178" s="149" t="str">
        <f t="shared" ca="1" si="107"/>
        <v>バックアップ_経過記録情報モジュール_身体所見レコードテーブルから対象患者で絞り込んだ結果を格納するテーブル</v>
      </c>
      <c r="AN178" s="150"/>
      <c r="AO178" s="150"/>
      <c r="AP178" s="150"/>
      <c r="AQ178" s="150"/>
      <c r="AR178" s="150"/>
      <c r="AS178" s="150"/>
      <c r="AT178" s="150"/>
      <c r="AU178" s="150"/>
      <c r="AV178" s="150"/>
      <c r="AW178" s="150"/>
      <c r="AX178" s="150"/>
      <c r="AY178" s="150"/>
      <c r="AZ178" s="150"/>
      <c r="BA178" s="150"/>
      <c r="BB178" s="150"/>
      <c r="BC178" s="150"/>
      <c r="BD178" s="150"/>
      <c r="BE178" s="150"/>
      <c r="BF178" s="150"/>
      <c r="BG178" s="150"/>
      <c r="BH178" s="150"/>
      <c r="BI178" s="150"/>
      <c r="BJ178" s="152"/>
      <c r="BK178" s="32" t="str">
        <f t="shared" si="108"/>
        <v>ENT_31_20_ベース_経過記録情報モジュール_身体所見レコード.sql</v>
      </c>
    </row>
    <row r="179" spans="1:63" ht="37.5" hidden="1" customHeight="1" outlineLevel="1">
      <c r="A179" s="34" t="str">
        <f t="shared" si="103"/>
        <v>ベース_経過記録情報モジュール_アセスメントレコード</v>
      </c>
      <c r="B179" s="143" t="str">
        <f t="shared" si="104"/>
        <v>31</v>
      </c>
      <c r="C179" s="144"/>
      <c r="D179" s="144"/>
      <c r="E179" s="144"/>
      <c r="F179" s="145"/>
      <c r="G179" s="146" t="s">
        <v>308</v>
      </c>
      <c r="H179" s="147"/>
      <c r="I179" s="147"/>
      <c r="J179" s="147"/>
      <c r="K179" s="147"/>
      <c r="L179" s="147"/>
      <c r="M179" s="147"/>
      <c r="N179" s="148"/>
      <c r="O179" s="81" t="str">
        <f t="shared" si="105"/>
        <v>ENT_31_21</v>
      </c>
      <c r="P179" s="140" t="s">
        <v>3745</v>
      </c>
      <c r="Q179" s="141"/>
      <c r="R179" s="141"/>
      <c r="S179" s="141"/>
      <c r="T179" s="141"/>
      <c r="U179" s="141"/>
      <c r="V179" s="141"/>
      <c r="W179" s="141"/>
      <c r="X179" s="141"/>
      <c r="Y179" s="141"/>
      <c r="Z179" s="141"/>
      <c r="AA179" s="141"/>
      <c r="AB179" s="141"/>
      <c r="AC179" s="141"/>
      <c r="AD179" s="142"/>
      <c r="AE179" s="149" t="str">
        <f t="shared" ca="1" si="106"/>
        <v>sny_202310_base_merge_mml_pc_assessment</v>
      </c>
      <c r="AF179" s="150"/>
      <c r="AG179" s="150"/>
      <c r="AH179" s="150"/>
      <c r="AI179" s="150"/>
      <c r="AJ179" s="150"/>
      <c r="AK179" s="150"/>
      <c r="AL179" s="151"/>
      <c r="AM179" s="149" t="str">
        <f t="shared" ca="1" si="107"/>
        <v>バックアップ_経過記録情報モジュール_アセスメントレコードテーブルから対象患者で絞り込んだ結果を格納するテーブル</v>
      </c>
      <c r="AN179" s="150"/>
      <c r="AO179" s="150"/>
      <c r="AP179" s="150"/>
      <c r="AQ179" s="150"/>
      <c r="AR179" s="150"/>
      <c r="AS179" s="150"/>
      <c r="AT179" s="150"/>
      <c r="AU179" s="150"/>
      <c r="AV179" s="150"/>
      <c r="AW179" s="150"/>
      <c r="AX179" s="150"/>
      <c r="AY179" s="150"/>
      <c r="AZ179" s="150"/>
      <c r="BA179" s="150"/>
      <c r="BB179" s="150"/>
      <c r="BC179" s="150"/>
      <c r="BD179" s="150"/>
      <c r="BE179" s="150"/>
      <c r="BF179" s="150"/>
      <c r="BG179" s="150"/>
      <c r="BH179" s="150"/>
      <c r="BI179" s="150"/>
      <c r="BJ179" s="152"/>
      <c r="BK179" s="32" t="str">
        <f t="shared" si="108"/>
        <v>ENT_31_21_ベース_経過記録情報モジュール_アセスメントレコード.sql</v>
      </c>
    </row>
    <row r="180" spans="1:63" ht="37.5" hidden="1" customHeight="1" outlineLevel="1">
      <c r="A180" s="34" t="str">
        <f t="shared" si="103"/>
        <v>ベース_経過記録情報モジュール_外部参照レコード</v>
      </c>
      <c r="B180" s="143" t="str">
        <f t="shared" si="104"/>
        <v>31</v>
      </c>
      <c r="C180" s="144"/>
      <c r="D180" s="144"/>
      <c r="E180" s="144"/>
      <c r="F180" s="145"/>
      <c r="G180" s="146" t="s">
        <v>308</v>
      </c>
      <c r="H180" s="147"/>
      <c r="I180" s="147"/>
      <c r="J180" s="147"/>
      <c r="K180" s="147"/>
      <c r="L180" s="147"/>
      <c r="M180" s="147"/>
      <c r="N180" s="148"/>
      <c r="O180" s="81" t="str">
        <f t="shared" si="105"/>
        <v>ENT_31_22</v>
      </c>
      <c r="P180" s="140" t="s">
        <v>3746</v>
      </c>
      <c r="Q180" s="141"/>
      <c r="R180" s="141"/>
      <c r="S180" s="141"/>
      <c r="T180" s="141"/>
      <c r="U180" s="141"/>
      <c r="V180" s="141"/>
      <c r="W180" s="141"/>
      <c r="X180" s="141"/>
      <c r="Y180" s="141"/>
      <c r="Z180" s="141"/>
      <c r="AA180" s="141"/>
      <c r="AB180" s="141"/>
      <c r="AC180" s="141"/>
      <c r="AD180" s="142"/>
      <c r="AE180" s="149" t="str">
        <f t="shared" ca="1" si="106"/>
        <v>sny_202310_base_merge_mml_pc_external_reference</v>
      </c>
      <c r="AF180" s="150"/>
      <c r="AG180" s="150"/>
      <c r="AH180" s="150"/>
      <c r="AI180" s="150"/>
      <c r="AJ180" s="150"/>
      <c r="AK180" s="150"/>
      <c r="AL180" s="151"/>
      <c r="AM180" s="149" t="str">
        <f t="shared" ca="1" si="107"/>
        <v>バックアップ_経過記録情報モジュール_外部参照レコードテーブルから対象患者で絞り込んだ結果を格納するテーブル</v>
      </c>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2"/>
      <c r="BK180" s="32" t="str">
        <f t="shared" si="108"/>
        <v>ENT_31_22_ベース_経過記録情報モジュール_外部参照レコード.sql</v>
      </c>
    </row>
    <row r="181" spans="1:63" ht="37.5" hidden="1" customHeight="1" outlineLevel="1">
      <c r="A181" s="34" t="str">
        <f t="shared" si="103"/>
        <v>ベース_臨床サマリーモジュール_臨床サマリー情報レコード</v>
      </c>
      <c r="B181" s="143" t="str">
        <f t="shared" si="104"/>
        <v>31</v>
      </c>
      <c r="C181" s="144"/>
      <c r="D181" s="144"/>
      <c r="E181" s="144"/>
      <c r="F181" s="145"/>
      <c r="G181" s="146" t="s">
        <v>308</v>
      </c>
      <c r="H181" s="147"/>
      <c r="I181" s="147"/>
      <c r="J181" s="147"/>
      <c r="K181" s="147"/>
      <c r="L181" s="147"/>
      <c r="M181" s="147"/>
      <c r="N181" s="148"/>
      <c r="O181" s="81" t="str">
        <f t="shared" si="105"/>
        <v>ENT_31_23</v>
      </c>
      <c r="P181" s="140" t="s">
        <v>3747</v>
      </c>
      <c r="Q181" s="141"/>
      <c r="R181" s="141"/>
      <c r="S181" s="141"/>
      <c r="T181" s="141"/>
      <c r="U181" s="141"/>
      <c r="V181" s="141"/>
      <c r="W181" s="141"/>
      <c r="X181" s="141"/>
      <c r="Y181" s="141"/>
      <c r="Z181" s="141"/>
      <c r="AA181" s="141"/>
      <c r="AB181" s="141"/>
      <c r="AC181" s="141"/>
      <c r="AD181" s="142"/>
      <c r="AE181" s="149" t="str">
        <f t="shared" ca="1" si="106"/>
        <v>sny_202310_base_merge_mml_sm_summary</v>
      </c>
      <c r="AF181" s="150"/>
      <c r="AG181" s="150"/>
      <c r="AH181" s="150"/>
      <c r="AI181" s="150"/>
      <c r="AJ181" s="150"/>
      <c r="AK181" s="150"/>
      <c r="AL181" s="151"/>
      <c r="AM181" s="149" t="str">
        <f t="shared" ca="1" si="107"/>
        <v>バックアップ_臨床サマリーモジュール_臨床サマリー情報レコードテーブルから対象患者で絞り込んだ結果を格納するテーブル</v>
      </c>
      <c r="AN181" s="150"/>
      <c r="AO181" s="150"/>
      <c r="AP181" s="150"/>
      <c r="AQ181" s="150"/>
      <c r="AR181" s="150"/>
      <c r="AS181" s="150"/>
      <c r="AT181" s="150"/>
      <c r="AU181" s="150"/>
      <c r="AV181" s="150"/>
      <c r="AW181" s="150"/>
      <c r="AX181" s="150"/>
      <c r="AY181" s="150"/>
      <c r="AZ181" s="150"/>
      <c r="BA181" s="150"/>
      <c r="BB181" s="150"/>
      <c r="BC181" s="150"/>
      <c r="BD181" s="150"/>
      <c r="BE181" s="150"/>
      <c r="BF181" s="150"/>
      <c r="BG181" s="150"/>
      <c r="BH181" s="150"/>
      <c r="BI181" s="150"/>
      <c r="BJ181" s="152"/>
      <c r="BK181" s="32" t="str">
        <f t="shared" si="108"/>
        <v>ENT_31_23_ベース_臨床サマリーモジュール_臨床サマリー情報レコード.sql</v>
      </c>
    </row>
    <row r="182" spans="1:63" ht="37.5" hidden="1" customHeight="1" outlineLevel="1">
      <c r="A182" s="34" t="str">
        <f t="shared" si="103"/>
        <v>ベース_臨床サマリーモジュール_外来受診レコード</v>
      </c>
      <c r="B182" s="143" t="str">
        <f t="shared" si="104"/>
        <v>31</v>
      </c>
      <c r="C182" s="144"/>
      <c r="D182" s="144"/>
      <c r="E182" s="144"/>
      <c r="F182" s="145"/>
      <c r="G182" s="146" t="s">
        <v>308</v>
      </c>
      <c r="H182" s="147"/>
      <c r="I182" s="147"/>
      <c r="J182" s="147"/>
      <c r="K182" s="147"/>
      <c r="L182" s="147"/>
      <c r="M182" s="147"/>
      <c r="N182" s="148"/>
      <c r="O182" s="81" t="str">
        <f t="shared" si="105"/>
        <v>ENT_31_24</v>
      </c>
      <c r="P182" s="140" t="s">
        <v>3748</v>
      </c>
      <c r="Q182" s="141"/>
      <c r="R182" s="141"/>
      <c r="S182" s="141"/>
      <c r="T182" s="141"/>
      <c r="U182" s="141"/>
      <c r="V182" s="141"/>
      <c r="W182" s="141"/>
      <c r="X182" s="141"/>
      <c r="Y182" s="141"/>
      <c r="Z182" s="141"/>
      <c r="AA182" s="141"/>
      <c r="AB182" s="141"/>
      <c r="AC182" s="141"/>
      <c r="AD182" s="142"/>
      <c r="AE182" s="149" t="str">
        <f t="shared" ca="1" si="106"/>
        <v>sny_202310_base_merge_mml_sm_out_patient</v>
      </c>
      <c r="AF182" s="150"/>
      <c r="AG182" s="150"/>
      <c r="AH182" s="150"/>
      <c r="AI182" s="150"/>
      <c r="AJ182" s="150"/>
      <c r="AK182" s="150"/>
      <c r="AL182" s="151"/>
      <c r="AM182" s="149" t="str">
        <f t="shared" ca="1" si="107"/>
        <v>バックアップ_臨床サマリーモジュール_外来受診レコードテーブルから対象患者で絞り込んだ結果を格納するテーブル</v>
      </c>
      <c r="AN182" s="150"/>
      <c r="AO182" s="150"/>
      <c r="AP182" s="150"/>
      <c r="AQ182" s="150"/>
      <c r="AR182" s="150"/>
      <c r="AS182" s="150"/>
      <c r="AT182" s="150"/>
      <c r="AU182" s="150"/>
      <c r="AV182" s="150"/>
      <c r="AW182" s="150"/>
      <c r="AX182" s="150"/>
      <c r="AY182" s="150"/>
      <c r="AZ182" s="150"/>
      <c r="BA182" s="150"/>
      <c r="BB182" s="150"/>
      <c r="BC182" s="150"/>
      <c r="BD182" s="150"/>
      <c r="BE182" s="150"/>
      <c r="BF182" s="150"/>
      <c r="BG182" s="150"/>
      <c r="BH182" s="150"/>
      <c r="BI182" s="150"/>
      <c r="BJ182" s="152"/>
      <c r="BK182" s="32" t="str">
        <f t="shared" si="108"/>
        <v>ENT_31_24_ベース_臨床サマリーモジュール_外来受診レコード.sql</v>
      </c>
    </row>
    <row r="183" spans="1:63" ht="37.5" hidden="1" customHeight="1" outlineLevel="1">
      <c r="A183" s="34" t="str">
        <f t="shared" si="103"/>
        <v>ベース_臨床サマリーモジュール_入院レコード</v>
      </c>
      <c r="B183" s="143" t="str">
        <f t="shared" si="104"/>
        <v>31</v>
      </c>
      <c r="C183" s="144"/>
      <c r="D183" s="144"/>
      <c r="E183" s="144"/>
      <c r="F183" s="145"/>
      <c r="G183" s="146" t="s">
        <v>308</v>
      </c>
      <c r="H183" s="147"/>
      <c r="I183" s="147"/>
      <c r="J183" s="147"/>
      <c r="K183" s="147"/>
      <c r="L183" s="147"/>
      <c r="M183" s="147"/>
      <c r="N183" s="148"/>
      <c r="O183" s="81" t="str">
        <f t="shared" si="105"/>
        <v>ENT_31_25</v>
      </c>
      <c r="P183" s="140" t="s">
        <v>3749</v>
      </c>
      <c r="Q183" s="141"/>
      <c r="R183" s="141"/>
      <c r="S183" s="141"/>
      <c r="T183" s="141"/>
      <c r="U183" s="141"/>
      <c r="V183" s="141"/>
      <c r="W183" s="141"/>
      <c r="X183" s="141"/>
      <c r="Y183" s="141"/>
      <c r="Z183" s="141"/>
      <c r="AA183" s="141"/>
      <c r="AB183" s="141"/>
      <c r="AC183" s="141"/>
      <c r="AD183" s="142"/>
      <c r="AE183" s="149" t="str">
        <f t="shared" ca="1" si="106"/>
        <v>sny_202310_base_merge_mml_sm_in_patient</v>
      </c>
      <c r="AF183" s="150"/>
      <c r="AG183" s="150"/>
      <c r="AH183" s="150"/>
      <c r="AI183" s="150"/>
      <c r="AJ183" s="150"/>
      <c r="AK183" s="150"/>
      <c r="AL183" s="151"/>
      <c r="AM183" s="149" t="str">
        <f t="shared" ca="1" si="107"/>
        <v>バックアップ_臨床サマリーモジュール_入院レコードテーブルから対象患者で絞り込んだ結果を格納するテーブル</v>
      </c>
      <c r="AN183" s="150"/>
      <c r="AO183" s="150"/>
      <c r="AP183" s="150"/>
      <c r="AQ183" s="150"/>
      <c r="AR183" s="150"/>
      <c r="AS183" s="150"/>
      <c r="AT183" s="150"/>
      <c r="AU183" s="150"/>
      <c r="AV183" s="150"/>
      <c r="AW183" s="150"/>
      <c r="AX183" s="150"/>
      <c r="AY183" s="150"/>
      <c r="AZ183" s="150"/>
      <c r="BA183" s="150"/>
      <c r="BB183" s="150"/>
      <c r="BC183" s="150"/>
      <c r="BD183" s="150"/>
      <c r="BE183" s="150"/>
      <c r="BF183" s="150"/>
      <c r="BG183" s="150"/>
      <c r="BH183" s="150"/>
      <c r="BI183" s="150"/>
      <c r="BJ183" s="152"/>
      <c r="BK183" s="32" t="str">
        <f t="shared" si="108"/>
        <v>ENT_31_25_ベース_臨床サマリーモジュール_入院レコード.sql</v>
      </c>
    </row>
    <row r="184" spans="1:63" ht="37.5" hidden="1" customHeight="1" outlineLevel="1">
      <c r="A184" s="34" t="str">
        <f t="shared" si="103"/>
        <v>ベース_臨床サマリーモジュール_経過記録レコード</v>
      </c>
      <c r="B184" s="143" t="str">
        <f t="shared" si="104"/>
        <v>31</v>
      </c>
      <c r="C184" s="144"/>
      <c r="D184" s="144"/>
      <c r="E184" s="144"/>
      <c r="F184" s="145"/>
      <c r="G184" s="146" t="s">
        <v>308</v>
      </c>
      <c r="H184" s="147"/>
      <c r="I184" s="147"/>
      <c r="J184" s="147"/>
      <c r="K184" s="147"/>
      <c r="L184" s="147"/>
      <c r="M184" s="147"/>
      <c r="N184" s="148"/>
      <c r="O184" s="81" t="str">
        <f t="shared" si="105"/>
        <v>ENT_31_26</v>
      </c>
      <c r="P184" s="140" t="s">
        <v>3750</v>
      </c>
      <c r="Q184" s="141"/>
      <c r="R184" s="141"/>
      <c r="S184" s="141"/>
      <c r="T184" s="141"/>
      <c r="U184" s="141"/>
      <c r="V184" s="141"/>
      <c r="W184" s="141"/>
      <c r="X184" s="141"/>
      <c r="Y184" s="141"/>
      <c r="Z184" s="141"/>
      <c r="AA184" s="141"/>
      <c r="AB184" s="141"/>
      <c r="AC184" s="141"/>
      <c r="AD184" s="142"/>
      <c r="AE184" s="149" t="str">
        <f t="shared" ca="1" si="106"/>
        <v>sny_202310_base_merge_mml_sm_clinical_course</v>
      </c>
      <c r="AF184" s="150"/>
      <c r="AG184" s="150"/>
      <c r="AH184" s="150"/>
      <c r="AI184" s="150"/>
      <c r="AJ184" s="150"/>
      <c r="AK184" s="150"/>
      <c r="AL184" s="151"/>
      <c r="AM184" s="149" t="str">
        <f t="shared" ca="1" si="107"/>
        <v>バックアップ_臨床サマリーモジュール_経過記録レコードテーブルから対象患者で絞り込んだ結果を格納するテーブル</v>
      </c>
      <c r="AN184" s="150"/>
      <c r="AO184" s="150"/>
      <c r="AP184" s="150"/>
      <c r="AQ184" s="150"/>
      <c r="AR184" s="150"/>
      <c r="AS184" s="150"/>
      <c r="AT184" s="150"/>
      <c r="AU184" s="150"/>
      <c r="AV184" s="150"/>
      <c r="AW184" s="150"/>
      <c r="AX184" s="150"/>
      <c r="AY184" s="150"/>
      <c r="AZ184" s="150"/>
      <c r="BA184" s="150"/>
      <c r="BB184" s="150"/>
      <c r="BC184" s="150"/>
      <c r="BD184" s="150"/>
      <c r="BE184" s="150"/>
      <c r="BF184" s="150"/>
      <c r="BG184" s="150"/>
      <c r="BH184" s="150"/>
      <c r="BI184" s="150"/>
      <c r="BJ184" s="152"/>
      <c r="BK184" s="32" t="str">
        <f t="shared" si="108"/>
        <v>ENT_31_26_ベース_臨床サマリーモジュール_経過記録レコード.sql</v>
      </c>
    </row>
    <row r="185" spans="1:63" ht="37.5" hidden="1" customHeight="1" outlineLevel="1">
      <c r="A185" s="34" t="str">
        <f t="shared" si="103"/>
        <v>ベース_臨床サマリーモジュール_検査結果レコード</v>
      </c>
      <c r="B185" s="143" t="str">
        <f t="shared" si="104"/>
        <v>31</v>
      </c>
      <c r="C185" s="144"/>
      <c r="D185" s="144"/>
      <c r="E185" s="144"/>
      <c r="F185" s="145"/>
      <c r="G185" s="146" t="s">
        <v>308</v>
      </c>
      <c r="H185" s="147"/>
      <c r="I185" s="147"/>
      <c r="J185" s="147"/>
      <c r="K185" s="147"/>
      <c r="L185" s="147"/>
      <c r="M185" s="147"/>
      <c r="N185" s="148"/>
      <c r="O185" s="81" t="str">
        <f t="shared" si="105"/>
        <v>ENT_31_27</v>
      </c>
      <c r="P185" s="140" t="s">
        <v>3751</v>
      </c>
      <c r="Q185" s="141"/>
      <c r="R185" s="141"/>
      <c r="S185" s="141"/>
      <c r="T185" s="141"/>
      <c r="U185" s="141"/>
      <c r="V185" s="141"/>
      <c r="W185" s="141"/>
      <c r="X185" s="141"/>
      <c r="Y185" s="141"/>
      <c r="Z185" s="141"/>
      <c r="AA185" s="141"/>
      <c r="AB185" s="141"/>
      <c r="AC185" s="141"/>
      <c r="AD185" s="142"/>
      <c r="AE185" s="149" t="str">
        <f t="shared" ca="1" si="106"/>
        <v>sny_202310_base_merge_mml_sm_test_results</v>
      </c>
      <c r="AF185" s="150"/>
      <c r="AG185" s="150"/>
      <c r="AH185" s="150"/>
      <c r="AI185" s="150"/>
      <c r="AJ185" s="150"/>
      <c r="AK185" s="150"/>
      <c r="AL185" s="151"/>
      <c r="AM185" s="149" t="str">
        <f t="shared" ca="1" si="107"/>
        <v>バックアップ_臨床サマリーモジュール_検査結果レコードテーブルから対象患者で絞り込んだ結果を格納するテーブル</v>
      </c>
      <c r="AN185" s="150"/>
      <c r="AO185" s="150"/>
      <c r="AP185" s="150"/>
      <c r="AQ185" s="150"/>
      <c r="AR185" s="150"/>
      <c r="AS185" s="150"/>
      <c r="AT185" s="150"/>
      <c r="AU185" s="150"/>
      <c r="AV185" s="150"/>
      <c r="AW185" s="150"/>
      <c r="AX185" s="150"/>
      <c r="AY185" s="150"/>
      <c r="AZ185" s="150"/>
      <c r="BA185" s="150"/>
      <c r="BB185" s="150"/>
      <c r="BC185" s="150"/>
      <c r="BD185" s="150"/>
      <c r="BE185" s="150"/>
      <c r="BF185" s="150"/>
      <c r="BG185" s="150"/>
      <c r="BH185" s="150"/>
      <c r="BI185" s="150"/>
      <c r="BJ185" s="152"/>
      <c r="BK185" s="32" t="str">
        <f t="shared" si="108"/>
        <v>ENT_31_27_ベース_臨床サマリーモジュール_検査結果レコード.sql</v>
      </c>
    </row>
    <row r="186" spans="1:63" ht="37.5" hidden="1" customHeight="1" outlineLevel="1">
      <c r="A186" s="34" t="str">
        <f t="shared" si="103"/>
        <v>ベース_検歴情報モジュール_検歴情報</v>
      </c>
      <c r="B186" s="143" t="str">
        <f t="shared" si="104"/>
        <v>31</v>
      </c>
      <c r="C186" s="144"/>
      <c r="D186" s="144"/>
      <c r="E186" s="144"/>
      <c r="F186" s="145"/>
      <c r="G186" s="146" t="s">
        <v>308</v>
      </c>
      <c r="H186" s="147"/>
      <c r="I186" s="147"/>
      <c r="J186" s="147"/>
      <c r="K186" s="147"/>
      <c r="L186" s="147"/>
      <c r="M186" s="147"/>
      <c r="N186" s="148"/>
      <c r="O186" s="81" t="str">
        <f t="shared" si="105"/>
        <v>ENT_31_28</v>
      </c>
      <c r="P186" s="140" t="s">
        <v>3752</v>
      </c>
      <c r="Q186" s="141"/>
      <c r="R186" s="141"/>
      <c r="S186" s="141"/>
      <c r="T186" s="141"/>
      <c r="U186" s="141"/>
      <c r="V186" s="141"/>
      <c r="W186" s="141"/>
      <c r="X186" s="141"/>
      <c r="Y186" s="141"/>
      <c r="Z186" s="141"/>
      <c r="AA186" s="141"/>
      <c r="AB186" s="141"/>
      <c r="AC186" s="141"/>
      <c r="AD186" s="142"/>
      <c r="AE186" s="149" t="str">
        <f t="shared" ca="1" si="106"/>
        <v>sny_202310_base_merge_mml_lb_test</v>
      </c>
      <c r="AF186" s="150"/>
      <c r="AG186" s="150"/>
      <c r="AH186" s="150"/>
      <c r="AI186" s="150"/>
      <c r="AJ186" s="150"/>
      <c r="AK186" s="150"/>
      <c r="AL186" s="151"/>
      <c r="AM186" s="149" t="str">
        <f t="shared" ca="1" si="107"/>
        <v>バックアップ_検歴情報モジュール_検歴情報テーブルから対象患者で絞り込んだ結果を格納するテーブル</v>
      </c>
      <c r="AN186" s="150"/>
      <c r="AO186" s="150"/>
      <c r="AP186" s="150"/>
      <c r="AQ186" s="150"/>
      <c r="AR186" s="150"/>
      <c r="AS186" s="150"/>
      <c r="AT186" s="150"/>
      <c r="AU186" s="150"/>
      <c r="AV186" s="150"/>
      <c r="AW186" s="150"/>
      <c r="AX186" s="150"/>
      <c r="AY186" s="150"/>
      <c r="AZ186" s="150"/>
      <c r="BA186" s="150"/>
      <c r="BB186" s="150"/>
      <c r="BC186" s="150"/>
      <c r="BD186" s="150"/>
      <c r="BE186" s="150"/>
      <c r="BF186" s="150"/>
      <c r="BG186" s="150"/>
      <c r="BH186" s="150"/>
      <c r="BI186" s="150"/>
      <c r="BJ186" s="152"/>
      <c r="BK186" s="32" t="str">
        <f t="shared" si="108"/>
        <v>ENT_31_28_ベース_検歴情報モジュール_検歴情報.sql</v>
      </c>
    </row>
    <row r="187" spans="1:63" ht="37.5" hidden="1" customHeight="1" outlineLevel="1">
      <c r="A187" s="34" t="str">
        <f t="shared" si="103"/>
        <v>ベース_検歴情報モジュール_検歴検体材料</v>
      </c>
      <c r="B187" s="143" t="str">
        <f t="shared" si="104"/>
        <v>31</v>
      </c>
      <c r="C187" s="144"/>
      <c r="D187" s="144"/>
      <c r="E187" s="144"/>
      <c r="F187" s="145"/>
      <c r="G187" s="146" t="s">
        <v>308</v>
      </c>
      <c r="H187" s="147"/>
      <c r="I187" s="147"/>
      <c r="J187" s="147"/>
      <c r="K187" s="147"/>
      <c r="L187" s="147"/>
      <c r="M187" s="147"/>
      <c r="N187" s="148"/>
      <c r="O187" s="81" t="str">
        <f t="shared" si="105"/>
        <v>ENT_31_29</v>
      </c>
      <c r="P187" s="140" t="s">
        <v>3753</v>
      </c>
      <c r="Q187" s="141"/>
      <c r="R187" s="141"/>
      <c r="S187" s="141"/>
      <c r="T187" s="141"/>
      <c r="U187" s="141"/>
      <c r="V187" s="141"/>
      <c r="W187" s="141"/>
      <c r="X187" s="141"/>
      <c r="Y187" s="141"/>
      <c r="Z187" s="141"/>
      <c r="AA187" s="141"/>
      <c r="AB187" s="141"/>
      <c r="AC187" s="141"/>
      <c r="AD187" s="142"/>
      <c r="AE187" s="149" t="str">
        <f t="shared" ca="1" si="106"/>
        <v>sny_202310_base_merge_mml_lb_specimen</v>
      </c>
      <c r="AF187" s="150"/>
      <c r="AG187" s="150"/>
      <c r="AH187" s="150"/>
      <c r="AI187" s="150"/>
      <c r="AJ187" s="150"/>
      <c r="AK187" s="150"/>
      <c r="AL187" s="151"/>
      <c r="AM187" s="149" t="str">
        <f t="shared" ca="1" si="107"/>
        <v>バックアップ_検歴情報モジュール_検歴検体材料テーブルから対象患者で絞り込んだ結果を格納するテーブル</v>
      </c>
      <c r="AN187" s="150"/>
      <c r="AO187" s="150"/>
      <c r="AP187" s="150"/>
      <c r="AQ187" s="150"/>
      <c r="AR187" s="150"/>
      <c r="AS187" s="150"/>
      <c r="AT187" s="150"/>
      <c r="AU187" s="150"/>
      <c r="AV187" s="150"/>
      <c r="AW187" s="150"/>
      <c r="AX187" s="150"/>
      <c r="AY187" s="150"/>
      <c r="AZ187" s="150"/>
      <c r="BA187" s="150"/>
      <c r="BB187" s="150"/>
      <c r="BC187" s="150"/>
      <c r="BD187" s="150"/>
      <c r="BE187" s="150"/>
      <c r="BF187" s="150"/>
      <c r="BG187" s="150"/>
      <c r="BH187" s="150"/>
      <c r="BI187" s="150"/>
      <c r="BJ187" s="152"/>
      <c r="BK187" s="32" t="str">
        <f t="shared" si="108"/>
        <v>ENT_31_29_ベース_検歴情報モジュール_検歴検体材料.sql</v>
      </c>
    </row>
    <row r="188" spans="1:63" ht="37.5" hidden="1" customHeight="1" outlineLevel="1">
      <c r="A188" s="34" t="str">
        <f t="shared" si="74"/>
        <v>ベース_検歴情報モジュール_検歴項目情報</v>
      </c>
      <c r="B188" s="143" t="str">
        <f t="shared" ref="B188" si="109">TEXT(31,"00")</f>
        <v>31</v>
      </c>
      <c r="C188" s="144"/>
      <c r="D188" s="144"/>
      <c r="E188" s="144"/>
      <c r="F188" s="145"/>
      <c r="G188" s="146" t="s">
        <v>308</v>
      </c>
      <c r="H188" s="147"/>
      <c r="I188" s="147"/>
      <c r="J188" s="147"/>
      <c r="K188" s="147"/>
      <c r="L188" s="147"/>
      <c r="M188" s="147"/>
      <c r="N188" s="148"/>
      <c r="O188" s="81" t="str">
        <f>IF(P188&lt;&gt;"","ENT_"&amp;RIGHT(B188,2)&amp;"_"&amp;TEXT(ROW(O188)-ROW(O$159)+1,"00"),"")</f>
        <v>ENT_31_30</v>
      </c>
      <c r="P188" s="140" t="s">
        <v>3754</v>
      </c>
      <c r="Q188" s="141"/>
      <c r="R188" s="141"/>
      <c r="S188" s="141"/>
      <c r="T188" s="141"/>
      <c r="U188" s="141"/>
      <c r="V188" s="141"/>
      <c r="W188" s="141"/>
      <c r="X188" s="141"/>
      <c r="Y188" s="141"/>
      <c r="Z188" s="141"/>
      <c r="AA188" s="141"/>
      <c r="AB188" s="141"/>
      <c r="AC188" s="141"/>
      <c r="AD188" s="142"/>
      <c r="AE188" s="149" t="str">
        <f ca="1">IFERROR(INDIRECT(P188&amp;"!D8"),"")</f>
        <v>sny_202310_base_merge_mml_lb_item</v>
      </c>
      <c r="AF188" s="150"/>
      <c r="AG188" s="150"/>
      <c r="AH188" s="150"/>
      <c r="AI188" s="150"/>
      <c r="AJ188" s="150"/>
      <c r="AK188" s="150"/>
      <c r="AL188" s="151"/>
      <c r="AM188" s="149" t="str">
        <f ca="1">IFERROR(INDIRECT(P188&amp;"!D9"),"")</f>
        <v>バックアップ_検歴情報モジュール_検歴項目情報テーブルから対象患者で絞り込んだ結果を格納するテーブル</v>
      </c>
      <c r="AN188" s="150"/>
      <c r="AO188" s="150"/>
      <c r="AP188" s="150"/>
      <c r="AQ188" s="150"/>
      <c r="AR188" s="150"/>
      <c r="AS188" s="150"/>
      <c r="AT188" s="150"/>
      <c r="AU188" s="150"/>
      <c r="AV188" s="150"/>
      <c r="AW188" s="150"/>
      <c r="AX188" s="150"/>
      <c r="AY188" s="150"/>
      <c r="AZ188" s="150"/>
      <c r="BA188" s="150"/>
      <c r="BB188" s="150"/>
      <c r="BC188" s="150"/>
      <c r="BD188" s="150"/>
      <c r="BE188" s="150"/>
      <c r="BF188" s="150"/>
      <c r="BG188" s="150"/>
      <c r="BH188" s="150"/>
      <c r="BI188" s="150"/>
      <c r="BJ188" s="152"/>
      <c r="BK188" s="32" t="str">
        <f t="shared" si="39"/>
        <v>ENT_31_30_ベース_検歴情報モジュール_検歴項目情報.sql</v>
      </c>
    </row>
    <row r="189" spans="1:63" ht="37.5" customHeight="1" collapsed="1">
      <c r="A189" s="34" t="str">
        <f t="shared" si="74"/>
        <v>ワーク_疾患データ</v>
      </c>
      <c r="B189" s="209" t="str">
        <f>TEXT(41,"00")</f>
        <v>41</v>
      </c>
      <c r="C189" s="210"/>
      <c r="D189" s="210"/>
      <c r="E189" s="210"/>
      <c r="F189" s="211"/>
      <c r="G189" s="212" t="s">
        <v>561</v>
      </c>
      <c r="H189" s="213"/>
      <c r="I189" s="213"/>
      <c r="J189" s="213"/>
      <c r="K189" s="213"/>
      <c r="L189" s="213"/>
      <c r="M189" s="213"/>
      <c r="N189" s="214"/>
      <c r="O189" s="81" t="str">
        <f>IF(P189&lt;&gt;"","ENT_"&amp;RIGHT(B189,2)&amp;"_"&amp;TEXT(ROW(O189)-ROW(O$189)+1,"00"),"")</f>
        <v>ENT_41_01</v>
      </c>
      <c r="P189" s="180" t="s">
        <v>563</v>
      </c>
      <c r="Q189" s="181"/>
      <c r="R189" s="181"/>
      <c r="S189" s="181"/>
      <c r="T189" s="181"/>
      <c r="U189" s="181"/>
      <c r="V189" s="181"/>
      <c r="W189" s="181"/>
      <c r="X189" s="181"/>
      <c r="Y189" s="181"/>
      <c r="Z189" s="181"/>
      <c r="AA189" s="181"/>
      <c r="AB189" s="181"/>
      <c r="AC189" s="181"/>
      <c r="AD189" s="182"/>
      <c r="AE189" s="185" t="str">
        <f t="shared" ref="AE189:AE192" ca="1" si="110">IFERROR(INDIRECT(P189&amp;"!D8"),"")</f>
        <v/>
      </c>
      <c r="AF189" s="186"/>
      <c r="AG189" s="186"/>
      <c r="AH189" s="186"/>
      <c r="AI189" s="186"/>
      <c r="AJ189" s="186"/>
      <c r="AK189" s="186"/>
      <c r="AL189" s="187"/>
      <c r="AM189" s="185" t="str">
        <f t="shared" ref="AM189:AM192" ca="1" si="111">IFERROR(INDIRECT(P189&amp;"!D9"),"")</f>
        <v/>
      </c>
      <c r="AN189" s="186"/>
      <c r="AO189" s="186"/>
      <c r="AP189" s="186"/>
      <c r="AQ189" s="186"/>
      <c r="AR189" s="186"/>
      <c r="AS189" s="186"/>
      <c r="AT189" s="186"/>
      <c r="AU189" s="186"/>
      <c r="AV189" s="186"/>
      <c r="AW189" s="186"/>
      <c r="AX189" s="186"/>
      <c r="AY189" s="186"/>
      <c r="AZ189" s="186"/>
      <c r="BA189" s="186"/>
      <c r="BB189" s="186"/>
      <c r="BC189" s="186"/>
      <c r="BD189" s="186"/>
      <c r="BE189" s="186"/>
      <c r="BF189" s="186"/>
      <c r="BG189" s="186"/>
      <c r="BH189" s="186"/>
      <c r="BI189" s="186"/>
      <c r="BJ189" s="191"/>
      <c r="BK189" s="32" t="str">
        <f t="shared" si="39"/>
        <v>ENT_41_01_ワーク_疾患データ.sql</v>
      </c>
    </row>
    <row r="190" spans="1:63" ht="37.5" customHeight="1">
      <c r="A190" s="34" t="str">
        <f t="shared" si="74"/>
        <v>セレクト_疾患データ_大区分</v>
      </c>
      <c r="B190" s="209" t="str">
        <f>TEXT(51,"00")</f>
        <v>51</v>
      </c>
      <c r="C190" s="210"/>
      <c r="D190" s="210"/>
      <c r="E190" s="210"/>
      <c r="F190" s="211"/>
      <c r="G190" s="146" t="s">
        <v>562</v>
      </c>
      <c r="H190" s="147"/>
      <c r="I190" s="147"/>
      <c r="J190" s="147"/>
      <c r="K190" s="147"/>
      <c r="L190" s="147"/>
      <c r="M190" s="147"/>
      <c r="N190" s="148"/>
      <c r="O190" s="81" t="str">
        <f>IF(P190&lt;&gt;"","ENT_"&amp;RIGHT(B190,2)&amp;"_"&amp;TEXT(ROW(O190)-ROW(O$190)+1,"00"),"")</f>
        <v>ENT_51_01</v>
      </c>
      <c r="P190" s="180" t="s">
        <v>907</v>
      </c>
      <c r="Q190" s="181"/>
      <c r="R190" s="181"/>
      <c r="S190" s="181"/>
      <c r="T190" s="181"/>
      <c r="U190" s="181"/>
      <c r="V190" s="181"/>
      <c r="W190" s="181"/>
      <c r="X190" s="181"/>
      <c r="Y190" s="181"/>
      <c r="Z190" s="181"/>
      <c r="AA190" s="181"/>
      <c r="AB190" s="181"/>
      <c r="AC190" s="181"/>
      <c r="AD190" s="182"/>
      <c r="AE190" s="185" t="str">
        <f t="shared" ca="1" si="110"/>
        <v/>
      </c>
      <c r="AF190" s="186"/>
      <c r="AG190" s="186"/>
      <c r="AH190" s="186"/>
      <c r="AI190" s="186"/>
      <c r="AJ190" s="186"/>
      <c r="AK190" s="186"/>
      <c r="AL190" s="187"/>
      <c r="AM190" s="185" t="str">
        <f t="shared" ca="1" si="111"/>
        <v/>
      </c>
      <c r="AN190" s="186"/>
      <c r="AO190" s="186"/>
      <c r="AP190" s="186"/>
      <c r="AQ190" s="186"/>
      <c r="AR190" s="186"/>
      <c r="AS190" s="186"/>
      <c r="AT190" s="186"/>
      <c r="AU190" s="186"/>
      <c r="AV190" s="186"/>
      <c r="AW190" s="186"/>
      <c r="AX190" s="186"/>
      <c r="AY190" s="186"/>
      <c r="AZ190" s="186"/>
      <c r="BA190" s="186"/>
      <c r="BB190" s="186"/>
      <c r="BC190" s="186"/>
      <c r="BD190" s="186"/>
      <c r="BE190" s="186"/>
      <c r="BF190" s="186"/>
      <c r="BG190" s="186"/>
      <c r="BH190" s="186"/>
      <c r="BI190" s="186"/>
      <c r="BJ190" s="191"/>
      <c r="BK190" s="32" t="str">
        <f t="shared" si="39"/>
        <v>ENT_51_01_セレクト_疾患データ_大区分.sql</v>
      </c>
    </row>
    <row r="191" spans="1:63" ht="37.5" customHeight="1">
      <c r="A191" s="34" t="str">
        <f t="shared" ref="A191" si="112">P191</f>
        <v>セレクト_疾患データ_小区分</v>
      </c>
      <c r="B191" s="143" t="str">
        <f>TEXT(51,"00")</f>
        <v>51</v>
      </c>
      <c r="C191" s="144"/>
      <c r="D191" s="144"/>
      <c r="E191" s="144"/>
      <c r="F191" s="145"/>
      <c r="G191" s="146" t="s">
        <v>562</v>
      </c>
      <c r="H191" s="147"/>
      <c r="I191" s="147"/>
      <c r="J191" s="147"/>
      <c r="K191" s="147"/>
      <c r="L191" s="147"/>
      <c r="M191" s="147"/>
      <c r="N191" s="148"/>
      <c r="O191" s="81" t="str">
        <f>IF(P191&lt;&gt;"","ENT_"&amp;RIGHT(B191,2)&amp;"_"&amp;TEXT(ROW(O191)-ROW(O$190)+1,"00"),"")</f>
        <v>ENT_51_02</v>
      </c>
      <c r="P191" s="140" t="s">
        <v>908</v>
      </c>
      <c r="Q191" s="141"/>
      <c r="R191" s="141"/>
      <c r="S191" s="141"/>
      <c r="T191" s="141"/>
      <c r="U191" s="141"/>
      <c r="V191" s="141"/>
      <c r="W191" s="141"/>
      <c r="X191" s="141"/>
      <c r="Y191" s="141"/>
      <c r="Z191" s="141"/>
      <c r="AA191" s="141"/>
      <c r="AB191" s="141"/>
      <c r="AC191" s="141"/>
      <c r="AD191" s="142"/>
      <c r="AE191" s="149" t="str">
        <f t="shared" ref="AE191" ca="1" si="113">IFERROR(INDIRECT(P191&amp;"!D8"),"")</f>
        <v/>
      </c>
      <c r="AF191" s="150"/>
      <c r="AG191" s="150"/>
      <c r="AH191" s="150"/>
      <c r="AI191" s="150"/>
      <c r="AJ191" s="150"/>
      <c r="AK191" s="150"/>
      <c r="AL191" s="151"/>
      <c r="AM191" s="149" t="str">
        <f t="shared" ref="AM191" ca="1" si="114">IFERROR(INDIRECT(P191&amp;"!D9"),"")</f>
        <v/>
      </c>
      <c r="AN191" s="150"/>
      <c r="AO191" s="150"/>
      <c r="AP191" s="150"/>
      <c r="AQ191" s="150"/>
      <c r="AR191" s="150"/>
      <c r="AS191" s="150"/>
      <c r="AT191" s="150"/>
      <c r="AU191" s="150"/>
      <c r="AV191" s="150"/>
      <c r="AW191" s="150"/>
      <c r="AX191" s="150"/>
      <c r="AY191" s="150"/>
      <c r="AZ191" s="150"/>
      <c r="BA191" s="150"/>
      <c r="BB191" s="150"/>
      <c r="BC191" s="150"/>
      <c r="BD191" s="150"/>
      <c r="BE191" s="150"/>
      <c r="BF191" s="150"/>
      <c r="BG191" s="150"/>
      <c r="BH191" s="150"/>
      <c r="BI191" s="150"/>
      <c r="BJ191" s="152"/>
      <c r="BK191" s="32" t="str">
        <f t="shared" si="39"/>
        <v>ENT_51_02_セレクト_疾患データ_小区分.sql</v>
      </c>
    </row>
    <row r="192" spans="1:63" ht="37.5" customHeight="1" thickBot="1">
      <c r="A192" s="34">
        <f t="shared" si="74"/>
        <v>0</v>
      </c>
      <c r="B192" s="196" t="str">
        <f>TEXT(51,"00")</f>
        <v>51</v>
      </c>
      <c r="C192" s="197"/>
      <c r="D192" s="197"/>
      <c r="E192" s="197"/>
      <c r="F192" s="198"/>
      <c r="G192" s="199" t="s">
        <v>562</v>
      </c>
      <c r="H192" s="200"/>
      <c r="I192" s="200"/>
      <c r="J192" s="200"/>
      <c r="K192" s="200"/>
      <c r="L192" s="200"/>
      <c r="M192" s="200"/>
      <c r="N192" s="201"/>
      <c r="O192" s="82" t="str">
        <f>IF(P192&lt;&gt;"","ENT_"&amp;RIGHT(B192,2)&amp;"_"&amp;TEXT(ROW(O192)-ROW(O$190)+1,"00"),"")</f>
        <v/>
      </c>
      <c r="P192" s="202"/>
      <c r="Q192" s="203"/>
      <c r="R192" s="203"/>
      <c r="S192" s="203"/>
      <c r="T192" s="203"/>
      <c r="U192" s="203"/>
      <c r="V192" s="203"/>
      <c r="W192" s="203"/>
      <c r="X192" s="203"/>
      <c r="Y192" s="203"/>
      <c r="Z192" s="203"/>
      <c r="AA192" s="203"/>
      <c r="AB192" s="203"/>
      <c r="AC192" s="203"/>
      <c r="AD192" s="204"/>
      <c r="AE192" s="205" t="str">
        <f t="shared" ca="1" si="110"/>
        <v/>
      </c>
      <c r="AF192" s="206"/>
      <c r="AG192" s="206"/>
      <c r="AH192" s="206"/>
      <c r="AI192" s="206"/>
      <c r="AJ192" s="206"/>
      <c r="AK192" s="206"/>
      <c r="AL192" s="207"/>
      <c r="AM192" s="205" t="str">
        <f t="shared" ca="1" si="111"/>
        <v/>
      </c>
      <c r="AN192" s="206"/>
      <c r="AO192" s="206"/>
      <c r="AP192" s="206"/>
      <c r="AQ192" s="206"/>
      <c r="AR192" s="206"/>
      <c r="AS192" s="206"/>
      <c r="AT192" s="206"/>
      <c r="AU192" s="206"/>
      <c r="AV192" s="206"/>
      <c r="AW192" s="206"/>
      <c r="AX192" s="206"/>
      <c r="AY192" s="206"/>
      <c r="AZ192" s="206"/>
      <c r="BA192" s="206"/>
      <c r="BB192" s="206"/>
      <c r="BC192" s="206"/>
      <c r="BD192" s="206"/>
      <c r="BE192" s="206"/>
      <c r="BF192" s="206"/>
      <c r="BG192" s="206"/>
      <c r="BH192" s="206"/>
      <c r="BI192" s="206"/>
      <c r="BJ192" s="208"/>
      <c r="BK192" s="32" t="str">
        <f t="shared" si="39"/>
        <v/>
      </c>
    </row>
    <row r="196" ht="13.5" customHeight="1"/>
    <row r="197" ht="13.5" customHeight="1"/>
    <row r="198" ht="13.5" customHeight="1"/>
    <row r="199" ht="13.5" customHeight="1"/>
    <row r="200" ht="13.5" customHeight="1"/>
    <row r="201" ht="13.5" customHeight="1"/>
    <row r="202" ht="13.5" customHeight="1"/>
    <row r="203" ht="13.5" customHeight="1"/>
  </sheetData>
  <mergeCells count="952">
    <mergeCell ref="B184:F184"/>
    <mergeCell ref="G184:N184"/>
    <mergeCell ref="P184:AD184"/>
    <mergeCell ref="AE184:AL184"/>
    <mergeCell ref="AM184:BJ184"/>
    <mergeCell ref="B187:F187"/>
    <mergeCell ref="G187:N187"/>
    <mergeCell ref="P187:AD187"/>
    <mergeCell ref="AE187:AL187"/>
    <mergeCell ref="AM187:BJ187"/>
    <mergeCell ref="B185:F185"/>
    <mergeCell ref="G185:N185"/>
    <mergeCell ref="P185:AD185"/>
    <mergeCell ref="AE185:AL185"/>
    <mergeCell ref="AM185:BJ185"/>
    <mergeCell ref="B186:F186"/>
    <mergeCell ref="G186:N186"/>
    <mergeCell ref="P186:AD186"/>
    <mergeCell ref="AE186:AL186"/>
    <mergeCell ref="AM186:BJ186"/>
    <mergeCell ref="B182:F182"/>
    <mergeCell ref="G182:N182"/>
    <mergeCell ref="P182:AD182"/>
    <mergeCell ref="AE182:AL182"/>
    <mergeCell ref="AM182:BJ182"/>
    <mergeCell ref="B183:F183"/>
    <mergeCell ref="G183:N183"/>
    <mergeCell ref="P183:AD183"/>
    <mergeCell ref="AE183:AL183"/>
    <mergeCell ref="AM183:BJ183"/>
    <mergeCell ref="B180:F180"/>
    <mergeCell ref="G180:N180"/>
    <mergeCell ref="P180:AD180"/>
    <mergeCell ref="AE180:AL180"/>
    <mergeCell ref="AM180:BJ180"/>
    <mergeCell ref="B181:F181"/>
    <mergeCell ref="G181:N181"/>
    <mergeCell ref="P181:AD181"/>
    <mergeCell ref="AE181:AL181"/>
    <mergeCell ref="AM181:BJ181"/>
    <mergeCell ref="B178:F178"/>
    <mergeCell ref="G178:N178"/>
    <mergeCell ref="P178:AD178"/>
    <mergeCell ref="AE178:AL178"/>
    <mergeCell ref="AM178:BJ178"/>
    <mergeCell ref="B179:F179"/>
    <mergeCell ref="G179:N179"/>
    <mergeCell ref="P179:AD179"/>
    <mergeCell ref="AE179:AL179"/>
    <mergeCell ref="AM179:BJ179"/>
    <mergeCell ref="B176:F176"/>
    <mergeCell ref="G176:N176"/>
    <mergeCell ref="P176:AD176"/>
    <mergeCell ref="AE176:AL176"/>
    <mergeCell ref="AM176:BJ176"/>
    <mergeCell ref="B177:F177"/>
    <mergeCell ref="G177:N177"/>
    <mergeCell ref="P177:AD177"/>
    <mergeCell ref="AE177:AL177"/>
    <mergeCell ref="AM177:BJ177"/>
    <mergeCell ref="B174:F174"/>
    <mergeCell ref="G174:N174"/>
    <mergeCell ref="P174:AD174"/>
    <mergeCell ref="AE174:AL174"/>
    <mergeCell ref="AM174:BJ174"/>
    <mergeCell ref="B175:F175"/>
    <mergeCell ref="G175:N175"/>
    <mergeCell ref="P175:AD175"/>
    <mergeCell ref="AE175:AL175"/>
    <mergeCell ref="AM175:BJ175"/>
    <mergeCell ref="B172:F172"/>
    <mergeCell ref="G172:N172"/>
    <mergeCell ref="P172:AD172"/>
    <mergeCell ref="AE172:AL172"/>
    <mergeCell ref="AM172:BJ172"/>
    <mergeCell ref="B173:F173"/>
    <mergeCell ref="G173:N173"/>
    <mergeCell ref="P173:AD173"/>
    <mergeCell ref="AE173:AL173"/>
    <mergeCell ref="AM173:BJ173"/>
    <mergeCell ref="B170:F170"/>
    <mergeCell ref="G170:N170"/>
    <mergeCell ref="P170:AD170"/>
    <mergeCell ref="AE170:AL170"/>
    <mergeCell ref="AM170:BJ170"/>
    <mergeCell ref="B171:F171"/>
    <mergeCell ref="G171:N171"/>
    <mergeCell ref="P171:AD171"/>
    <mergeCell ref="AE171:AL171"/>
    <mergeCell ref="AM171:BJ171"/>
    <mergeCell ref="G168:N168"/>
    <mergeCell ref="P168:AD168"/>
    <mergeCell ref="AE168:AL168"/>
    <mergeCell ref="AM168:BJ168"/>
    <mergeCell ref="B169:F169"/>
    <mergeCell ref="G169:N169"/>
    <mergeCell ref="P169:AD169"/>
    <mergeCell ref="AE169:AL169"/>
    <mergeCell ref="AM169:BJ169"/>
    <mergeCell ref="AE165:AL165"/>
    <mergeCell ref="AM165:BJ165"/>
    <mergeCell ref="B166:F166"/>
    <mergeCell ref="G166:N166"/>
    <mergeCell ref="P166:AD166"/>
    <mergeCell ref="AE166:AL166"/>
    <mergeCell ref="AM166:BJ166"/>
    <mergeCell ref="B167:F167"/>
    <mergeCell ref="G167:N167"/>
    <mergeCell ref="P167:AD167"/>
    <mergeCell ref="AE167:AL167"/>
    <mergeCell ref="AM167:BJ167"/>
    <mergeCell ref="AE162:AL162"/>
    <mergeCell ref="AM162:BJ162"/>
    <mergeCell ref="B163:F163"/>
    <mergeCell ref="G163:N163"/>
    <mergeCell ref="P163:AD163"/>
    <mergeCell ref="AE163:AL163"/>
    <mergeCell ref="AM163:BJ163"/>
    <mergeCell ref="B164:F164"/>
    <mergeCell ref="G164:N164"/>
    <mergeCell ref="P164:AD164"/>
    <mergeCell ref="AE164:AL164"/>
    <mergeCell ref="AM164:BJ164"/>
    <mergeCell ref="AE158:AL158"/>
    <mergeCell ref="AM158:BJ158"/>
    <mergeCell ref="B160:F160"/>
    <mergeCell ref="G160:N160"/>
    <mergeCell ref="P160:AD160"/>
    <mergeCell ref="AE160:AL160"/>
    <mergeCell ref="AM160:BJ160"/>
    <mergeCell ref="B161:F161"/>
    <mergeCell ref="G161:N161"/>
    <mergeCell ref="P161:AD161"/>
    <mergeCell ref="AE161:AL161"/>
    <mergeCell ref="AM161:BJ161"/>
    <mergeCell ref="B159:F159"/>
    <mergeCell ref="B6:F6"/>
    <mergeCell ref="G6:N6"/>
    <mergeCell ref="P6:AD6"/>
    <mergeCell ref="AE6:AL6"/>
    <mergeCell ref="AM6:BJ6"/>
    <mergeCell ref="B7:F7"/>
    <mergeCell ref="G7:N7"/>
    <mergeCell ref="P7:AD7"/>
    <mergeCell ref="AE7:AL7"/>
    <mergeCell ref="AM7:BJ7"/>
    <mergeCell ref="G80:N80"/>
    <mergeCell ref="G81:N81"/>
    <mergeCell ref="G82:N82"/>
    <mergeCell ref="G83:N83"/>
    <mergeCell ref="G84:N84"/>
    <mergeCell ref="G85:N85"/>
    <mergeCell ref="G86:N86"/>
    <mergeCell ref="G96:N96"/>
    <mergeCell ref="G97:N97"/>
    <mergeCell ref="G87:N87"/>
    <mergeCell ref="G88:N88"/>
    <mergeCell ref="G89:N89"/>
    <mergeCell ref="G90:N90"/>
    <mergeCell ref="G91:N91"/>
    <mergeCell ref="G92:N92"/>
    <mergeCell ref="G93:N93"/>
    <mergeCell ref="G94:N94"/>
    <mergeCell ref="G95:N95"/>
    <mergeCell ref="G71:N71"/>
    <mergeCell ref="G72:N72"/>
    <mergeCell ref="G73:N73"/>
    <mergeCell ref="G74:N74"/>
    <mergeCell ref="G75:N75"/>
    <mergeCell ref="G76:N76"/>
    <mergeCell ref="G77:N77"/>
    <mergeCell ref="G78:N78"/>
    <mergeCell ref="G79:N79"/>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26:N26"/>
    <mergeCell ref="G27:N27"/>
    <mergeCell ref="G28:N28"/>
    <mergeCell ref="G29:N29"/>
    <mergeCell ref="G30:N30"/>
    <mergeCell ref="G31:N31"/>
    <mergeCell ref="G32:N32"/>
    <mergeCell ref="G33:N33"/>
    <mergeCell ref="G34:N34"/>
    <mergeCell ref="G141:N141"/>
    <mergeCell ref="G142:N142"/>
    <mergeCell ref="G143:N143"/>
    <mergeCell ref="G144:N144"/>
    <mergeCell ref="G145:N145"/>
    <mergeCell ref="G146:N146"/>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132:N132"/>
    <mergeCell ref="G133:N133"/>
    <mergeCell ref="G134:N134"/>
    <mergeCell ref="G135:N135"/>
    <mergeCell ref="G136:N136"/>
    <mergeCell ref="G137:N137"/>
    <mergeCell ref="G138:N138"/>
    <mergeCell ref="G139:N139"/>
    <mergeCell ref="G140:N140"/>
    <mergeCell ref="G121:N121"/>
    <mergeCell ref="G124:N124"/>
    <mergeCell ref="G125:N125"/>
    <mergeCell ref="G126:N126"/>
    <mergeCell ref="G127:N127"/>
    <mergeCell ref="G128:N128"/>
    <mergeCell ref="G129:N129"/>
    <mergeCell ref="G130:N130"/>
    <mergeCell ref="G131:N131"/>
    <mergeCell ref="G123:N123"/>
    <mergeCell ref="B97:F97"/>
    <mergeCell ref="B98:F98"/>
    <mergeCell ref="B99:F99"/>
    <mergeCell ref="G115:N115"/>
    <mergeCell ref="G116:N116"/>
    <mergeCell ref="G117:N117"/>
    <mergeCell ref="G118:N118"/>
    <mergeCell ref="G119:N119"/>
    <mergeCell ref="G120:N120"/>
    <mergeCell ref="G98:N98"/>
    <mergeCell ref="G99:N99"/>
    <mergeCell ref="B115:F115"/>
    <mergeCell ref="B116:F116"/>
    <mergeCell ref="B117:F117"/>
    <mergeCell ref="B118:F118"/>
    <mergeCell ref="B119:F119"/>
    <mergeCell ref="B120:F120"/>
    <mergeCell ref="B111:F111"/>
    <mergeCell ref="G111:N111"/>
    <mergeCell ref="B107:F107"/>
    <mergeCell ref="G107:N107"/>
    <mergeCell ref="B100:F100"/>
    <mergeCell ref="G100:N100"/>
    <mergeCell ref="B88:F88"/>
    <mergeCell ref="B89:F89"/>
    <mergeCell ref="B90:F90"/>
    <mergeCell ref="B91:F91"/>
    <mergeCell ref="B92:F92"/>
    <mergeCell ref="B93:F93"/>
    <mergeCell ref="B94:F94"/>
    <mergeCell ref="B95:F95"/>
    <mergeCell ref="B96:F96"/>
    <mergeCell ref="B79:F79"/>
    <mergeCell ref="B80:F80"/>
    <mergeCell ref="B81:F81"/>
    <mergeCell ref="B82:F82"/>
    <mergeCell ref="B83:F83"/>
    <mergeCell ref="B84:F84"/>
    <mergeCell ref="B85:F85"/>
    <mergeCell ref="B86:F86"/>
    <mergeCell ref="B87:F87"/>
    <mergeCell ref="B70:F70"/>
    <mergeCell ref="B71:F71"/>
    <mergeCell ref="B72:F72"/>
    <mergeCell ref="B73:F73"/>
    <mergeCell ref="B74:F74"/>
    <mergeCell ref="B75:F75"/>
    <mergeCell ref="B76:F76"/>
    <mergeCell ref="B77:F77"/>
    <mergeCell ref="B78:F78"/>
    <mergeCell ref="B61:F61"/>
    <mergeCell ref="B62:F62"/>
    <mergeCell ref="B63:F63"/>
    <mergeCell ref="B64:F64"/>
    <mergeCell ref="B65:F65"/>
    <mergeCell ref="B66:F66"/>
    <mergeCell ref="B67:F67"/>
    <mergeCell ref="B68:F68"/>
    <mergeCell ref="B69:F69"/>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34:F34"/>
    <mergeCell ref="B35:F35"/>
    <mergeCell ref="B36:F36"/>
    <mergeCell ref="B37:F37"/>
    <mergeCell ref="B38:F38"/>
    <mergeCell ref="B39:F39"/>
    <mergeCell ref="B40:F40"/>
    <mergeCell ref="B41:F41"/>
    <mergeCell ref="B42:F42"/>
    <mergeCell ref="B144:F144"/>
    <mergeCell ref="B145:F145"/>
    <mergeCell ref="B146:F146"/>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135:F135"/>
    <mergeCell ref="B136:F136"/>
    <mergeCell ref="B137:F137"/>
    <mergeCell ref="B138:F138"/>
    <mergeCell ref="B139:F139"/>
    <mergeCell ref="B140:F140"/>
    <mergeCell ref="B141:F141"/>
    <mergeCell ref="B142:F142"/>
    <mergeCell ref="B143:F143"/>
    <mergeCell ref="B126:F126"/>
    <mergeCell ref="B127:F127"/>
    <mergeCell ref="B128:F128"/>
    <mergeCell ref="B129:F129"/>
    <mergeCell ref="B130:F130"/>
    <mergeCell ref="B131:F131"/>
    <mergeCell ref="B132:F132"/>
    <mergeCell ref="B133:F133"/>
    <mergeCell ref="B134:F134"/>
    <mergeCell ref="B121:F121"/>
    <mergeCell ref="B124:F124"/>
    <mergeCell ref="B125:F125"/>
    <mergeCell ref="B123:F123"/>
    <mergeCell ref="P146:AD146"/>
    <mergeCell ref="AE146:AL146"/>
    <mergeCell ref="AM146:BJ146"/>
    <mergeCell ref="P99:AD99"/>
    <mergeCell ref="AE99:AL99"/>
    <mergeCell ref="AM99:BJ99"/>
    <mergeCell ref="P141:AD141"/>
    <mergeCell ref="AE141:AL141"/>
    <mergeCell ref="AM141:BJ141"/>
    <mergeCell ref="P142:AD142"/>
    <mergeCell ref="AE142:AL142"/>
    <mergeCell ref="AM142:BJ142"/>
    <mergeCell ref="P143:AD143"/>
    <mergeCell ref="AE143:AL143"/>
    <mergeCell ref="P144:AD144"/>
    <mergeCell ref="AE144:AL144"/>
    <mergeCell ref="P145:AD145"/>
    <mergeCell ref="AE145:AL145"/>
    <mergeCell ref="AM145:BJ145"/>
    <mergeCell ref="P139:AD139"/>
    <mergeCell ref="AE139:AL139"/>
    <mergeCell ref="AM139:BJ139"/>
    <mergeCell ref="P140:AD140"/>
    <mergeCell ref="AE140:AL140"/>
    <mergeCell ref="AM140:BJ140"/>
    <mergeCell ref="P137:AD137"/>
    <mergeCell ref="AE137:AL137"/>
    <mergeCell ref="AM137:BJ137"/>
    <mergeCell ref="P138:AD138"/>
    <mergeCell ref="AE138:AL138"/>
    <mergeCell ref="AM138:BJ138"/>
    <mergeCell ref="P130:AD130"/>
    <mergeCell ref="AE130:AL130"/>
    <mergeCell ref="AM130:BJ130"/>
    <mergeCell ref="P135:AD135"/>
    <mergeCell ref="AE135:AL135"/>
    <mergeCell ref="AM135:BJ135"/>
    <mergeCell ref="P136:AD136"/>
    <mergeCell ref="AE136:AL136"/>
    <mergeCell ref="AM136:BJ136"/>
    <mergeCell ref="P133:AD133"/>
    <mergeCell ref="AE133:AL133"/>
    <mergeCell ref="AM133:BJ133"/>
    <mergeCell ref="P134:AD134"/>
    <mergeCell ref="AE134:AL134"/>
    <mergeCell ref="AM134:BJ134"/>
    <mergeCell ref="B122:F122"/>
    <mergeCell ref="G122:N122"/>
    <mergeCell ref="B113:F113"/>
    <mergeCell ref="G113:N113"/>
    <mergeCell ref="P113:AD113"/>
    <mergeCell ref="AE113:AL113"/>
    <mergeCell ref="AM113:BJ113"/>
    <mergeCell ref="B114:F114"/>
    <mergeCell ref="G114:N114"/>
    <mergeCell ref="P114:AD114"/>
    <mergeCell ref="AE114:AL114"/>
    <mergeCell ref="AM114:BJ114"/>
    <mergeCell ref="P118:AD118"/>
    <mergeCell ref="AE118:AL118"/>
    <mergeCell ref="AM118:BJ118"/>
    <mergeCell ref="P119:AD119"/>
    <mergeCell ref="AE119:AL119"/>
    <mergeCell ref="AM119:BJ119"/>
    <mergeCell ref="P122:AD122"/>
    <mergeCell ref="AE122:AL122"/>
    <mergeCell ref="P120:AD120"/>
    <mergeCell ref="AE120:AL120"/>
    <mergeCell ref="AM120:BJ120"/>
    <mergeCell ref="P121:AD121"/>
    <mergeCell ref="AE112:AL112"/>
    <mergeCell ref="AM112:BJ112"/>
    <mergeCell ref="B109:F109"/>
    <mergeCell ref="G109:N109"/>
    <mergeCell ref="P109:AD109"/>
    <mergeCell ref="AE109:AL109"/>
    <mergeCell ref="AM109:BJ109"/>
    <mergeCell ref="B110:F110"/>
    <mergeCell ref="G110:N110"/>
    <mergeCell ref="P110:AD110"/>
    <mergeCell ref="AE110:AL110"/>
    <mergeCell ref="AM110:BJ110"/>
    <mergeCell ref="AE155:AL155"/>
    <mergeCell ref="AM155:BJ155"/>
    <mergeCell ref="B158:F158"/>
    <mergeCell ref="AE159:AL159"/>
    <mergeCell ref="AE154:AL154"/>
    <mergeCell ref="B154:F154"/>
    <mergeCell ref="P107:AD107"/>
    <mergeCell ref="AE107:AL107"/>
    <mergeCell ref="AM107:BJ107"/>
    <mergeCell ref="B108:F108"/>
    <mergeCell ref="G108:N108"/>
    <mergeCell ref="P108:AD108"/>
    <mergeCell ref="AE108:AL108"/>
    <mergeCell ref="AM108:BJ108"/>
    <mergeCell ref="AE152:AL152"/>
    <mergeCell ref="AM152:BJ152"/>
    <mergeCell ref="AE147:AL147"/>
    <mergeCell ref="B152:F152"/>
    <mergeCell ref="P111:AD111"/>
    <mergeCell ref="AE111:AL111"/>
    <mergeCell ref="AM111:BJ111"/>
    <mergeCell ref="B112:F112"/>
    <mergeCell ref="G112:N112"/>
    <mergeCell ref="P112:AD112"/>
    <mergeCell ref="B153:F153"/>
    <mergeCell ref="G153:N153"/>
    <mergeCell ref="B147:F147"/>
    <mergeCell ref="G147:N147"/>
    <mergeCell ref="P147:AD147"/>
    <mergeCell ref="P153:AD153"/>
    <mergeCell ref="B188:F188"/>
    <mergeCell ref="G188:N188"/>
    <mergeCell ref="P188:AD188"/>
    <mergeCell ref="G159:N159"/>
    <mergeCell ref="P159:AD159"/>
    <mergeCell ref="B155:F155"/>
    <mergeCell ref="G155:N155"/>
    <mergeCell ref="P155:AD155"/>
    <mergeCell ref="G158:N158"/>
    <mergeCell ref="P158:AD158"/>
    <mergeCell ref="B162:F162"/>
    <mergeCell ref="G162:N162"/>
    <mergeCell ref="P162:AD162"/>
    <mergeCell ref="B165:F165"/>
    <mergeCell ref="G165:N165"/>
    <mergeCell ref="P165:AD165"/>
    <mergeCell ref="B168:F168"/>
    <mergeCell ref="G154:N154"/>
    <mergeCell ref="B192:F192"/>
    <mergeCell ref="G192:N192"/>
    <mergeCell ref="P192:AD192"/>
    <mergeCell ref="AE192:AL192"/>
    <mergeCell ref="AM192:BJ192"/>
    <mergeCell ref="AE188:AL188"/>
    <mergeCell ref="AM189:BJ189"/>
    <mergeCell ref="B191:F191"/>
    <mergeCell ref="G191:N191"/>
    <mergeCell ref="P191:AD191"/>
    <mergeCell ref="AE191:AL191"/>
    <mergeCell ref="AM191:BJ191"/>
    <mergeCell ref="B190:F190"/>
    <mergeCell ref="G190:N190"/>
    <mergeCell ref="P190:AD190"/>
    <mergeCell ref="AE190:AL190"/>
    <mergeCell ref="B189:F189"/>
    <mergeCell ref="G189:N189"/>
    <mergeCell ref="P189:AD189"/>
    <mergeCell ref="AE189:AL189"/>
    <mergeCell ref="AM190:BJ190"/>
    <mergeCell ref="AS1:AX1"/>
    <mergeCell ref="BE1:BJ1"/>
    <mergeCell ref="AS2:AX2"/>
    <mergeCell ref="AY2:BD2"/>
    <mergeCell ref="BE2:BJ2"/>
    <mergeCell ref="AY1:BD1"/>
    <mergeCell ref="AM188:BJ188"/>
    <mergeCell ref="AM159:BJ159"/>
    <mergeCell ref="AM153:BJ153"/>
    <mergeCell ref="AM101:BJ101"/>
    <mergeCell ref="AM4:BJ5"/>
    <mergeCell ref="AM147:BJ147"/>
    <mergeCell ref="AM106:BJ106"/>
    <mergeCell ref="AM143:BJ143"/>
    <mergeCell ref="AM144:BJ144"/>
    <mergeCell ref="AM9:BJ9"/>
    <mergeCell ref="AM154:BJ154"/>
    <mergeCell ref="AM100:BJ100"/>
    <mergeCell ref="AM70:BJ70"/>
    <mergeCell ref="AM122:BJ122"/>
    <mergeCell ref="AM22:BJ22"/>
    <mergeCell ref="AM12:BJ12"/>
    <mergeCell ref="AM34:BJ34"/>
    <mergeCell ref="AM121:BJ121"/>
    <mergeCell ref="B1:N2"/>
    <mergeCell ref="O1:AD1"/>
    <mergeCell ref="B105:F105"/>
    <mergeCell ref="G105:N105"/>
    <mergeCell ref="P105:AD105"/>
    <mergeCell ref="O2:AD2"/>
    <mergeCell ref="AE4:AL5"/>
    <mergeCell ref="G101:N101"/>
    <mergeCell ref="G4:N5"/>
    <mergeCell ref="P4:AD5"/>
    <mergeCell ref="P101:AD101"/>
    <mergeCell ref="B4:F5"/>
    <mergeCell ref="O4:O5"/>
    <mergeCell ref="B101:F101"/>
    <mergeCell ref="AE101:AL101"/>
    <mergeCell ref="B103:F103"/>
    <mergeCell ref="B102:F102"/>
    <mergeCell ref="B104:F104"/>
    <mergeCell ref="G104:N104"/>
    <mergeCell ref="G103:N103"/>
    <mergeCell ref="G102:N102"/>
    <mergeCell ref="P102:AD102"/>
    <mergeCell ref="AE1:AR1"/>
    <mergeCell ref="AE2:AR2"/>
    <mergeCell ref="P103:AD103"/>
    <mergeCell ref="P104:AD104"/>
    <mergeCell ref="AE105:AL105"/>
    <mergeCell ref="AM105:BJ105"/>
    <mergeCell ref="AE102:AL102"/>
    <mergeCell ref="AM102:BJ102"/>
    <mergeCell ref="AE103:AL103"/>
    <mergeCell ref="AM103:BJ103"/>
    <mergeCell ref="AE104:AL104"/>
    <mergeCell ref="P100:AD100"/>
    <mergeCell ref="AE100:AL10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B29:F29"/>
    <mergeCell ref="B30:F30"/>
    <mergeCell ref="B31:F31"/>
    <mergeCell ref="B32:F32"/>
    <mergeCell ref="B33:F33"/>
    <mergeCell ref="P106:AD106"/>
    <mergeCell ref="AE106:AL106"/>
    <mergeCell ref="AM104:BJ104"/>
    <mergeCell ref="B106:F106"/>
    <mergeCell ref="G106:N106"/>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15:AD115"/>
    <mergeCell ref="AE115:AL115"/>
    <mergeCell ref="AM115:BJ115"/>
    <mergeCell ref="P125:AD125"/>
    <mergeCell ref="AE125:AL125"/>
    <mergeCell ref="AM125:BJ125"/>
    <mergeCell ref="P116:AD116"/>
    <mergeCell ref="AE116:AL116"/>
    <mergeCell ref="AM116:BJ116"/>
    <mergeCell ref="P117:AD117"/>
    <mergeCell ref="AE117:AL117"/>
    <mergeCell ref="AM117:BJ117"/>
    <mergeCell ref="P123:AD123"/>
    <mergeCell ref="AE123:AL123"/>
    <mergeCell ref="AM123:BJ123"/>
    <mergeCell ref="AE153:AL153"/>
    <mergeCell ref="P154:AD154"/>
    <mergeCell ref="AE121:AL121"/>
    <mergeCell ref="P128:AD128"/>
    <mergeCell ref="AE128:AL128"/>
    <mergeCell ref="AM128:BJ128"/>
    <mergeCell ref="P124:AD124"/>
    <mergeCell ref="AE124:AL124"/>
    <mergeCell ref="AM124:BJ124"/>
    <mergeCell ref="P126:AD126"/>
    <mergeCell ref="AE126:AL126"/>
    <mergeCell ref="AM126:BJ126"/>
    <mergeCell ref="P127:AD127"/>
    <mergeCell ref="AE127:AL127"/>
    <mergeCell ref="AM127:BJ127"/>
    <mergeCell ref="P131:AD131"/>
    <mergeCell ref="AE131:AL131"/>
    <mergeCell ref="AM131:BJ131"/>
    <mergeCell ref="P132:AD132"/>
    <mergeCell ref="AE132:AL132"/>
    <mergeCell ref="AM132:BJ132"/>
    <mergeCell ref="P129:AD129"/>
    <mergeCell ref="AE129:AL129"/>
    <mergeCell ref="AM129:BJ129"/>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AE25:AL25"/>
    <mergeCell ref="AM25:BJ25"/>
    <mergeCell ref="P23:AD23"/>
    <mergeCell ref="AE23:AL23"/>
    <mergeCell ref="AM23:BJ23"/>
    <mergeCell ref="P26:AD26"/>
    <mergeCell ref="AE26:AL26"/>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3:AD73"/>
    <mergeCell ref="AE73:AL73"/>
    <mergeCell ref="AM73:BJ73"/>
    <mergeCell ref="P74:AD74"/>
    <mergeCell ref="AE74:AL74"/>
    <mergeCell ref="AM74:BJ74"/>
    <mergeCell ref="P71:AD71"/>
    <mergeCell ref="AE71:AL71"/>
    <mergeCell ref="AM71:BJ71"/>
    <mergeCell ref="P72:AD72"/>
    <mergeCell ref="AE72:AL72"/>
    <mergeCell ref="AM72:BJ72"/>
    <mergeCell ref="P69:AD69"/>
    <mergeCell ref="AE69:AL69"/>
    <mergeCell ref="AM69:BJ69"/>
    <mergeCell ref="P70:AD70"/>
    <mergeCell ref="AE70:AL70"/>
    <mergeCell ref="P68:AD68"/>
    <mergeCell ref="P85:AD85"/>
    <mergeCell ref="AE85:AL85"/>
    <mergeCell ref="AM85:BJ85"/>
    <mergeCell ref="P86:AD86"/>
    <mergeCell ref="AE86:AL86"/>
    <mergeCell ref="AM86:BJ86"/>
    <mergeCell ref="P75:AD75"/>
    <mergeCell ref="AE75:AL75"/>
    <mergeCell ref="AM75:BJ75"/>
    <mergeCell ref="P76:AD76"/>
    <mergeCell ref="AE76:AL76"/>
    <mergeCell ref="AM76:BJ76"/>
    <mergeCell ref="P77:AD77"/>
    <mergeCell ref="AE77:AL77"/>
    <mergeCell ref="AM77:BJ77"/>
    <mergeCell ref="P98:AD98"/>
    <mergeCell ref="AE98:AL98"/>
    <mergeCell ref="AM98:BJ98"/>
    <mergeCell ref="P79:AD79"/>
    <mergeCell ref="AE79:AL79"/>
    <mergeCell ref="AM79:BJ79"/>
    <mergeCell ref="P80:AD80"/>
    <mergeCell ref="AE80:AL80"/>
    <mergeCell ref="AM80:BJ80"/>
    <mergeCell ref="P81:AD81"/>
    <mergeCell ref="AE81:AL81"/>
    <mergeCell ref="AM81:BJ81"/>
    <mergeCell ref="P82:AD82"/>
    <mergeCell ref="AE82:AL82"/>
    <mergeCell ref="AM82:BJ82"/>
    <mergeCell ref="P83:AD83"/>
    <mergeCell ref="AE83:AL83"/>
    <mergeCell ref="AM83:BJ83"/>
    <mergeCell ref="P89:AD89"/>
    <mergeCell ref="AE89:AL89"/>
    <mergeCell ref="AM89:BJ89"/>
    <mergeCell ref="P92:AD92"/>
    <mergeCell ref="AE92:AL92"/>
    <mergeCell ref="AM92:BJ92"/>
    <mergeCell ref="P97:AD97"/>
    <mergeCell ref="AE97:AL97"/>
    <mergeCell ref="AM97:BJ97"/>
    <mergeCell ref="P91:AD91"/>
    <mergeCell ref="AE91:AL91"/>
    <mergeCell ref="AM91:BJ91"/>
    <mergeCell ref="P94:AD94"/>
    <mergeCell ref="AE94:AL94"/>
    <mergeCell ref="AM94:BJ94"/>
    <mergeCell ref="P95:AD95"/>
    <mergeCell ref="AE95:AL95"/>
    <mergeCell ref="AM95:BJ95"/>
    <mergeCell ref="P96:AD96"/>
    <mergeCell ref="AE96:AL96"/>
    <mergeCell ref="AM96:BJ96"/>
    <mergeCell ref="P50:AD50"/>
    <mergeCell ref="AE50:AL50"/>
    <mergeCell ref="AM50:BJ50"/>
    <mergeCell ref="P51:AD51"/>
    <mergeCell ref="AE51:AL51"/>
    <mergeCell ref="AM51:BJ51"/>
    <mergeCell ref="P93:AD93"/>
    <mergeCell ref="AE93:AL93"/>
    <mergeCell ref="AM93:BJ93"/>
    <mergeCell ref="P90:AD90"/>
    <mergeCell ref="AE90:AL90"/>
    <mergeCell ref="AM90:BJ90"/>
    <mergeCell ref="P78:AD78"/>
    <mergeCell ref="AE78:AL78"/>
    <mergeCell ref="AM78:BJ78"/>
    <mergeCell ref="P87:AD87"/>
    <mergeCell ref="AE87:AL87"/>
    <mergeCell ref="AM87:BJ87"/>
    <mergeCell ref="P88:AD88"/>
    <mergeCell ref="AE88:AL88"/>
    <mergeCell ref="AM88:BJ88"/>
    <mergeCell ref="P84:AD84"/>
    <mergeCell ref="AE84:AL84"/>
    <mergeCell ref="AM84:BJ84"/>
    <mergeCell ref="B156:F156"/>
    <mergeCell ref="G156:N156"/>
    <mergeCell ref="P156:AD156"/>
    <mergeCell ref="AE156:AL156"/>
    <mergeCell ref="AM156:BJ156"/>
    <mergeCell ref="B157:F157"/>
    <mergeCell ref="G157:N157"/>
    <mergeCell ref="P157:AD157"/>
    <mergeCell ref="AE157:AL157"/>
    <mergeCell ref="AM157:BJ157"/>
    <mergeCell ref="B148:F148"/>
    <mergeCell ref="G148:N148"/>
    <mergeCell ref="P148:AD148"/>
    <mergeCell ref="AE148:AL148"/>
    <mergeCell ref="AM148:BJ148"/>
    <mergeCell ref="B149:F149"/>
    <mergeCell ref="G149:N149"/>
    <mergeCell ref="P149:AD149"/>
    <mergeCell ref="AE149:AL149"/>
    <mergeCell ref="AM149:BJ149"/>
    <mergeCell ref="P152:AD152"/>
    <mergeCell ref="B150:F150"/>
    <mergeCell ref="G150:N150"/>
    <mergeCell ref="P150:AD150"/>
    <mergeCell ref="AE150:AL150"/>
    <mergeCell ref="AM150:BJ150"/>
    <mergeCell ref="B151:F151"/>
    <mergeCell ref="G151:N151"/>
    <mergeCell ref="P151:AD151"/>
    <mergeCell ref="AE151:AL151"/>
    <mergeCell ref="AM151:BJ151"/>
    <mergeCell ref="G152:N152"/>
  </mergeCells>
  <phoneticPr fontId="8"/>
  <conditionalFormatting sqref="G190:N190 B104:F106 B102:N103 G7:N7 G104:N146 G21:N100 G9:N19">
    <cfRule type="expression" dxfId="49" priority="148">
      <formula>B6=B7</formula>
    </cfRule>
  </conditionalFormatting>
  <conditionalFormatting sqref="O2:AD2">
    <cfRule type="expression" dxfId="48" priority="142">
      <formula>$O$2=""</formula>
    </cfRule>
  </conditionalFormatting>
  <conditionalFormatting sqref="B159:N159">
    <cfRule type="expression" dxfId="47" priority="103">
      <formula>#REF!=B159</formula>
    </cfRule>
  </conditionalFormatting>
  <conditionalFormatting sqref="G189:N189">
    <cfRule type="expression" dxfId="46" priority="108">
      <formula>#REF!=G189</formula>
    </cfRule>
  </conditionalFormatting>
  <conditionalFormatting sqref="G153:N153">
    <cfRule type="expression" dxfId="45" priority="150">
      <formula>#REF!=G153</formula>
    </cfRule>
  </conditionalFormatting>
  <conditionalFormatting sqref="B153:F153">
    <cfRule type="expression" dxfId="44" priority="105">
      <formula>#REF!=B153</formula>
    </cfRule>
  </conditionalFormatting>
  <conditionalFormatting sqref="B190:F190">
    <cfRule type="expression" dxfId="43" priority="97">
      <formula>B189=B190</formula>
    </cfRule>
  </conditionalFormatting>
  <conditionalFormatting sqref="B189:F189">
    <cfRule type="expression" dxfId="42" priority="98">
      <formula>#REF!=B189</formula>
    </cfRule>
  </conditionalFormatting>
  <conditionalFormatting sqref="B192:N192 B113:F146 B22:F100 B10:F19">
    <cfRule type="expression" dxfId="41" priority="151">
      <formula>B8=B10</formula>
    </cfRule>
  </conditionalFormatting>
  <conditionalFormatting sqref="B191:F191">
    <cfRule type="expression" dxfId="40" priority="93">
      <formula>B190=B191</formula>
    </cfRule>
  </conditionalFormatting>
  <conditionalFormatting sqref="G191:N191">
    <cfRule type="expression" dxfId="39" priority="94">
      <formula>G190=G191</formula>
    </cfRule>
  </conditionalFormatting>
  <conditionalFormatting sqref="G154:N154">
    <cfRule type="expression" dxfId="38" priority="91">
      <formula>G153=G154</formula>
    </cfRule>
  </conditionalFormatting>
  <conditionalFormatting sqref="B154:F154">
    <cfRule type="expression" dxfId="37" priority="90">
      <formula>B153=B154</formula>
    </cfRule>
  </conditionalFormatting>
  <conditionalFormatting sqref="G152:N152">
    <cfRule type="expression" dxfId="36" priority="76">
      <formula>G147=G152</formula>
    </cfRule>
  </conditionalFormatting>
  <conditionalFormatting sqref="B152:F152">
    <cfRule type="expression" dxfId="35" priority="75">
      <formula>B147=B152</formula>
    </cfRule>
  </conditionalFormatting>
  <conditionalFormatting sqref="B147:N147">
    <cfRule type="expression" dxfId="34" priority="152">
      <formula>#REF!=B147</formula>
    </cfRule>
  </conditionalFormatting>
  <conditionalFormatting sqref="B107:F107">
    <cfRule type="expression" dxfId="33" priority="68">
      <formula>B105=B107</formula>
    </cfRule>
  </conditionalFormatting>
  <conditionalFormatting sqref="B108:F112">
    <cfRule type="expression" dxfId="32" priority="67">
      <formula>B106=B108</formula>
    </cfRule>
  </conditionalFormatting>
  <conditionalFormatting sqref="B7:F7">
    <cfRule type="expression" dxfId="31" priority="32">
      <formula>B100=B7</formula>
    </cfRule>
  </conditionalFormatting>
  <conditionalFormatting sqref="G155:N155">
    <cfRule type="expression" dxfId="30" priority="30">
      <formula>G154=G155</formula>
    </cfRule>
  </conditionalFormatting>
  <conditionalFormatting sqref="B155:F155">
    <cfRule type="expression" dxfId="29" priority="29">
      <formula>B154=B155</formula>
    </cfRule>
  </conditionalFormatting>
  <conditionalFormatting sqref="G158:N158">
    <cfRule type="expression" dxfId="28" priority="28">
      <formula>G155=G158</formula>
    </cfRule>
  </conditionalFormatting>
  <conditionalFormatting sqref="B158:F158">
    <cfRule type="expression" dxfId="27" priority="27">
      <formula>B155=B158</formula>
    </cfRule>
  </conditionalFormatting>
  <conditionalFormatting sqref="B161:F188">
    <cfRule type="expression" dxfId="26" priority="22">
      <formula>B160=B161</formula>
    </cfRule>
  </conditionalFormatting>
  <conditionalFormatting sqref="G160:N160">
    <cfRule type="expression" dxfId="25" priority="25">
      <formula>G159=G160</formula>
    </cfRule>
  </conditionalFormatting>
  <conditionalFormatting sqref="B160:F160">
    <cfRule type="expression" dxfId="24" priority="24">
      <formula>B159=B160</formula>
    </cfRule>
  </conditionalFormatting>
  <conditionalFormatting sqref="G161:N188">
    <cfRule type="expression" dxfId="23" priority="23">
      <formula>G160=G161</formula>
    </cfRule>
  </conditionalFormatting>
  <conditionalFormatting sqref="B6:N6">
    <cfRule type="expression" dxfId="22" priority="21">
      <formula>B3=B6</formula>
    </cfRule>
  </conditionalFormatting>
  <conditionalFormatting sqref="G101:N101">
    <cfRule type="expression" dxfId="21" priority="20">
      <formula>G7=G101</formula>
    </cfRule>
  </conditionalFormatting>
  <conditionalFormatting sqref="B101:F101">
    <cfRule type="expression" dxfId="20" priority="17">
      <formula>B7=B101</formula>
    </cfRule>
  </conditionalFormatting>
  <conditionalFormatting sqref="B20:F21">
    <cfRule type="expression" dxfId="19" priority="155">
      <formula>B18=B20</formula>
    </cfRule>
  </conditionalFormatting>
  <conditionalFormatting sqref="G20:N20">
    <cfRule type="expression" dxfId="18" priority="159">
      <formula>G19=G20</formula>
    </cfRule>
  </conditionalFormatting>
  <conditionalFormatting sqref="B8:F9">
    <cfRule type="expression" dxfId="17" priority="160">
      <formula>B145=B8</formula>
    </cfRule>
  </conditionalFormatting>
  <conditionalFormatting sqref="G8:N8">
    <cfRule type="expression" dxfId="16" priority="161">
      <formula>G146=G8</formula>
    </cfRule>
  </conditionalFormatting>
  <conditionalFormatting sqref="G156:N156">
    <cfRule type="expression" dxfId="15" priority="16">
      <formula>G155=G156</formula>
    </cfRule>
  </conditionalFormatting>
  <conditionalFormatting sqref="B156:F156">
    <cfRule type="expression" dxfId="14" priority="15">
      <formula>B155=B156</formula>
    </cfRule>
  </conditionalFormatting>
  <conditionalFormatting sqref="G157:N157">
    <cfRule type="expression" dxfId="13" priority="14">
      <formula>G156=G157</formula>
    </cfRule>
  </conditionalFormatting>
  <conditionalFormatting sqref="B157:F157">
    <cfRule type="expression" dxfId="12" priority="13">
      <formula>B156=B157</formula>
    </cfRule>
  </conditionalFormatting>
  <conditionalFormatting sqref="G148:N148">
    <cfRule type="expression" dxfId="11" priority="10">
      <formula>G147=G148</formula>
    </cfRule>
  </conditionalFormatting>
  <conditionalFormatting sqref="B148:F148">
    <cfRule type="expression" dxfId="10" priority="9">
      <formula>B147=B148</formula>
    </cfRule>
  </conditionalFormatting>
  <conditionalFormatting sqref="G149:N149">
    <cfRule type="expression" dxfId="9" priority="8">
      <formula>G148=G149</formula>
    </cfRule>
  </conditionalFormatting>
  <conditionalFormatting sqref="B149:F149">
    <cfRule type="expression" dxfId="8" priority="7">
      <formula>B148=B149</formula>
    </cfRule>
  </conditionalFormatting>
  <conditionalFormatting sqref="G150:N150">
    <cfRule type="expression" dxfId="7" priority="6">
      <formula>G149=G150</formula>
    </cfRule>
  </conditionalFormatting>
  <conditionalFormatting sqref="B150:F150">
    <cfRule type="expression" dxfId="6" priority="5">
      <formula>B149=B150</formula>
    </cfRule>
  </conditionalFormatting>
  <conditionalFormatting sqref="G151:N151">
    <cfRule type="expression" dxfId="5" priority="4">
      <formula>G150=G151</formula>
    </cfRule>
  </conditionalFormatting>
  <conditionalFormatting sqref="B151:F151">
    <cfRule type="expression" dxfId="4" priority="3">
      <formula>B150=B151</formula>
    </cfRule>
  </conditionalFormatting>
  <hyperlinks>
    <hyperlink ref="P101" location="処理対象患者基本データ_DPC!A1" display="処理対象患者基本データ_DPC"/>
    <hyperlink ref="P101" location="バックアップ_DPC調査データ_Dファイル!A1" display="バックアップ_DPC調査データ_Dファイル"/>
    <hyperlink ref="P102" location="処理対象患者基本データ_DPC!A1" display="処理対象患者基本データ_DPC"/>
    <hyperlink ref="P102" location="バックアップ_DPC調査データ_入院EF統合ファイル!A1" display="バックアップ_DPC調査データ_入院EF統合ファイル"/>
    <hyperlink ref="P103" location="バックアップ_DPC調査データ_外来EF統合ファイル!A1" display="バックアップ_DPC調査データ_外来EF統合ファイル"/>
    <hyperlink ref="P104" location="バックアップ_DPC調査データ_Hファイル!A1" display="バックアップ_DPC調査データ_Hファイル"/>
    <hyperlink ref="P105:AD105" location="バックアップ_DPC調査データ_様式1!A1" display="バックアップ_DPC調査データ_様式1"/>
    <hyperlink ref="P106:AD106" location="バックアップ_DPC調査データ_様式1_診断情報_併存症!A1" display="バックアップ_DPC調査データ_様式1_診断情報_併存症"/>
    <hyperlink ref="P153:AD153" location="患者ID一覧マスタ!A1" display="患者ID一覧マスタ"/>
    <hyperlink ref="P189:AD189" location="ワーク_疾患データ!A1" display="ワーク_疾患データ"/>
    <hyperlink ref="P190:AD190" location="セレクト_疾患データ_大区分!A1" display="セレクト_疾患データ_大区分"/>
    <hyperlink ref="P191:AD191" location="セレクト_疾患データ_小区分!A1" display="セレクト_疾患データ_小区分"/>
    <hyperlink ref="P154:AD154" location="施設マスタ!A1" display="施設マスタ"/>
    <hyperlink ref="P152:AD152" location="組入れ_対象患者!A1" display="組入れ_対象患者"/>
    <hyperlink ref="P107:AD107" location="バックアップ_DPC調査データ_様式1_診断情報_続発症!A1" display="バックアップ_DPC調査データ_様式1_診断情報_続発症"/>
    <hyperlink ref="P108:AD108" location="バックアップ_医科レセプト_医療機関情報レコード!A1" display="バックアップ_医科レセプト_医療機関情報レコード"/>
    <hyperlink ref="P109:AD109" location="バックアップ_医科レセプト_レセプト共通レコード!A1" display="バックアップ_医科レセプト_レセプト共通レコード"/>
    <hyperlink ref="P110:AD110" location="バックアップ_医科レセプト_傷病名レコード!A1" display="バックアップ_医科レセプト_傷病名レコード"/>
    <hyperlink ref="P111:AD111" location="バックアップ_医科レセプト_診療行為レコード!A1" display="バックアップ_医科レセプト_診療行為レコード"/>
    <hyperlink ref="P112:AD112" location="バックアップ_医科レセプト_診療行為レコード_算定日情報!A1" display="バックアップ_医科レセプト_診療行為レコード_算定日情報"/>
    <hyperlink ref="P113:AD113" location="バックアップ_医科レセプト_医薬品レコード!A1" display="バックアップ_医科レセプト_医薬品レコード"/>
    <hyperlink ref="P114:AD114" location="バックアップ_医科レセプト_医薬品レコード_算定日情報!A1" display="バックアップ_医科レセプト_医薬品レコード_算定日情報"/>
    <hyperlink ref="P115:AD115" location="バックアップ_医科レセプト_臓器提供者レセプト情報レコード!A1" display="バックアップ_医科レセプト_臓器提供者レセプト情報レコード"/>
    <hyperlink ref="P116:AD116" location="バックアップ_DPCレセプト_医療機関情報レコード!A1" display="バックアップ_DPCレセプト_医療機関情報レコード"/>
    <hyperlink ref="P117:AD117" location="バックアップ_DPCレセプト_レセプト共通レコード!A1" display="バックアップ_DPCレセプト_レセプト共通レコード"/>
    <hyperlink ref="P118:AD118" location="バックアップ_DPCレセプト_診断群分類レコード!A1" display="バックアップ_DPCレセプト_診断群分類レコード"/>
    <hyperlink ref="P119:AD119" location="バックアップ_DPCレセプト_傷病レコード!A1" display="バックアップ_DPCレセプト_傷病レコード"/>
    <hyperlink ref="P120:AD120" location="バックアップ_DPCレセプト_傷病名レコード!A1" display="バックアップ_DPCレセプト_傷病名レコード"/>
    <hyperlink ref="P121:AD121" location="バックアップ_DPCレセプト_診療行為レコード!A1" display="バックアップ_DPCレセプト_診療行為レコード"/>
    <hyperlink ref="P122:AD122" location="バックアップ_DPCレセプト_診療行為レコード_算定日情報!A1" display="バックアップ_DPCレセプト_診療行為レコード_算定日情報"/>
    <hyperlink ref="P123:AD123" location="バックアップ_DPCレセプト_医薬品レコード!A1" display="バックアップ_DPCレセプト_医薬品レコード"/>
    <hyperlink ref="P124:AD124" location="バックアップ_DPCレセプト_医薬品レコード_算定日情報!A1" display="バックアップ_DPCレセプト_医薬品レコード_算定日情報"/>
    <hyperlink ref="P125:AD125" location="バックアップ_DPCレセプト_臓器提供者レセプト情報レコード!A1" display="バックアップ_DPCレセプト_臓器提供者レセプト情報レコード"/>
    <hyperlink ref="P126:AD126" location="バックアップ_患者情報モジュール_患者情報!A1" display="バックアップ_患者情報モジュール_患者情報"/>
    <hyperlink ref="P127:AD127" location="バックアップ_診断履歴情報モジュール_診断履歴情報レコード!A1" display="バックアップ_診断履歴情報モジュール_診断履歴情報レコード"/>
    <hyperlink ref="P128:AD128" location="バックアップ_診断履歴情報モジュール_診断病名レコード!A1" display="バックアップ_診断履歴情報モジュール_診断病名レコード"/>
    <hyperlink ref="P129:AD129" location="バックアップ_診断履歴情報モジュール_診断分類レコード!A1" display="バックアップ_診断履歴情報モジュール_診断分類レコード"/>
    <hyperlink ref="P130:AD130" location="バックアップ_経過記録情報モジュール_経過記録情報レコード!A1" display="バックアップ_経過記録情報モジュール_経過記録情報レコード"/>
    <hyperlink ref="P131:AD131" location="バックアップ_経過記録情報モジュール_プロブレムレコード!A1" display="バックアップ_経過記録情報モジュール_プロブレムレコード"/>
    <hyperlink ref="P132:AD132" location="バックアップ_経過記録情報モジュール_身体所見レコード!A1" display="バックアップ_経過記録情報モジュール_身体所見レコード"/>
    <hyperlink ref="P133:AD133" location="バックアップ_経過記録情報モジュール_アセスメントレコード!A1" display="バックアップ_経過記録情報モジュール_アセスメントレコード"/>
    <hyperlink ref="P134:AD134" location="バックアップ_経過記録情報モジュール_外部参照レコード!A1" display="バックアップ_経過記録情報モジュール_外部参照レコード"/>
    <hyperlink ref="P135:AD135" location="バックアップ_臨床サマリーモジュール_臨床サマリー情報レコード!A1" display="バックアップ_臨床サマリーモジュール_臨床サマリー情報レコード"/>
    <hyperlink ref="P136:AD136" location="バックアップ_臨床サマリーモジュール_外来受診レコード!A1" display="バックアップ_臨床サマリーモジュール_外来受診レコード"/>
    <hyperlink ref="P137:AD137" location="バックアップ_臨床サマリーモジュール_入院レコード!A1" display="バックアップ_臨床サマリーモジュール_入院レコード"/>
    <hyperlink ref="P138:AD138" location="バックアップ_臨床サマリーモジュール_経過記録レコード!A1" display="バックアップ_臨床サマリーモジュール_経過記録レコード"/>
    <hyperlink ref="P139:AD139" location="バックアップ_臨床サマリーモジュール_検査結果レコード!A1" display="バックアップ_臨床サマリーモジュール_検査結果レコード"/>
    <hyperlink ref="P140:AD140" location="バックアップ_検歴情報モジュール_検歴情報!A1" display="バックアップ_検歴情報モジュール_検歴情報"/>
    <hyperlink ref="P141:AD141" location="バックアップ_検歴情報モジュール_検歴検体材料!A1" display="バックアップ_検歴情報モジュール_検歴検体材料"/>
    <hyperlink ref="P142:AD142" location="バックアップ_検歴情報モジュール_検歴項目情報!A1" display="バックアップ_検歴情報モジュール_検歴項目情報"/>
    <hyperlink ref="P143:AD143" location="バックアップ_バイタルサインモジュール_バイタルサイン!A1" display="バックアップ_バイタルサインモジュール_バイタルサイン"/>
    <hyperlink ref="P144:AD144" location="バックアップ_バイタルサインモジュール_記録項目!A1" display="バックアップ_バイタルサインモジュール_記録項目"/>
    <hyperlink ref="P145:AD145" location="バックアップ_体温表モジュール_バイタルサイン!A1" display="バックアップ_体温表モジュール_バイタルサイン"/>
    <hyperlink ref="P146:AD146"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3:AD73" location="バックアップ_MML_処方箋モジュール_本文!A1" display="バックアップ_MML_処方箋モジュール_本文"/>
    <hyperlink ref="P74:AD74" location="バックアップ_MML_処方箋モジュール_投薬!A1" display="バックアップ_MML_処方箋モジュール_投薬"/>
    <hyperlink ref="P75:AD75" location="バックアップ_MML_処方箋モジュール_薬剤!A1" display="バックアップ_MML_処方箋モジュール_薬剤"/>
    <hyperlink ref="P76:AD76" location="バックアップ_MML_注射記録モジュール_本文!A1" display="バックアップ_MML_注射記録モジュール_本文"/>
    <hyperlink ref="P77:AD77" location="バックアップ_MML_注射記録モジュール_投薬!A1" display="バックアップ_MML_注射記録モジュール_投薬"/>
    <hyperlink ref="P78:AD78" location="バックアップ_MML_注射記録モジュール_薬剤!A1" display="バックアップ_MML_注射記録モジュール_薬剤"/>
    <hyperlink ref="P79:AD79" location="バックアップ_MML_手術モジュール_手術項目!A1" display="バックアップ_MML_手術モジュール_手術項目"/>
    <hyperlink ref="P80:AD80" location="バックアップ_MML_手術モジュール_診療科情報!A1" display="バックアップ_MML_手術モジュール_診療科情報"/>
    <hyperlink ref="P81:AD81" location="バックアップ_MML_手術モジュール_診断履歴情報!A1" display="バックアップ_MML_手術モジュール_診断履歴情報"/>
    <hyperlink ref="P82:AD82" location="バックアップ_MML_手術モジュール_病名!A1" display="バックアップ_MML_手術モジュール_病名"/>
    <hyperlink ref="P83:AD83" location="バックアップ_MML_手術モジュール_カテゴリ名!A1" display="バックアップ_MML_手術モジュール_カテゴリ名"/>
    <hyperlink ref="P84:AD84" location="バックアップ_MML_手術モジュール_手術法!A1" display="バックアップ_MML_手術モジュール_手術法"/>
    <hyperlink ref="P85:AD85" location="バックアップ_MML_手術モジュール_手術要素!A1" display="バックアップ_MML_手術モジュール_手術要素"/>
    <hyperlink ref="P86:AD86" location="バックアップ_MML_手術モジュール_麻酔法!A1" display="バックアップ_MML_手術モジュール_麻酔法"/>
    <hyperlink ref="P87:AD87" location="バックアップ_MML_報告書情報モジュール_本文!A1" display="バックアップ_MML_報告書情報モジュール_本文"/>
    <hyperlink ref="P88:AD88" location="バックアップ_MML_報告書情報モジュール_検査コメント!A1" display="バックアップ_"/>
    <hyperlink ref="P89:AD89" location="バックアップ_MML_生活習慣情報モジュール_本文!A1" display="バックアップ_MML_生活習慣情報モジュール_本文"/>
    <hyperlink ref="P91:AD91" location="バックアップ_MML_紹介状モジュール_注射記録!A1" display="バックアップ_MML_紹介状モジュール_注射記録"/>
    <hyperlink ref="P92:AD92" location="バックアップ_MML_紹介状モジュール_注射記録投薬!A1" display="バックアップ_MML_紹介状モジュール_注射記録投薬"/>
    <hyperlink ref="P93:AD93" location="バックアップ_MML_紹介状モジュール_注射記録薬剤!A1" display="バックアップ_MML_紹介状モジュール_注射記録薬剤"/>
    <hyperlink ref="P94:AD94" location="バックアップ_MML_紹介状モジュール_患者情報!A1" display="バックアップ_MML_紹介状モジュール_患者情報"/>
    <hyperlink ref="P95:AD95" location="バックアップ_MML_紹介状モジュール_患者情報住所!A1" display="バックアップ_MML_紹介状モジュール_患者情報住所"/>
    <hyperlink ref="P96:AD96" location="バックアップ_MML_紹介状モジュール_処方箋!A1" display="バックアップ_MML_紹介状モジュール_処方箋"/>
    <hyperlink ref="P97:AD97" location="バックアップ_MML_紹介状モジュール_処方箋投薬!A1" display="バックアップ_MML_紹介状モジュール_処方箋投薬"/>
    <hyperlink ref="P98:AD98" location="バックアップ_MML_紹介状モジュール_処方箋薬剤!A1" display="バックアップ_"/>
    <hyperlink ref="P99:AD99" location="BK_MML_紹介状モジュール_臨床サマリー情報経過記録!A1" display="バックアップ_MML_紹介状モジュール_臨床サマリー情報経過記録"/>
    <hyperlink ref="P100:AD100"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0:AD90"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55:AD155" location="患者マスタ!A1" display="患者マスタ"/>
    <hyperlink ref="P158:AD158" location="疾患マスタ!A1" display="疾患マスタ"/>
    <hyperlink ref="P160:AD160" location="ベース_診療行為データ!A1" display="ベース_診療行為データ"/>
    <hyperlink ref="P161:AD161" location="ベース_入院退院データ!A1" display="ベース_入院退院データ"/>
    <hyperlink ref="P162:AD162" location="ベース_患者基本データ!A1" display="ベース_患者基本データ"/>
    <hyperlink ref="P163:AD163" location="ベース_MML共通!A1" display="ベース_MML共通"/>
    <hyperlink ref="P164:AD164" location="ベース_MML_診断履歴情報モジュール_本文!A1" display="ベース_MML_診断履歴情報モジュール_本文"/>
    <hyperlink ref="P165:AD165" location="ベース_MML_診断履歴情報モジュール_病名!A1" display="ベース_MML_診断履歴情報モジュール_病名"/>
    <hyperlink ref="P166:AD166" location="ベース_MML_処方箋モジュール_本文!A1" display="ベース_MML_処方箋モジュール_本文"/>
    <hyperlink ref="P167:AD167" location="ベース_MML_処方箋モジュール_投薬!A1" display="ベース_MML_処方箋モジュール_投薬"/>
    <hyperlink ref="P168:AD168" location="ベース_MML_処方箋モジュール_薬剤!A1" display="ベース_MML_処方箋モジュール_薬剤"/>
    <hyperlink ref="P169:AD169" location="ベース_DPC調査データ_入院EF統合ファイル!A1" display="ベース_DPC調査データ_入院EF統合ファイル"/>
    <hyperlink ref="P174:AD174" location="ベース_診断履歴情報モジュール_診断履歴情報レコード!A1" display="ベース_診断履歴情報モジュール_診断履歴情報レコード"/>
    <hyperlink ref="P175:AD175" location="ベース_診断履歴情報モジュール_診断病名レコード!A1" display="ベース_診断履歴情報モジュール_診断病名レコード"/>
    <hyperlink ref="P176:AD176" location="ベース_経過記録情報モジュール_経過記録情報レコード!A1" display="ベース_経過記録情報モジュール_経過記録情報レコード"/>
    <hyperlink ref="P170:AD170" location="ベース_DPC調査データ_外来EF統合ファイル!A1" display="ベース_DPC調査データ_外来EF統合ファイル"/>
    <hyperlink ref="P171:AD171" location="ベース_DPC調査データ_様式1!A1" display="ベース_DPC調査データ_様式1"/>
    <hyperlink ref="P172:AD172" location="ベース_DPC調査データ_様式1_診断情報_併存症!A1" display="ベース_DPC調査データ_様式1_診断情報_併存症"/>
    <hyperlink ref="P173:AD173" location="ベース_DPC調査データ_様式1_診断情報_続発症!A1" display="ベース_DPC調査データ_様式1_診断情報_続発症"/>
    <hyperlink ref="P177:AD177" location="ベース_経過記録情報モジュール_プロブレムレコード!A1" display="ベース_経過記録情報モジュール_プロブレムレコード"/>
    <hyperlink ref="P178:AD178" location="ベース_経過記録情報モジュール_身体所見レコード!A1" display="ベース_経過記録情報モジュール_身体所見レコード"/>
    <hyperlink ref="P179:AD179" location="ベース_経過記録情報モジュール_アセスメントレコード!A1" display="ベース_経過記録情報モジュール_アセスメントレコード"/>
    <hyperlink ref="P180:AD180" location="ベース_経過記録情報モジュール_外部参照レコード!A1" display="ベース_経過記録情報モジュール_外部参照レコード"/>
    <hyperlink ref="P181:AD181" location="ベース_臨床サマリーモジュール_臨床サマリー情報レコード!A1" display="ベース_臨床サマリーモジュール_臨床サマリー情報レコード"/>
    <hyperlink ref="P182:AD182" location="ベース_臨床サマリーモジュール_外来受診レコード!A1" display="ベース_臨床サマリーモジュール_外来受診レコード"/>
    <hyperlink ref="P183:AD183" location="ベース_臨床サマリーモジュール_入院レコード!A1" display="ベース_臨床サマリーモジュール_入院レコード"/>
    <hyperlink ref="P184:AD184" location="ベース_臨床サマリーモジュール_経過記録レコード!A1" display="ベース_臨床サマリーモジュール_経過記録レコード"/>
    <hyperlink ref="P185:AD185" location="ベース_臨床サマリーモジュール_検査結果レコード!A1" display="ベース_臨床サマリーモジュール_検査結果レコード"/>
    <hyperlink ref="P186:AD186" location="ベース_検歴情報モジュール_検歴情報!A1" display="ベース_検歴情報モジュール_検歴情報"/>
    <hyperlink ref="P187:AD187" location="ベース_検歴情報モジュール_検歴検体材料!A1" display="ベース_検歴情報モジュール_検歴検体材料"/>
    <hyperlink ref="P188:AD188" location="ベース_検歴情報モジュール_検歴項目情報!A1" display="ベース_検歴情報モジュール_検歴項目情報"/>
    <hyperlink ref="P156:AD156" location="疾患マスタ!A1" display="疾患マスタ"/>
    <hyperlink ref="P157:AD157" location="疾患マスタ!A1" display="疾患マスタ"/>
    <hyperlink ref="P148:AD148" location="組入れ_対象疾患!A1" display="組入れ_対象疾患"/>
    <hyperlink ref="P149:AD149" location="組入れ_対象診療行為!A1" display="組入れ_対象診療行為"/>
    <hyperlink ref="P150:AD150" location="組入れ_検体検査マスタ!A1" display="組入れ_検体検査マスタ"/>
    <hyperlink ref="P151:AD151" location="組入れ_対象検体検査!A1" display="組入れ_対象検体検査"/>
    <hyperlink ref="P147:AD147" location="組入れ_対象施設!A1" display="組入れ_対象施設"/>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47:F147 C192:F192"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ENT_01_01</v>
      </c>
      <c r="E6" s="251"/>
      <c r="F6" s="251"/>
      <c r="G6" s="251"/>
      <c r="H6" s="251"/>
      <c r="I6" s="251"/>
      <c r="J6" s="252"/>
    </row>
    <row r="7" spans="1:45">
      <c r="B7" s="240" t="s">
        <v>115</v>
      </c>
      <c r="C7" s="241"/>
      <c r="D7" s="242" t="s">
        <v>3811</v>
      </c>
      <c r="E7" s="243"/>
      <c r="F7" s="243"/>
      <c r="G7" s="243"/>
      <c r="H7" s="243"/>
      <c r="I7" s="243"/>
      <c r="J7" s="244"/>
    </row>
    <row r="8" spans="1:45">
      <c r="B8" s="240" t="s">
        <v>116</v>
      </c>
      <c r="C8" s="241"/>
      <c r="D8" s="242" t="str">
        <f>エンティティ一覧!AE2&amp;"_"&amp;D5&amp;"_shikkan_first_criteria"</f>
        <v>sny_202310_backup_shikkan_first_criteria</v>
      </c>
      <c r="E8" s="243"/>
      <c r="F8" s="243"/>
      <c r="G8" s="243"/>
      <c r="H8" s="243"/>
      <c r="I8" s="243"/>
      <c r="J8" s="244"/>
    </row>
    <row r="9" spans="1:45" ht="19.5" customHeight="1" thickBot="1">
      <c r="B9" s="245" t="s">
        <v>117</v>
      </c>
      <c r="C9" s="246"/>
      <c r="D9" s="247" t="s">
        <v>3812</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milscm_2023_009.sny_202310_backup_shikkan_first_criteria;</v>
      </c>
      <c r="O10" s="78"/>
      <c r="P10" s="78"/>
      <c r="Q10" s="78"/>
      <c r="R10" s="78"/>
      <c r="S10" s="78"/>
      <c r="T10" s="78"/>
      <c r="AJ10" s="78" t="str">
        <f>"ALTER TABLE ONLY "&amp;エンティティ一覧!$O$2&amp;"."&amp;D$8</f>
        <v>ALTER TABLE ONLY milscm_2023_009.sny_202310_backup_shikkan_first_criteria</v>
      </c>
      <c r="AS10" s="78" t="str">
        <f>"ALTER TABLE "&amp;エンティティ一覧!$O$2&amp;"."&amp;D$8&amp;" OWNER TO pgmisgrp1;"</f>
        <v>ALTER TABLE milscm_2023_009.sny_202310_backup_shikkan_first_criteria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milscm_2023_009.sny_202310_backup_shikkan_first_criteria</v>
      </c>
      <c r="O11" s="78"/>
      <c r="P11" s="78"/>
      <c r="Q11" s="78"/>
      <c r="R11" s="78"/>
      <c r="S11" s="78"/>
      <c r="T11" s="78"/>
      <c r="AJ11" s="78" t="str">
        <f>"ADD CONSTRAINT "&amp;D$8&amp;"_pkey PRIMARY KEY"</f>
        <v>ADD CONSTRAINT sny_202310_backup_shikkan_first_criteria_pkey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867</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1265</v>
      </c>
      <c r="D14" s="6" t="s">
        <v>1266</v>
      </c>
      <c r="E14" s="8" t="s">
        <v>127</v>
      </c>
      <c r="F14" s="7" t="s">
        <v>867</v>
      </c>
      <c r="G14" s="7" t="str">
        <f t="shared" ref="G14:G15" si="3">IF(F14="フラグ","boolean",IF(F14="文字列","text",IF(F14="整数","integer",IF(F14="実数","numeric",""))))</f>
        <v>text</v>
      </c>
      <c r="H14" s="26"/>
      <c r="I14" s="10" t="s">
        <v>127</v>
      </c>
      <c r="J14" s="11"/>
      <c r="M14" s="4"/>
      <c r="N14" s="78"/>
      <c r="O14" s="78"/>
      <c r="P14" s="78" t="str">
        <f t="shared" ref="P14:P16" si="4">IF(B14&lt;&gt;1,","&amp;D14,D14)</f>
        <v>,master_id</v>
      </c>
      <c r="Q14" s="78" t="str">
        <f t="shared" si="0"/>
        <v>TEXT</v>
      </c>
      <c r="R14" s="78" t="str">
        <f t="shared" si="1"/>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1341</v>
      </c>
      <c r="D15" s="13" t="s">
        <v>1342</v>
      </c>
      <c r="E15" s="7" t="s">
        <v>127</v>
      </c>
      <c r="F15" s="7" t="s">
        <v>867</v>
      </c>
      <c r="G15" s="7" t="str">
        <f t="shared" si="3"/>
        <v>text</v>
      </c>
      <c r="H15" s="58"/>
      <c r="I15" s="23" t="s">
        <v>127</v>
      </c>
      <c r="J15" s="24"/>
      <c r="M15" s="4"/>
      <c r="N15" s="78"/>
      <c r="O15" s="78"/>
      <c r="P15" s="78" t="str">
        <f t="shared" si="4"/>
        <v>,byomei</v>
      </c>
      <c r="Q15" s="78" t="str">
        <f t="shared" si="0"/>
        <v>TEXT</v>
      </c>
      <c r="R15" s="78" t="str">
        <f t="shared" si="1"/>
        <v/>
      </c>
      <c r="S15" s="78" t="str">
        <f t="shared" ref="S15:S16" si="5">IF(I15="○","NOT NULL","")</f>
        <v>NOT NULL</v>
      </c>
      <c r="T15" s="78" t="str">
        <f t="shared" ref="T15:T16" si="6">"--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milscm_2023_009.sny_202310_backup_shikkan_first_criteria.byomei IS '病名';</v>
      </c>
    </row>
    <row r="16" spans="1:45" s="25" customFormat="1" ht="18" thickBot="1">
      <c r="A16" s="4"/>
      <c r="B16" s="27">
        <f>ROW()-12</f>
        <v>4</v>
      </c>
      <c r="C16" s="57" t="s">
        <v>1343</v>
      </c>
      <c r="D16" s="57" t="s">
        <v>1344</v>
      </c>
      <c r="E16" s="56" t="s">
        <v>127</v>
      </c>
      <c r="F16" s="56" t="s">
        <v>867</v>
      </c>
      <c r="G16" s="56" t="s">
        <v>57</v>
      </c>
      <c r="H16" s="59"/>
      <c r="I16" s="60" t="s">
        <v>127</v>
      </c>
      <c r="J16" s="64"/>
      <c r="N16" s="78"/>
      <c r="O16" s="78"/>
      <c r="P16" s="78" t="str">
        <f t="shared" si="4"/>
        <v>,byomei_code</v>
      </c>
      <c r="Q16" s="78" t="str">
        <f t="shared" si="0"/>
        <v>TEXT</v>
      </c>
      <c r="R16" s="78" t="str">
        <f t="shared" si="1"/>
        <v/>
      </c>
      <c r="S16" s="78" t="str">
        <f t="shared" si="5"/>
        <v>NOT NULL</v>
      </c>
      <c r="T16" s="78" t="str">
        <f t="shared" si="6"/>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milscm_2023_009.sny_202310_backup_shikkan_first_criteria.byomei_code IS '病名コード値';</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ENT_01_02</v>
      </c>
      <c r="E6" s="251"/>
      <c r="F6" s="251"/>
      <c r="G6" s="251"/>
      <c r="H6" s="251"/>
      <c r="I6" s="251"/>
      <c r="J6" s="252"/>
    </row>
    <row r="7" spans="1:45">
      <c r="B7" s="240" t="s">
        <v>115</v>
      </c>
      <c r="C7" s="241"/>
      <c r="D7" s="242" t="s">
        <v>3696</v>
      </c>
      <c r="E7" s="243"/>
      <c r="F7" s="243"/>
      <c r="G7" s="243"/>
      <c r="H7" s="243"/>
      <c r="I7" s="243"/>
      <c r="J7" s="244"/>
    </row>
    <row r="8" spans="1:45">
      <c r="B8" s="240" t="s">
        <v>116</v>
      </c>
      <c r="C8" s="241"/>
      <c r="D8" s="242" t="str">
        <f>エンティティ一覧!AE2&amp;"_"&amp;D5&amp;"_kanja_first_criteria"</f>
        <v>sny_202310_backup_kanja_first_criteria</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milscm_2023_009.sny_202310_backup_kanja_first_criteria;</v>
      </c>
      <c r="O10" s="78"/>
      <c r="P10" s="78"/>
      <c r="Q10" s="78"/>
      <c r="R10" s="78"/>
      <c r="S10" s="78"/>
      <c r="T10" s="78"/>
      <c r="AJ10" s="78" t="str">
        <f>"ALTER TABLE ONLY "&amp;エンティティ一覧!$O$2&amp;"."&amp;D$8</f>
        <v>ALTER TABLE ONLY milscm_2023_009.sny_202310_backup_kanja_first_criteria</v>
      </c>
      <c r="AS10" s="78" t="str">
        <f>"ALTER TABLE "&amp;エンティティ一覧!$O$2&amp;"."&amp;D$8&amp;" OWNER TO pgmisgrp1;"</f>
        <v>ALTER TABLE milscm_2023_009.sny_202310_backup_kanja_first_criteria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milscm_2023_009.sny_202310_backup_kanja_first_criteria</v>
      </c>
      <c r="O11" s="78"/>
      <c r="P11" s="78"/>
      <c r="Q11" s="78"/>
      <c r="R11" s="78"/>
      <c r="S11" s="78"/>
      <c r="T11" s="78"/>
      <c r="AJ11" s="78" t="str">
        <f>"ADD CONSTRAINT "&amp;D$8&amp;"_pkey PRIMARY KEY"</f>
        <v>ADD CONSTRAINT sny_202310_backup_kanja_first_criteria_pkey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2807</v>
      </c>
      <c r="D14" s="6" t="s">
        <v>2423</v>
      </c>
      <c r="E14" s="8"/>
      <c r="F14" s="7" t="s">
        <v>1841</v>
      </c>
      <c r="G14" s="7" t="str">
        <f t="shared" ref="G14" si="3">IF(F14="フラグ","boolean",IF(F14="文字列","text",IF(F14="整数","integer",IF(F14="実数","numeric",""))))</f>
        <v>text</v>
      </c>
      <c r="H14" s="26"/>
      <c r="I14" s="10" t="s">
        <v>127</v>
      </c>
      <c r="J14" s="11" t="s">
        <v>2813</v>
      </c>
      <c r="M14" s="4"/>
      <c r="N14" s="78"/>
      <c r="O14" s="78"/>
      <c r="P14" s="78" t="str">
        <f t="shared" ref="P14" si="4">IF(B14&lt;&gt;1,","&amp;D14,D14)</f>
        <v>,facility_id_mml</v>
      </c>
      <c r="Q14" s="78" t="str">
        <f t="shared" si="0"/>
        <v>TEXT</v>
      </c>
      <c r="R14" s="78" t="str">
        <f t="shared" si="1"/>
        <v/>
      </c>
      <c r="S14" s="78" t="str">
        <f t="shared" ref="S14" si="5">IF(I14="○","NOT NULL","")</f>
        <v>NOT NULL</v>
      </c>
      <c r="T14" s="78" t="str">
        <f t="shared" ref="T14"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1864</v>
      </c>
      <c r="D15" s="6" t="s">
        <v>1865</v>
      </c>
      <c r="E15" s="8" t="s">
        <v>127</v>
      </c>
      <c r="F15" s="7" t="s">
        <v>1848</v>
      </c>
      <c r="G15" s="7" t="str">
        <f t="shared" ref="G15:G17" si="8">IF(F15="フラグ","boolean",IF(F15="文字列","text",IF(F15="整数","integer",IF(F15="実数","numeric",""))))</f>
        <v>text</v>
      </c>
      <c r="H15" s="26"/>
      <c r="I15" s="10" t="s">
        <v>127</v>
      </c>
      <c r="J15" s="11" t="s">
        <v>1866</v>
      </c>
      <c r="M15" s="4"/>
      <c r="N15" s="78"/>
      <c r="O15" s="78"/>
      <c r="P15" s="78" t="str">
        <f t="shared" ref="P15:P17" si="9">IF(B15&lt;&gt;1,","&amp;D15,D15)</f>
        <v>,himoduke_id</v>
      </c>
      <c r="Q15" s="78" t="str">
        <f t="shared" si="0"/>
        <v>TEXT</v>
      </c>
      <c r="R15" s="78" t="str">
        <f t="shared" si="1"/>
        <v/>
      </c>
      <c r="S15" s="78" t="str">
        <f t="shared" ref="S15:S17" si="10">IF(I15="○","NOT NULL","")</f>
        <v>NOT NULL</v>
      </c>
      <c r="T15" s="78" t="str">
        <f t="shared" ref="T15:T17" si="11">"-- "&amp;C15</f>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1840</v>
      </c>
      <c r="D16" s="6" t="s">
        <v>208</v>
      </c>
      <c r="E16" s="8" t="s">
        <v>127</v>
      </c>
      <c r="F16" s="7" t="s">
        <v>1841</v>
      </c>
      <c r="G16" s="7" t="str">
        <f t="shared" si="8"/>
        <v>text</v>
      </c>
      <c r="H16" s="26"/>
      <c r="I16" s="10" t="s">
        <v>127</v>
      </c>
      <c r="J16" s="11" t="s">
        <v>1844</v>
      </c>
      <c r="M16" s="4"/>
      <c r="N16" s="78"/>
      <c r="O16" s="78"/>
      <c r="P16" s="78" t="str">
        <f t="shared" si="9"/>
        <v>,data_type</v>
      </c>
      <c r="Q16" s="78" t="str">
        <f t="shared" si="0"/>
        <v>TEXT</v>
      </c>
      <c r="R16" s="78" t="str">
        <f t="shared" si="1"/>
        <v/>
      </c>
      <c r="S16" s="78" t="str">
        <f t="shared" si="10"/>
        <v>NOT NULL</v>
      </c>
      <c r="T16" s="78" t="str">
        <f t="shared" si="11"/>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milscm_2023_009.sny_202310_backup_kanja_first_criteria.data_type IS 'データ種別';</v>
      </c>
    </row>
    <row r="17" spans="1:52" s="25" customFormat="1" ht="18" thickBot="1">
      <c r="A17" s="4"/>
      <c r="B17" s="27">
        <f>ROW()-12</f>
        <v>5</v>
      </c>
      <c r="C17" s="57" t="s">
        <v>1842</v>
      </c>
      <c r="D17" s="57" t="s">
        <v>1843</v>
      </c>
      <c r="E17" s="56" t="s">
        <v>127</v>
      </c>
      <c r="F17" s="56" t="s">
        <v>1757</v>
      </c>
      <c r="G17" s="56" t="str">
        <f t="shared" si="8"/>
        <v>text</v>
      </c>
      <c r="H17" s="59"/>
      <c r="I17" s="60" t="s">
        <v>127</v>
      </c>
      <c r="J17" s="64"/>
      <c r="N17" s="78"/>
      <c r="O17" s="78"/>
      <c r="P17" s="78" t="str">
        <f t="shared" si="9"/>
        <v>,patient_id</v>
      </c>
      <c r="Q17" s="78" t="str">
        <f t="shared" si="0"/>
        <v>TEXT</v>
      </c>
      <c r="R17" s="78" t="str">
        <f t="shared" si="1"/>
        <v/>
      </c>
      <c r="S17" s="78" t="str">
        <f t="shared" si="10"/>
        <v>NOT NULL</v>
      </c>
      <c r="T17" s="78" t="str">
        <f t="shared" si="11"/>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milscm_2023_009.sny_202310_backup_kanja_first_criteria.patient_id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ENT_01_A1-02</v>
      </c>
      <c r="E6" s="251"/>
      <c r="F6" s="251"/>
      <c r="G6" s="251"/>
      <c r="H6" s="251"/>
      <c r="I6" s="251"/>
      <c r="J6" s="252"/>
    </row>
    <row r="7" spans="1:45">
      <c r="B7" s="240" t="s">
        <v>115</v>
      </c>
      <c r="C7" s="241"/>
      <c r="D7" s="242" t="s">
        <v>1755</v>
      </c>
      <c r="E7" s="243"/>
      <c r="F7" s="243"/>
      <c r="G7" s="243"/>
      <c r="H7" s="243"/>
      <c r="I7" s="243"/>
      <c r="J7" s="244"/>
    </row>
    <row r="8" spans="1:45">
      <c r="B8" s="240" t="s">
        <v>116</v>
      </c>
      <c r="C8" s="241"/>
      <c r="D8" s="242" t="str">
        <f>エンティティ一覧!AE2&amp;"_"&amp;D5&amp;"_mart_shohou"</f>
        <v>sny_202310_backup_mart_shohou</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処方データテーブルから組入れ条件の第一条件で絞り込んだ結果を格納するテーブル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milscm_2023_009.sny_202310_backup_mart_shohou;</v>
      </c>
      <c r="O10" s="78"/>
      <c r="P10" s="78"/>
      <c r="Q10" s="78"/>
      <c r="R10" s="78"/>
      <c r="S10" s="78"/>
      <c r="T10" s="78"/>
      <c r="AJ10" s="78" t="str">
        <f>"ALTER TABLE ONLY "&amp;エンティティ一覧!$O$2&amp;"."&amp;D$8</f>
        <v>ALTER TABLE ONLY milscm_2023_009.sny_202310_backup_mart_shohou</v>
      </c>
      <c r="AS10" s="78" t="str">
        <f>"ALTER TABLE "&amp;エンティティ一覧!$O$2&amp;"."&amp;D$8&amp;" OWNER TO pgmisgrp1;"</f>
        <v>ALTER TABLE milscm_2023_009.sny_202310_backup_mart_shohou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milscm_2023_009.sny_202310_backup_mart_shohou</v>
      </c>
      <c r="O11" s="78"/>
      <c r="P11" s="78"/>
      <c r="Q11" s="78"/>
      <c r="R11" s="78"/>
      <c r="S11" s="78"/>
      <c r="T11" s="78"/>
      <c r="AJ11" s="78" t="str">
        <f>"ADD CONSTRAINT "&amp;D$8&amp;"_pkey PRIMARY KEY"</f>
        <v>ADD CONSTRAINT sny_202310_backup_mart_shohou_pkey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milscm_2023_009.sny_202310_backup_mart_shohou IS 'バックアップ_処方データ';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milscm_2023_009.sny_202310_backup_mart_shohou.junjo_no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milscm_2023_009.sny_202310_backup_mart_shohou.koi_meisai_no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milscm_2023_009.sny_202310_backup_mart_shohou.meisai_tensu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milscm_2023_009.sny_202310_backup_mart_shohou.department_kubun IS '診療科区分';</v>
      </c>
    </row>
    <row r="31" spans="1:45" s="25" customFormat="1" ht="34.799999999999997">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milscm_2023_009.sny_202310_backup_mart_shohou.nyugai_kubun IS '入外区分';</v>
      </c>
    </row>
    <row r="32" spans="1:45" s="25" customFormat="1" ht="18"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milscm_2023_009.sny_202310_backup_mart_shohou.seq_no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ENT_01_A1-03</v>
      </c>
      <c r="E6" s="251"/>
      <c r="F6" s="251"/>
      <c r="G6" s="251"/>
      <c r="H6" s="251"/>
      <c r="I6" s="251"/>
      <c r="J6" s="252"/>
    </row>
    <row r="7" spans="1:45">
      <c r="B7" s="240" t="s">
        <v>115</v>
      </c>
      <c r="C7" s="241"/>
      <c r="D7" s="242" t="s">
        <v>1782</v>
      </c>
      <c r="E7" s="243"/>
      <c r="F7" s="243"/>
      <c r="G7" s="243"/>
      <c r="H7" s="243"/>
      <c r="I7" s="243"/>
      <c r="J7" s="244"/>
    </row>
    <row r="8" spans="1:45">
      <c r="B8" s="240" t="s">
        <v>116</v>
      </c>
      <c r="C8" s="241"/>
      <c r="D8" s="242" t="str">
        <f>エンティティ一覧!AE2&amp;"_"&amp;D5&amp;"_mart_shinryou_koui"</f>
        <v>sny_202310_backup_mart_shinryou_koui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診療行為データテーブルから組入れ条件の第一条件で絞り込んだ結果を格納するテーブル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milscm_2023_009.sny_202310_backup_mart_shinryou_koui;</v>
      </c>
      <c r="O10" s="78"/>
      <c r="P10" s="78"/>
      <c r="Q10" s="78"/>
      <c r="R10" s="78"/>
      <c r="S10" s="78"/>
      <c r="T10" s="78"/>
      <c r="AJ10" s="78" t="str">
        <f>"ALTER TABLE ONLY "&amp;エンティティ一覧!$O$2&amp;"."&amp;D$8</f>
        <v>ALTER TABLE ONLY milscm_2023_009.sny_202310_backup_mart_shinryou_koui</v>
      </c>
      <c r="AS10" s="78" t="str">
        <f>"ALTER TABLE "&amp;エンティティ一覧!$O$2&amp;"."&amp;D$8&amp;" OWNER TO pgmisgrp1;"</f>
        <v>ALTER TABLE milscm_2023_009.sny_202310_backup_mart_shinryou_koui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milscm_2023_009.sny_202310_backup_mart_shinryou_koui</v>
      </c>
      <c r="O11" s="78"/>
      <c r="P11" s="78"/>
      <c r="Q11" s="78"/>
      <c r="R11" s="78"/>
      <c r="S11" s="78"/>
      <c r="T11" s="78"/>
      <c r="AJ11" s="78" t="str">
        <f>"ADD CONSTRAINT "&amp;D$8&amp;"_pkey PRIMARY KEY"</f>
        <v>ADD CONSTRAINT sny_202310_backup_mart_shinryou_koui_pkey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milscm_2023_009.sny_202310_backup_mart_shinryou_koui.junjo_no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milscm_2023_009.sny_202310_backup_mart_shinryou_koui.koi_meisai_no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milscm_2023_009.sny_202310_backup_mart_shinryou_koui.kaishaku_no IS '解釈番号';</v>
      </c>
    </row>
    <row r="21" spans="1:45" s="25" customFormat="1" ht="34.799999999999997">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milscm_2023_009.sny_202310_backup_mart_shinryou_koui.meisai_tensu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milscm_2023_009.sny_202310_backup_mart_shinryou_koui.dekidaka_tensu IS '出来高実績点数';</v>
      </c>
    </row>
    <row r="26" spans="1:45" s="25" customFormat="1" ht="69.599999999999994">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milscm_2023_009.sny_202310_backup_mart_shinryou_koui.koi_meisai_kubun IS '行為明細区分情報';</v>
      </c>
    </row>
    <row r="27" spans="1:45" s="25" customFormat="1" ht="34.799999999999997">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1770</v>
      </c>
      <c r="D31" s="13" t="s">
        <v>233</v>
      </c>
      <c r="E31" s="7"/>
      <c r="F31" s="7" t="s">
        <v>1757</v>
      </c>
      <c r="G31" s="7" t="str">
        <f t="shared" ref="G31:G34" si="7">IF(F31="フラグ","boolean",IF(F31="文字列","text",IF(F31="整数","integer",IF(F31="実数","numeric",""))))</f>
        <v>text</v>
      </c>
      <c r="H31" s="58"/>
      <c r="I31" s="23"/>
      <c r="J31" s="24" t="s">
        <v>1788</v>
      </c>
      <c r="M31" s="4"/>
      <c r="N31" s="78"/>
      <c r="O31" s="78"/>
      <c r="P31" s="78" t="str">
        <f t="shared" ref="P31:P34" si="8">IF(B31&lt;&gt;1,","&amp;D31,D31)</f>
        <v>,receipt_type_code</v>
      </c>
      <c r="Q31" s="78" t="str">
        <f t="shared" ref="Q31:Q34" si="9">UPPER(G31)</f>
        <v>TEXT</v>
      </c>
      <c r="R31" s="78" t="str">
        <f t="shared" ref="R31:R34" si="10">IF(H31&lt;&gt;"","default "&amp;IF(G31="text","'"&amp;H31&amp;"'",H31),"")</f>
        <v/>
      </c>
      <c r="S31" s="78" t="str">
        <f t="shared" ref="S31:S34" si="11">IF(I31="○","NOT NULL","")</f>
        <v/>
      </c>
      <c r="T31" s="78" t="str">
        <f t="shared" ref="T31:T34" si="12">"-- "&amp;C31</f>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1771</v>
      </c>
      <c r="D32" s="13" t="s">
        <v>155</v>
      </c>
      <c r="E32" s="7" t="s">
        <v>127</v>
      </c>
      <c r="F32" s="7" t="s">
        <v>1757</v>
      </c>
      <c r="G32" s="7" t="str">
        <f t="shared" si="7"/>
        <v>text</v>
      </c>
      <c r="H32" s="58"/>
      <c r="I32" s="23" t="s">
        <v>127</v>
      </c>
      <c r="J32" s="24" t="s">
        <v>1788</v>
      </c>
      <c r="M32" s="4"/>
      <c r="N32" s="78"/>
      <c r="O32" s="78"/>
      <c r="P32" s="78" t="str">
        <f t="shared" si="8"/>
        <v>,jisshi_ymd</v>
      </c>
      <c r="Q32" s="78" t="str">
        <f t="shared" si="9"/>
        <v>TEXT</v>
      </c>
      <c r="R32" s="78" t="str">
        <f t="shared" si="10"/>
        <v/>
      </c>
      <c r="S32" s="78" t="str">
        <f t="shared" si="11"/>
        <v>NOT NULL</v>
      </c>
      <c r="T32" s="78" t="str">
        <f t="shared" si="12"/>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1772</v>
      </c>
      <c r="D33" s="13" t="s">
        <v>235</v>
      </c>
      <c r="E33" s="7"/>
      <c r="F33" s="7" t="s">
        <v>1757</v>
      </c>
      <c r="G33" s="7" t="str">
        <f t="shared" si="7"/>
        <v>text</v>
      </c>
      <c r="H33" s="58"/>
      <c r="I33" s="23"/>
      <c r="J33" s="24" t="s">
        <v>1788</v>
      </c>
      <c r="M33" s="4"/>
      <c r="N33" s="78"/>
      <c r="O33" s="78"/>
      <c r="P33" s="78" t="str">
        <f t="shared" si="8"/>
        <v>,receipt_ka_kubun</v>
      </c>
      <c r="Q33" s="78" t="str">
        <f t="shared" si="9"/>
        <v>TEXT</v>
      </c>
      <c r="R33" s="78" t="str">
        <f t="shared" si="10"/>
        <v/>
      </c>
      <c r="S33" s="78" t="str">
        <f t="shared" si="11"/>
        <v/>
      </c>
      <c r="T33" s="78" t="str">
        <f t="shared" si="12"/>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1757</v>
      </c>
      <c r="G34" s="7" t="str">
        <f t="shared" si="7"/>
        <v>text</v>
      </c>
      <c r="H34" s="58"/>
      <c r="I34" s="23"/>
      <c r="J34" s="24" t="s">
        <v>1788</v>
      </c>
      <c r="M34" s="4"/>
      <c r="N34" s="78"/>
      <c r="O34" s="78"/>
      <c r="P34" s="78" t="str">
        <f t="shared" si="8"/>
        <v>,department_kubun</v>
      </c>
      <c r="Q34" s="78" t="str">
        <f t="shared" si="9"/>
        <v>TEXT</v>
      </c>
      <c r="R34" s="78" t="str">
        <f t="shared" si="10"/>
        <v/>
      </c>
      <c r="S34" s="78" t="str">
        <f t="shared" si="11"/>
        <v/>
      </c>
      <c r="T34" s="78" t="str">
        <f t="shared" si="12"/>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milscm_2023_009.sny_202310_backup_mart_shinryou_koui.department_kubun IS '診療科区分';</v>
      </c>
    </row>
    <row r="35" spans="1:52" s="25" customFormat="1" ht="34.799999999999997">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milscm_2023_009.sny_202310_backup_mart_shinryou_koui.nyugai_kubun IS '入外区分';</v>
      </c>
    </row>
    <row r="36" spans="1:52" s="25" customFormat="1" ht="18"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milscm_2023_009.sny_202310_backup_mart_shinryou_koui.seq_no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ENT_01_A1-04</v>
      </c>
      <c r="E6" s="251"/>
      <c r="F6" s="251"/>
      <c r="G6" s="251"/>
      <c r="H6" s="251"/>
      <c r="I6" s="251"/>
      <c r="J6" s="252"/>
    </row>
    <row r="7" spans="1:45">
      <c r="B7" s="240" t="s">
        <v>115</v>
      </c>
      <c r="C7" s="241"/>
      <c r="D7" s="242" t="s">
        <v>1791</v>
      </c>
      <c r="E7" s="243"/>
      <c r="F7" s="243"/>
      <c r="G7" s="243"/>
      <c r="H7" s="243"/>
      <c r="I7" s="243"/>
      <c r="J7" s="244"/>
    </row>
    <row r="8" spans="1:45">
      <c r="B8" s="240" t="s">
        <v>116</v>
      </c>
      <c r="C8" s="241"/>
      <c r="D8" s="242" t="str">
        <f>エンティティ一覧!AE2&amp;"_"&amp;D5&amp;"_mart_shikkan"</f>
        <v>sny_202310_backup_mart_shikkan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疾患データテーブルから組入れ条件の第一条件で絞り込んだ結果を格納するテーブル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milscm_2023_009.sny_202310_backup_mart_shikkan;</v>
      </c>
      <c r="O10" s="78"/>
      <c r="P10" s="78"/>
      <c r="Q10" s="78"/>
      <c r="R10" s="78"/>
      <c r="S10" s="78"/>
      <c r="T10" s="78"/>
      <c r="AJ10" s="78" t="str">
        <f>"ALTER TABLE ONLY "&amp;エンティティ一覧!$O$2&amp;"."&amp;D$8</f>
        <v>ALTER TABLE ONLY milscm_2023_009.sny_202310_backup_mart_shikkan</v>
      </c>
      <c r="AS10" s="78" t="str">
        <f>"ALTER TABLE "&amp;エンティティ一覧!$O$2&amp;"."&amp;D$8&amp;" OWNER TO pgmisgrp1;"</f>
        <v>ALTER TABLE milscm_2023_009.sny_202310_backup_mart_shikkan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milscm_2023_009.sny_202310_backup_mart_shikkan</v>
      </c>
      <c r="O11" s="78"/>
      <c r="P11" s="78"/>
      <c r="Q11" s="78"/>
      <c r="R11" s="78"/>
      <c r="S11" s="78"/>
      <c r="T11" s="78"/>
      <c r="AJ11" s="78" t="str">
        <f>"ADD CONSTRAINT "&amp;D$8&amp;"_pkey PRIMARY KEY"</f>
        <v>ADD CONSTRAINT sny_202310_backup_mart_shikkan_pkey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 IS 'バックアップ_疾患データ';</v>
      </c>
    </row>
    <row r="13" spans="1:45" s="25" customFormat="1">
      <c r="A13" s="4"/>
      <c r="B13" s="21">
        <f>ROW()-12</f>
        <v>1</v>
      </c>
      <c r="C13" s="6" t="s">
        <v>1792</v>
      </c>
      <c r="D13" s="6" t="s">
        <v>200</v>
      </c>
      <c r="E13" s="8"/>
      <c r="F13" s="8" t="s">
        <v>1757</v>
      </c>
      <c r="G13" s="7" t="str">
        <f>IF(F13="フラグ","boolean",IF(F13="文字列","text",IF(F13="整数","integer",IF(F13="実数","numeric",""))))</f>
        <v>text</v>
      </c>
      <c r="H13" s="9"/>
      <c r="I13" s="10" t="s">
        <v>127</v>
      </c>
      <c r="J13" s="11" t="s">
        <v>1804</v>
      </c>
      <c r="M13" s="4"/>
      <c r="N13" s="78"/>
      <c r="O13" s="78"/>
      <c r="P13" s="78" t="str">
        <f>IF(B13&lt;&gt;1,","&amp;D13,D13)</f>
        <v>torikomi_ym</v>
      </c>
      <c r="Q13" s="78" t="str">
        <f t="shared" ref="Q13:Q59" si="0">UPPER(G13)</f>
        <v>TEXT</v>
      </c>
      <c r="R13" s="78" t="str">
        <f t="shared" ref="R13:R5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1757</v>
      </c>
      <c r="G14" s="7" t="str">
        <f t="shared" ref="G14:G59" si="3">IF(F14="フラグ","boolean",IF(F14="文字列","text",IF(F14="整数","integer",IF(F14="実数","numeric",""))))</f>
        <v>text</v>
      </c>
      <c r="H14" s="26"/>
      <c r="I14" s="10" t="s">
        <v>127</v>
      </c>
      <c r="J14" s="11" t="s">
        <v>1805</v>
      </c>
      <c r="M14" s="4"/>
      <c r="N14" s="78"/>
      <c r="O14" s="78"/>
      <c r="P14" s="78" t="str">
        <f t="shared" ref="P14:P59"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milscm_2023_009.sny_202310_backup_mart_shikkan.facility_id IS '施設ID';</v>
      </c>
    </row>
    <row r="15" spans="1:45" s="25" customFormat="1">
      <c r="A15" s="4"/>
      <c r="B15" s="21">
        <f t="shared" si="2"/>
        <v>3</v>
      </c>
      <c r="C15" s="13" t="s">
        <v>1793</v>
      </c>
      <c r="D15" s="13" t="s">
        <v>925</v>
      </c>
      <c r="E15" s="7" t="s">
        <v>127</v>
      </c>
      <c r="F15" s="7" t="s">
        <v>1757</v>
      </c>
      <c r="G15" s="7" t="str">
        <f t="shared" si="3"/>
        <v>text</v>
      </c>
      <c r="H15" s="58"/>
      <c r="I15" s="23" t="s">
        <v>127</v>
      </c>
      <c r="J15" s="24" t="s">
        <v>1806</v>
      </c>
      <c r="M15" s="4"/>
      <c r="N15" s="78"/>
      <c r="O15" s="78"/>
      <c r="P15" s="78" t="str">
        <f t="shared" si="4"/>
        <v>,seikyu_ym</v>
      </c>
      <c r="Q15" s="78" t="str">
        <f t="shared" si="0"/>
        <v>TEXT</v>
      </c>
      <c r="R15" s="78" t="str">
        <f t="shared" si="1"/>
        <v/>
      </c>
      <c r="S15" s="78" t="str">
        <f t="shared" ref="S15:S59" si="5">IF(I15="○","NOT NULL","")</f>
        <v>NOT NULL</v>
      </c>
      <c r="T15" s="78" t="str">
        <f t="shared" ref="T15:T59" si="6">"-- "&amp;C15</f>
        <v>-- 請求年月</v>
      </c>
      <c r="U15" s="4"/>
      <c r="AA15" s="4"/>
      <c r="AB15" s="4"/>
      <c r="AC15" s="4"/>
      <c r="AD15" s="4"/>
      <c r="AE15" s="4"/>
      <c r="AF15" s="4"/>
      <c r="AG15" s="4"/>
      <c r="AH15" s="4"/>
      <c r="AI15" s="4"/>
      <c r="AJ15" s="78" t="str">
        <f>IF(E15="○",IF(COUNTA(E$13:E15)=1,"",",")&amp;D15,"")</f>
        <v>,seikyu_ym</v>
      </c>
      <c r="AK15" s="4"/>
      <c r="AL15" s="4"/>
      <c r="AM15" s="4"/>
      <c r="AN15" s="4"/>
      <c r="AO15" s="4"/>
      <c r="AP15" s="4"/>
      <c r="AQ15" s="4"/>
      <c r="AR15" s="4"/>
      <c r="AS15" s="78" t="str">
        <f>"COMMENT ON COLUMN "&amp;エンティティ一覧!$O$2&amp;"."&amp;D$8&amp;"."&amp;D15&amp;" IS '"&amp;C15&amp;"';"</f>
        <v>COMMENT ON COLUMN milscm_2023_009.sny_202310_backup_mart_shikkan.seikyu_ym IS '請求年月';</v>
      </c>
    </row>
    <row r="16" spans="1:45" s="25" customFormat="1">
      <c r="A16" s="4"/>
      <c r="B16" s="21">
        <f t="shared" si="2"/>
        <v>4</v>
      </c>
      <c r="C16" s="13" t="s">
        <v>1758</v>
      </c>
      <c r="D16" s="13" t="s">
        <v>206</v>
      </c>
      <c r="E16" s="7" t="s">
        <v>127</v>
      </c>
      <c r="F16" s="7" t="s">
        <v>1757</v>
      </c>
      <c r="G16" s="7" t="str">
        <f t="shared" si="3"/>
        <v>text</v>
      </c>
      <c r="H16" s="58"/>
      <c r="I16" s="23" t="s">
        <v>127</v>
      </c>
      <c r="J16" s="24" t="s">
        <v>1807</v>
      </c>
      <c r="M16" s="4"/>
      <c r="N16" s="78"/>
      <c r="O16" s="78"/>
      <c r="P16" s="78" t="str">
        <f t="shared" si="4"/>
        <v>,shinryo_ym</v>
      </c>
      <c r="Q16" s="78" t="str">
        <f t="shared" si="0"/>
        <v>TEXT</v>
      </c>
      <c r="R16" s="78" t="str">
        <f t="shared" si="1"/>
        <v/>
      </c>
      <c r="S16" s="78" t="str">
        <f t="shared" si="5"/>
        <v>NOT NULL</v>
      </c>
      <c r="T16" s="78" t="str">
        <f t="shared" si="6"/>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1757</v>
      </c>
      <c r="G17" s="7" t="str">
        <f t="shared" ref="G17:G40" si="7">IF(F17="フラグ","boolean",IF(F17="文字列","text",IF(F17="整数","integer",IF(F17="実数","numeric",""))))</f>
        <v>text</v>
      </c>
      <c r="H17" s="58" t="s">
        <v>952</v>
      </c>
      <c r="I17" s="23" t="s">
        <v>127</v>
      </c>
      <c r="J17" s="24" t="s">
        <v>1808</v>
      </c>
      <c r="M17" s="4"/>
      <c r="N17" s="78"/>
      <c r="O17" s="78"/>
      <c r="P17" s="78" t="str">
        <f t="shared" ref="P17:P40" si="8">IF(B17&lt;&gt;1,","&amp;D17,D17)</f>
        <v>,data_type</v>
      </c>
      <c r="Q17" s="78" t="str">
        <f t="shared" ref="Q17:Q40" si="9">UPPER(G17)</f>
        <v>TEXT</v>
      </c>
      <c r="R17" s="78" t="str">
        <f t="shared" ref="R17:R40" si="10">IF(H17&lt;&gt;"","default "&amp;IF(G17="text","'"&amp;H17&amp;"'",H17),"")</f>
        <v>default 'RCP'</v>
      </c>
      <c r="S17" s="78" t="str">
        <f t="shared" ref="S17:S40" si="11">IF(I17="○","NOT NULL","")</f>
        <v>NOT NULL</v>
      </c>
      <c r="T17" s="78" t="str">
        <f t="shared" ref="T17:T40" si="12">"-- "&amp;C17</f>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926</v>
      </c>
      <c r="D18" s="13" t="s">
        <v>927</v>
      </c>
      <c r="E18" s="7" t="s">
        <v>127</v>
      </c>
      <c r="F18" s="7" t="s">
        <v>1757</v>
      </c>
      <c r="G18" s="7" t="str">
        <f t="shared" si="7"/>
        <v>text</v>
      </c>
      <c r="H18" s="58"/>
      <c r="I18" s="23" t="s">
        <v>127</v>
      </c>
      <c r="J18" s="24" t="s">
        <v>1077</v>
      </c>
      <c r="M18" s="4"/>
      <c r="N18" s="78"/>
      <c r="O18" s="78"/>
      <c r="P18" s="78" t="str">
        <f t="shared" si="8"/>
        <v>,shinsa_kikan</v>
      </c>
      <c r="Q18" s="78" t="str">
        <f t="shared" si="9"/>
        <v>TEXT</v>
      </c>
      <c r="R18" s="78" t="str">
        <f t="shared" si="10"/>
        <v/>
      </c>
      <c r="S18" s="78" t="str">
        <f t="shared" si="11"/>
        <v>NOT NULL</v>
      </c>
      <c r="T18" s="78" t="str">
        <f t="shared" si="12"/>
        <v>-- 審査支払機関</v>
      </c>
      <c r="U18" s="4"/>
      <c r="AA18" s="4"/>
      <c r="AB18" s="4"/>
      <c r="AC18" s="4"/>
      <c r="AD18" s="4"/>
      <c r="AE18" s="4"/>
      <c r="AF18" s="4"/>
      <c r="AG18" s="4"/>
      <c r="AH18" s="4"/>
      <c r="AI18" s="4"/>
      <c r="AJ18" s="78" t="str">
        <f>IF(E18="○",IF(COUNTA(E$13:E18)=1,"",",")&amp;D18,"")</f>
        <v>,shinsa_kikan</v>
      </c>
      <c r="AK18" s="4"/>
      <c r="AL18" s="4"/>
      <c r="AM18" s="4"/>
      <c r="AN18" s="4"/>
      <c r="AO18" s="4"/>
      <c r="AP18" s="4"/>
      <c r="AQ18" s="4"/>
      <c r="AR18" s="4"/>
      <c r="AS18" s="78" t="str">
        <f>"COMMENT ON COLUMN "&amp;エンティティ一覧!$O$2&amp;"."&amp;D$8&amp;"."&amp;D18&amp;" IS '"&amp;C18&amp;"';"</f>
        <v>COMMENT ON COLUMN milscm_2023_009.sny_202310_backup_mart_shikkan.shinsa_kikan IS '審査支払機関';</v>
      </c>
    </row>
    <row r="19" spans="1:45" s="25" customFormat="1" ht="52.2">
      <c r="A19" s="4"/>
      <c r="B19" s="21">
        <f t="shared" si="2"/>
        <v>7</v>
      </c>
      <c r="C19" s="13" t="s">
        <v>1794</v>
      </c>
      <c r="D19" s="13" t="s">
        <v>1795</v>
      </c>
      <c r="E19" s="7" t="s">
        <v>127</v>
      </c>
      <c r="F19" s="7" t="s">
        <v>1757</v>
      </c>
      <c r="G19" s="7" t="str">
        <f t="shared" si="7"/>
        <v>text</v>
      </c>
      <c r="H19" s="58"/>
      <c r="I19" s="23" t="s">
        <v>127</v>
      </c>
      <c r="J19" s="24" t="s">
        <v>1809</v>
      </c>
      <c r="M19" s="4"/>
      <c r="N19" s="78"/>
      <c r="O19" s="78"/>
      <c r="P19" s="78" t="str">
        <f t="shared" si="8"/>
        <v>,jyouhoumoto_kubun</v>
      </c>
      <c r="Q19" s="78" t="str">
        <f t="shared" si="9"/>
        <v>TEXT</v>
      </c>
      <c r="R19" s="78" t="str">
        <f t="shared" si="10"/>
        <v/>
      </c>
      <c r="S19" s="78" t="str">
        <f t="shared" si="11"/>
        <v>NOT NULL</v>
      </c>
      <c r="T19" s="78" t="str">
        <f t="shared" si="12"/>
        <v>-- 情報元区分</v>
      </c>
      <c r="U19" s="4"/>
      <c r="AA19" s="4"/>
      <c r="AB19" s="4"/>
      <c r="AC19" s="4"/>
      <c r="AD19" s="4"/>
      <c r="AE19" s="4"/>
      <c r="AF19" s="4"/>
      <c r="AG19" s="4"/>
      <c r="AH19" s="4"/>
      <c r="AI19" s="4"/>
      <c r="AJ19" s="78" t="str">
        <f>IF(E19="○",IF(COUNTA(E$13:E19)=1,"",",")&amp;D19,"")</f>
        <v>,jyouhoumoto_kubun</v>
      </c>
      <c r="AK19" s="4"/>
      <c r="AL19" s="4"/>
      <c r="AM19" s="4"/>
      <c r="AN19" s="4"/>
      <c r="AO19" s="4"/>
      <c r="AP19" s="4"/>
      <c r="AQ19" s="4"/>
      <c r="AR19" s="4"/>
      <c r="AS19" s="78"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1796</v>
      </c>
      <c r="D20" s="13" t="s">
        <v>931</v>
      </c>
      <c r="E20" s="7" t="s">
        <v>127</v>
      </c>
      <c r="F20" s="7" t="s">
        <v>204</v>
      </c>
      <c r="G20" s="7" t="str">
        <f t="shared" si="7"/>
        <v>integer</v>
      </c>
      <c r="H20" s="58"/>
      <c r="I20" s="23" t="s">
        <v>127</v>
      </c>
      <c r="J20" s="24" t="s">
        <v>1810</v>
      </c>
      <c r="M20" s="4"/>
      <c r="N20" s="78"/>
      <c r="O20" s="78"/>
      <c r="P20" s="78" t="str">
        <f t="shared" si="8"/>
        <v>,receipt_no</v>
      </c>
      <c r="Q20" s="78" t="str">
        <f t="shared" si="9"/>
        <v>INTEGER</v>
      </c>
      <c r="R20" s="78" t="str">
        <f t="shared" si="10"/>
        <v/>
      </c>
      <c r="S20" s="78" t="str">
        <f t="shared" si="11"/>
        <v>NOT NULL</v>
      </c>
      <c r="T20" s="78" t="str">
        <f t="shared" si="12"/>
        <v>-- レセプト番号</v>
      </c>
      <c r="U20" s="4"/>
      <c r="AA20" s="4"/>
      <c r="AB20" s="4"/>
      <c r="AC20" s="4"/>
      <c r="AD20" s="4"/>
      <c r="AE20" s="4"/>
      <c r="AF20" s="4"/>
      <c r="AG20" s="4"/>
      <c r="AH20" s="4"/>
      <c r="AI20" s="4"/>
      <c r="AJ20" s="78" t="str">
        <f>IF(E20="○",IF(COUNTA(E$13:E20)=1,"",",")&amp;D20,"")</f>
        <v>,receipt_no</v>
      </c>
      <c r="AK20" s="4"/>
      <c r="AL20" s="4"/>
      <c r="AM20" s="4"/>
      <c r="AN20" s="4"/>
      <c r="AO20" s="4"/>
      <c r="AP20" s="4"/>
      <c r="AQ20" s="4"/>
      <c r="AR20" s="4"/>
      <c r="AS20" s="78"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1797</v>
      </c>
      <c r="D21" s="13" t="s">
        <v>933</v>
      </c>
      <c r="E21" s="7" t="s">
        <v>127</v>
      </c>
      <c r="F21" s="7" t="s">
        <v>204</v>
      </c>
      <c r="G21" s="7" t="str">
        <f t="shared" si="7"/>
        <v>integer</v>
      </c>
      <c r="H21" s="58"/>
      <c r="I21" s="23" t="s">
        <v>127</v>
      </c>
      <c r="J21" s="24" t="s">
        <v>1811</v>
      </c>
      <c r="M21" s="4"/>
      <c r="N21" s="78"/>
      <c r="O21" s="78"/>
      <c r="P21" s="78" t="str">
        <f t="shared" si="8"/>
        <v>,gyo_no</v>
      </c>
      <c r="Q21" s="78" t="str">
        <f t="shared" si="9"/>
        <v>INTEGER</v>
      </c>
      <c r="R21" s="78" t="str">
        <f t="shared" si="10"/>
        <v/>
      </c>
      <c r="S21" s="78" t="str">
        <f t="shared" si="11"/>
        <v>NOT NULL</v>
      </c>
      <c r="T21" s="78" t="str">
        <f t="shared" si="12"/>
        <v>-- 行番号</v>
      </c>
      <c r="U21" s="4"/>
      <c r="AA21" s="4"/>
      <c r="AB21" s="4"/>
      <c r="AC21" s="4"/>
      <c r="AD21" s="4"/>
      <c r="AE21" s="4"/>
      <c r="AF21" s="4"/>
      <c r="AG21" s="4"/>
      <c r="AH21" s="4"/>
      <c r="AI21" s="4"/>
      <c r="AJ21" s="78" t="str">
        <f>IF(E21="○",IF(COUNTA(E$13:E21)=1,"",",")&amp;D21,"")</f>
        <v>,gyo_no</v>
      </c>
      <c r="AK21" s="4"/>
      <c r="AL21" s="4"/>
      <c r="AM21" s="4"/>
      <c r="AN21" s="4"/>
      <c r="AO21" s="4"/>
      <c r="AP21" s="4"/>
      <c r="AQ21" s="4"/>
      <c r="AR21" s="4"/>
      <c r="AS21" s="78" t="str">
        <f>"COMMENT ON COLUMN "&amp;エンティティ一覧!$O$2&amp;"."&amp;D$8&amp;"."&amp;D21&amp;" IS '"&amp;C21&amp;"';"</f>
        <v>COMMENT ON COLUMN milscm_2023_009.sny_202310_backup_mart_shikkan.gyo_no IS '行番号';</v>
      </c>
    </row>
    <row r="22" spans="1:45" s="25" customFormat="1">
      <c r="A22" s="4"/>
      <c r="B22" s="21">
        <f t="shared" si="2"/>
        <v>10</v>
      </c>
      <c r="C22" s="13" t="s">
        <v>1798</v>
      </c>
      <c r="D22" s="13" t="s">
        <v>935</v>
      </c>
      <c r="E22" s="7" t="s">
        <v>127</v>
      </c>
      <c r="F22" s="7" t="s">
        <v>1757</v>
      </c>
      <c r="G22" s="7" t="str">
        <f t="shared" si="7"/>
        <v>text</v>
      </c>
      <c r="H22" s="58"/>
      <c r="I22" s="23" t="s">
        <v>127</v>
      </c>
      <c r="J22" s="24" t="s">
        <v>1812</v>
      </c>
      <c r="M22" s="4"/>
      <c r="N22" s="78"/>
      <c r="O22" s="78"/>
      <c r="P22" s="78" t="str">
        <f t="shared" si="8"/>
        <v>,karute_no</v>
      </c>
      <c r="Q22" s="78" t="str">
        <f t="shared" si="9"/>
        <v>TEXT</v>
      </c>
      <c r="R22" s="78" t="str">
        <f t="shared" si="10"/>
        <v/>
      </c>
      <c r="S22" s="78" t="str">
        <f t="shared" si="11"/>
        <v>NOT NULL</v>
      </c>
      <c r="T22" s="78" t="str">
        <f t="shared" si="12"/>
        <v>-- カルテ番号等</v>
      </c>
      <c r="U22" s="4"/>
      <c r="AA22" s="4"/>
      <c r="AB22" s="4"/>
      <c r="AC22" s="4"/>
      <c r="AD22" s="4"/>
      <c r="AE22" s="4"/>
      <c r="AF22" s="4"/>
      <c r="AG22" s="4"/>
      <c r="AH22" s="4"/>
      <c r="AI22" s="4"/>
      <c r="AJ22" s="78" t="str">
        <f>IF(E22="○",IF(COUNTA(E$13:E22)=1,"",",")&amp;D22,"")</f>
        <v>,karute_no</v>
      </c>
      <c r="AK22" s="4"/>
      <c r="AL22" s="4"/>
      <c r="AM22" s="4"/>
      <c r="AN22" s="4"/>
      <c r="AO22" s="4"/>
      <c r="AP22" s="4"/>
      <c r="AQ22" s="4"/>
      <c r="AR22" s="4"/>
      <c r="AS22" s="78" t="str">
        <f>"COMMENT ON COLUMN "&amp;エンティティ一覧!$O$2&amp;"."&amp;D$8&amp;"."&amp;D22&amp;" IS '"&amp;C22&amp;"';"</f>
        <v>COMMENT ON COLUMN milscm_2023_009.sny_202310_backup_mart_shikkan.karute_no IS 'カルテ番号等';</v>
      </c>
    </row>
    <row r="23" spans="1:45" s="25" customFormat="1" ht="34.799999999999997">
      <c r="A23" s="4"/>
      <c r="B23" s="21">
        <f t="shared" si="2"/>
        <v>11</v>
      </c>
      <c r="C23" s="13" t="s">
        <v>1799</v>
      </c>
      <c r="D23" s="13" t="s">
        <v>1219</v>
      </c>
      <c r="E23" s="7"/>
      <c r="F23" s="7" t="s">
        <v>1757</v>
      </c>
      <c r="G23" s="7" t="str">
        <f t="shared" si="7"/>
        <v>text</v>
      </c>
      <c r="H23" s="58"/>
      <c r="I23" s="23"/>
      <c r="J23" s="24" t="s">
        <v>1813</v>
      </c>
      <c r="M23" s="4"/>
      <c r="N23" s="78"/>
      <c r="O23" s="78"/>
      <c r="P23" s="78" t="str">
        <f t="shared" si="8"/>
        <v>,receipt_sokatsu_kubun</v>
      </c>
      <c r="Q23" s="78" t="str">
        <f t="shared" si="9"/>
        <v>TEXT</v>
      </c>
      <c r="R23" s="78" t="str">
        <f t="shared" si="10"/>
        <v/>
      </c>
      <c r="S23" s="78" t="str">
        <f t="shared" si="11"/>
        <v/>
      </c>
      <c r="T23" s="78" t="str">
        <f t="shared" si="12"/>
        <v>-- レセプト総括区分</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667</v>
      </c>
      <c r="D24" s="13" t="s">
        <v>874</v>
      </c>
      <c r="E24" s="7"/>
      <c r="F24" s="7" t="s">
        <v>1757</v>
      </c>
      <c r="G24" s="7" t="str">
        <f t="shared" si="7"/>
        <v>text</v>
      </c>
      <c r="H24" s="58"/>
      <c r="I24" s="23"/>
      <c r="J24" s="24"/>
      <c r="M24" s="4"/>
      <c r="N24" s="78"/>
      <c r="O24" s="78"/>
      <c r="P24" s="78" t="str">
        <f t="shared" si="8"/>
        <v>,shobyo_code</v>
      </c>
      <c r="Q24" s="78" t="str">
        <f t="shared" si="9"/>
        <v>TEXT</v>
      </c>
      <c r="R24" s="78" t="str">
        <f t="shared" si="10"/>
        <v/>
      </c>
      <c r="S24" s="78" t="str">
        <f t="shared" si="11"/>
        <v/>
      </c>
      <c r="T24" s="78" t="str">
        <f t="shared" si="12"/>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1092</v>
      </c>
      <c r="D25" s="13" t="s">
        <v>1093</v>
      </c>
      <c r="E25" s="7"/>
      <c r="F25" s="7" t="s">
        <v>1757</v>
      </c>
      <c r="G25" s="7" t="str">
        <f t="shared" si="7"/>
        <v>text</v>
      </c>
      <c r="H25" s="58"/>
      <c r="I25" s="23"/>
      <c r="J25" s="24" t="s">
        <v>1814</v>
      </c>
      <c r="M25" s="4"/>
      <c r="N25" s="78"/>
      <c r="O25" s="78"/>
      <c r="P25" s="78" t="str">
        <f t="shared" si="8"/>
        <v>,shinryo_start_date</v>
      </c>
      <c r="Q25" s="78" t="str">
        <f t="shared" si="9"/>
        <v>TEXT</v>
      </c>
      <c r="R25" s="78" t="str">
        <f t="shared" si="10"/>
        <v/>
      </c>
      <c r="S25" s="78" t="str">
        <f t="shared" si="11"/>
        <v/>
      </c>
      <c r="T25" s="78" t="str">
        <f t="shared" si="12"/>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1094</v>
      </c>
      <c r="D26" s="13" t="s">
        <v>1095</v>
      </c>
      <c r="E26" s="7"/>
      <c r="F26" s="7" t="s">
        <v>1757</v>
      </c>
      <c r="G26" s="7" t="str">
        <f t="shared" si="7"/>
        <v>text</v>
      </c>
      <c r="H26" s="58"/>
      <c r="I26" s="23"/>
      <c r="J26" s="24"/>
      <c r="M26" s="4"/>
      <c r="N26" s="78"/>
      <c r="O26" s="78"/>
      <c r="P26" s="78" t="str">
        <f t="shared" si="8"/>
        <v>,tenki_kubun</v>
      </c>
      <c r="Q26" s="78" t="str">
        <f t="shared" si="9"/>
        <v>TEXT</v>
      </c>
      <c r="R26" s="78" t="str">
        <f t="shared" si="10"/>
        <v/>
      </c>
      <c r="S26" s="78" t="str">
        <f t="shared" si="11"/>
        <v/>
      </c>
      <c r="T26" s="78" t="str">
        <f t="shared" si="12"/>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669</v>
      </c>
      <c r="D27" s="13" t="s">
        <v>875</v>
      </c>
      <c r="E27" s="7"/>
      <c r="F27" s="7" t="s">
        <v>1757</v>
      </c>
      <c r="G27" s="7" t="str">
        <f t="shared" si="7"/>
        <v>text</v>
      </c>
      <c r="H27" s="58"/>
      <c r="I27" s="23"/>
      <c r="J27" s="24" t="s">
        <v>1815</v>
      </c>
      <c r="M27" s="4"/>
      <c r="N27" s="78"/>
      <c r="O27" s="78"/>
      <c r="P27" s="78" t="str">
        <f t="shared" si="8"/>
        <v>,shushoku_code1</v>
      </c>
      <c r="Q27" s="78" t="str">
        <f t="shared" si="9"/>
        <v>TEXT</v>
      </c>
      <c r="R27" s="78" t="str">
        <f t="shared" si="10"/>
        <v/>
      </c>
      <c r="S27" s="78" t="str">
        <f t="shared" si="11"/>
        <v/>
      </c>
      <c r="T27" s="78" t="str">
        <f t="shared" si="12"/>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671</v>
      </c>
      <c r="D28" s="13" t="s">
        <v>876</v>
      </c>
      <c r="E28" s="7"/>
      <c r="F28" s="7" t="s">
        <v>1757</v>
      </c>
      <c r="G28" s="7" t="str">
        <f t="shared" si="7"/>
        <v>text</v>
      </c>
      <c r="H28" s="58"/>
      <c r="I28" s="23"/>
      <c r="J28" s="24"/>
      <c r="M28" s="4"/>
      <c r="N28" s="78"/>
      <c r="O28" s="78"/>
      <c r="P28" s="78" t="str">
        <f t="shared" si="8"/>
        <v>,shushoku_code2</v>
      </c>
      <c r="Q28" s="78" t="str">
        <f t="shared" si="9"/>
        <v>TEXT</v>
      </c>
      <c r="R28" s="78" t="str">
        <f t="shared" si="10"/>
        <v/>
      </c>
      <c r="S28" s="78" t="str">
        <f t="shared" si="11"/>
        <v/>
      </c>
      <c r="T28" s="78" t="str">
        <f t="shared" si="12"/>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673</v>
      </c>
      <c r="D29" s="13" t="s">
        <v>877</v>
      </c>
      <c r="E29" s="7"/>
      <c r="F29" s="7" t="s">
        <v>1757</v>
      </c>
      <c r="G29" s="7" t="str">
        <f t="shared" si="7"/>
        <v>text</v>
      </c>
      <c r="H29" s="58"/>
      <c r="I29" s="23"/>
      <c r="J29" s="24"/>
      <c r="M29" s="4"/>
      <c r="N29" s="78"/>
      <c r="O29" s="78"/>
      <c r="P29" s="78" t="str">
        <f t="shared" si="8"/>
        <v>,shushoku_code3</v>
      </c>
      <c r="Q29" s="78" t="str">
        <f t="shared" si="9"/>
        <v>TEXT</v>
      </c>
      <c r="R29" s="78" t="str">
        <f t="shared" si="10"/>
        <v/>
      </c>
      <c r="S29" s="78" t="str">
        <f t="shared" si="11"/>
        <v/>
      </c>
      <c r="T29" s="78" t="str">
        <f t="shared" si="12"/>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675</v>
      </c>
      <c r="D30" s="13" t="s">
        <v>878</v>
      </c>
      <c r="E30" s="7"/>
      <c r="F30" s="7" t="s">
        <v>1757</v>
      </c>
      <c r="G30" s="7" t="str">
        <f t="shared" si="7"/>
        <v>text</v>
      </c>
      <c r="H30" s="58"/>
      <c r="I30" s="23"/>
      <c r="J30" s="24"/>
      <c r="M30" s="4"/>
      <c r="N30" s="78"/>
      <c r="O30" s="78"/>
      <c r="P30" s="78" t="str">
        <f t="shared" si="8"/>
        <v>,shushoku_code4</v>
      </c>
      <c r="Q30" s="78" t="str">
        <f t="shared" si="9"/>
        <v>TEXT</v>
      </c>
      <c r="R30" s="78" t="str">
        <f t="shared" si="10"/>
        <v/>
      </c>
      <c r="S30" s="78" t="str">
        <f t="shared" si="11"/>
        <v/>
      </c>
      <c r="T30" s="78" t="str">
        <f t="shared" si="12"/>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1096</v>
      </c>
      <c r="D31" s="13" t="s">
        <v>1097</v>
      </c>
      <c r="E31" s="7"/>
      <c r="F31" s="7" t="s">
        <v>1757</v>
      </c>
      <c r="G31" s="7" t="str">
        <f t="shared" si="7"/>
        <v>text</v>
      </c>
      <c r="H31" s="58"/>
      <c r="I31" s="23"/>
      <c r="J31" s="24"/>
      <c r="M31" s="4"/>
      <c r="N31" s="78"/>
      <c r="O31" s="78"/>
      <c r="P31" s="78" t="str">
        <f t="shared" si="8"/>
        <v>,shushoku_code5</v>
      </c>
      <c r="Q31" s="78" t="str">
        <f t="shared" si="9"/>
        <v>TEXT</v>
      </c>
      <c r="R31" s="78" t="str">
        <f t="shared" si="10"/>
        <v/>
      </c>
      <c r="S31" s="78" t="str">
        <f t="shared" si="11"/>
        <v/>
      </c>
      <c r="T31" s="78" t="str">
        <f t="shared" si="12"/>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1098</v>
      </c>
      <c r="D32" s="13" t="s">
        <v>1099</v>
      </c>
      <c r="E32" s="7"/>
      <c r="F32" s="7" t="s">
        <v>1757</v>
      </c>
      <c r="G32" s="7" t="str">
        <f t="shared" si="7"/>
        <v>text</v>
      </c>
      <c r="H32" s="58"/>
      <c r="I32" s="23"/>
      <c r="J32" s="24"/>
      <c r="M32" s="4"/>
      <c r="N32" s="78"/>
      <c r="O32" s="78"/>
      <c r="P32" s="78" t="str">
        <f t="shared" si="8"/>
        <v>,shushoku_code6</v>
      </c>
      <c r="Q32" s="78" t="str">
        <f t="shared" si="9"/>
        <v>TEXT</v>
      </c>
      <c r="R32" s="78" t="str">
        <f t="shared" si="10"/>
        <v/>
      </c>
      <c r="S32" s="78" t="str">
        <f t="shared" si="11"/>
        <v/>
      </c>
      <c r="T32" s="78" t="str">
        <f t="shared" si="12"/>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1100</v>
      </c>
      <c r="D33" s="13" t="s">
        <v>1101</v>
      </c>
      <c r="E33" s="7"/>
      <c r="F33" s="7" t="s">
        <v>1757</v>
      </c>
      <c r="G33" s="7" t="str">
        <f t="shared" si="7"/>
        <v>text</v>
      </c>
      <c r="H33" s="58"/>
      <c r="I33" s="23"/>
      <c r="J33" s="24"/>
      <c r="M33" s="4"/>
      <c r="N33" s="78"/>
      <c r="O33" s="78"/>
      <c r="P33" s="78" t="str">
        <f t="shared" si="8"/>
        <v>,shushoku_code7</v>
      </c>
      <c r="Q33" s="78" t="str">
        <f t="shared" si="9"/>
        <v>TEXT</v>
      </c>
      <c r="R33" s="78" t="str">
        <f t="shared" si="10"/>
        <v/>
      </c>
      <c r="S33" s="78" t="str">
        <f t="shared" si="11"/>
        <v/>
      </c>
      <c r="T33" s="78" t="str">
        <f t="shared" si="12"/>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1102</v>
      </c>
      <c r="D34" s="13" t="s">
        <v>1103</v>
      </c>
      <c r="E34" s="7"/>
      <c r="F34" s="7" t="s">
        <v>1757</v>
      </c>
      <c r="G34" s="7" t="str">
        <f t="shared" si="7"/>
        <v>text</v>
      </c>
      <c r="H34" s="58"/>
      <c r="I34" s="23"/>
      <c r="J34" s="24"/>
      <c r="M34" s="4"/>
      <c r="N34" s="78"/>
      <c r="O34" s="78"/>
      <c r="P34" s="78" t="str">
        <f t="shared" si="8"/>
        <v>,shushoku_code8</v>
      </c>
      <c r="Q34" s="78" t="str">
        <f t="shared" si="9"/>
        <v>TEXT</v>
      </c>
      <c r="R34" s="78" t="str">
        <f t="shared" si="10"/>
        <v/>
      </c>
      <c r="S34" s="78" t="str">
        <f t="shared" si="11"/>
        <v/>
      </c>
      <c r="T34" s="78" t="str">
        <f t="shared" si="12"/>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1104</v>
      </c>
      <c r="D35" s="13" t="s">
        <v>1105</v>
      </c>
      <c r="E35" s="7"/>
      <c r="F35" s="7" t="s">
        <v>1757</v>
      </c>
      <c r="G35" s="7" t="str">
        <f t="shared" si="7"/>
        <v>text</v>
      </c>
      <c r="H35" s="58"/>
      <c r="I35" s="23"/>
      <c r="J35" s="24"/>
      <c r="M35" s="4"/>
      <c r="N35" s="78"/>
      <c r="O35" s="78"/>
      <c r="P35" s="78" t="str">
        <f t="shared" si="8"/>
        <v>,shushoku_code9</v>
      </c>
      <c r="Q35" s="78" t="str">
        <f t="shared" si="9"/>
        <v>TEXT</v>
      </c>
      <c r="R35" s="78" t="str">
        <f t="shared" si="10"/>
        <v/>
      </c>
      <c r="S35" s="78" t="str">
        <f t="shared" si="11"/>
        <v/>
      </c>
      <c r="T35" s="78" t="str">
        <f t="shared" si="12"/>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1106</v>
      </c>
      <c r="D36" s="13" t="s">
        <v>1107</v>
      </c>
      <c r="E36" s="7"/>
      <c r="F36" s="7" t="s">
        <v>1757</v>
      </c>
      <c r="G36" s="7" t="str">
        <f t="shared" si="7"/>
        <v>text</v>
      </c>
      <c r="H36" s="58"/>
      <c r="I36" s="23"/>
      <c r="J36" s="24"/>
      <c r="M36" s="4"/>
      <c r="N36" s="78"/>
      <c r="O36" s="78"/>
      <c r="P36" s="78" t="str">
        <f t="shared" si="8"/>
        <v>,shushoku_code10</v>
      </c>
      <c r="Q36" s="78" t="str">
        <f t="shared" si="9"/>
        <v>TEXT</v>
      </c>
      <c r="R36" s="78" t="str">
        <f t="shared" si="10"/>
        <v/>
      </c>
      <c r="S36" s="78" t="str">
        <f t="shared" si="11"/>
        <v/>
      </c>
      <c r="T36" s="78" t="str">
        <f t="shared" si="12"/>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1108</v>
      </c>
      <c r="D37" s="13" t="s">
        <v>1109</v>
      </c>
      <c r="E37" s="7"/>
      <c r="F37" s="7" t="s">
        <v>1757</v>
      </c>
      <c r="G37" s="7" t="str">
        <f t="shared" si="7"/>
        <v>text</v>
      </c>
      <c r="H37" s="58"/>
      <c r="I37" s="23"/>
      <c r="J37" s="24"/>
      <c r="M37" s="4"/>
      <c r="N37" s="78"/>
      <c r="O37" s="78"/>
      <c r="P37" s="78" t="str">
        <f t="shared" si="8"/>
        <v>,shushoku_code11</v>
      </c>
      <c r="Q37" s="78" t="str">
        <f t="shared" si="9"/>
        <v>TEXT</v>
      </c>
      <c r="R37" s="78" t="str">
        <f t="shared" si="10"/>
        <v/>
      </c>
      <c r="S37" s="78" t="str">
        <f t="shared" si="11"/>
        <v/>
      </c>
      <c r="T37" s="78" t="str">
        <f t="shared" si="12"/>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1110</v>
      </c>
      <c r="D38" s="13" t="s">
        <v>1111</v>
      </c>
      <c r="E38" s="7"/>
      <c r="F38" s="7" t="s">
        <v>1757</v>
      </c>
      <c r="G38" s="7" t="str">
        <f t="shared" si="7"/>
        <v>text</v>
      </c>
      <c r="H38" s="58"/>
      <c r="I38" s="23"/>
      <c r="J38" s="24"/>
      <c r="M38" s="4"/>
      <c r="N38" s="78"/>
      <c r="O38" s="78"/>
      <c r="P38" s="78" t="str">
        <f t="shared" si="8"/>
        <v>,shushoku_code12</v>
      </c>
      <c r="Q38" s="78" t="str">
        <f t="shared" si="9"/>
        <v>TEXT</v>
      </c>
      <c r="R38" s="78" t="str">
        <f t="shared" si="10"/>
        <v/>
      </c>
      <c r="S38" s="78" t="str">
        <f t="shared" si="11"/>
        <v/>
      </c>
      <c r="T38" s="78" t="str">
        <f t="shared" si="12"/>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1112</v>
      </c>
      <c r="D39" s="13" t="s">
        <v>1113</v>
      </c>
      <c r="E39" s="7"/>
      <c r="F39" s="7" t="s">
        <v>1757</v>
      </c>
      <c r="G39" s="7" t="str">
        <f t="shared" si="7"/>
        <v>text</v>
      </c>
      <c r="H39" s="58"/>
      <c r="I39" s="23"/>
      <c r="J39" s="24"/>
      <c r="M39" s="4"/>
      <c r="N39" s="78"/>
      <c r="O39" s="78"/>
      <c r="P39" s="78" t="str">
        <f t="shared" si="8"/>
        <v>,shushoku_code13</v>
      </c>
      <c r="Q39" s="78" t="str">
        <f t="shared" si="9"/>
        <v>TEXT</v>
      </c>
      <c r="R39" s="78" t="str">
        <f t="shared" si="10"/>
        <v/>
      </c>
      <c r="S39" s="78" t="str">
        <f t="shared" si="11"/>
        <v/>
      </c>
      <c r="T39" s="78" t="str">
        <f t="shared" si="12"/>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1114</v>
      </c>
      <c r="D40" s="13" t="s">
        <v>1115</v>
      </c>
      <c r="E40" s="7"/>
      <c r="F40" s="7" t="s">
        <v>1757</v>
      </c>
      <c r="G40" s="7" t="str">
        <f t="shared" si="7"/>
        <v>text</v>
      </c>
      <c r="H40" s="58"/>
      <c r="I40" s="23"/>
      <c r="J40" s="24"/>
      <c r="M40" s="4"/>
      <c r="N40" s="78"/>
      <c r="O40" s="78"/>
      <c r="P40" s="78" t="str">
        <f t="shared" si="8"/>
        <v>,shushoku_code14</v>
      </c>
      <c r="Q40" s="78" t="str">
        <f t="shared" si="9"/>
        <v>TEXT</v>
      </c>
      <c r="R40" s="78" t="str">
        <f t="shared" si="10"/>
        <v/>
      </c>
      <c r="S40" s="78" t="str">
        <f t="shared" si="11"/>
        <v/>
      </c>
      <c r="T40" s="78" t="str">
        <f t="shared" si="12"/>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1116</v>
      </c>
      <c r="D41" s="13" t="s">
        <v>1117</v>
      </c>
      <c r="E41" s="7"/>
      <c r="F41" s="7" t="s">
        <v>1757</v>
      </c>
      <c r="G41" s="7" t="str">
        <f t="shared" si="3"/>
        <v>text</v>
      </c>
      <c r="H41" s="58"/>
      <c r="I41" s="23"/>
      <c r="J41" s="24"/>
      <c r="M41" s="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1118</v>
      </c>
      <c r="D42" s="13" t="s">
        <v>1119</v>
      </c>
      <c r="E42" s="7"/>
      <c r="F42" s="7" t="s">
        <v>1757</v>
      </c>
      <c r="G42" s="7" t="str">
        <f t="shared" si="3"/>
        <v>text</v>
      </c>
      <c r="H42" s="58"/>
      <c r="I42" s="23"/>
      <c r="J42" s="24"/>
      <c r="M42" s="4"/>
      <c r="N42" s="78"/>
      <c r="O42" s="78"/>
      <c r="P42" s="78" t="str">
        <f t="shared" si="4"/>
        <v>,shushoku_code16</v>
      </c>
      <c r="Q42" s="78" t="str">
        <f t="shared" si="0"/>
        <v>TEXT</v>
      </c>
      <c r="R42" s="78" t="str">
        <f t="shared" si="1"/>
        <v/>
      </c>
      <c r="S42" s="78" t="str">
        <f t="shared" si="5"/>
        <v/>
      </c>
      <c r="T42" s="78" t="str">
        <f t="shared" si="6"/>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1120</v>
      </c>
      <c r="D43" s="13" t="s">
        <v>1121</v>
      </c>
      <c r="E43" s="7"/>
      <c r="F43" s="7" t="s">
        <v>1757</v>
      </c>
      <c r="G43" s="7" t="str">
        <f t="shared" si="3"/>
        <v>text</v>
      </c>
      <c r="H43" s="58"/>
      <c r="I43" s="23"/>
      <c r="J43" s="24"/>
      <c r="M43" s="4"/>
      <c r="N43" s="78"/>
      <c r="O43" s="78"/>
      <c r="P43" s="78" t="str">
        <f t="shared" si="4"/>
        <v>,shushoku_code17</v>
      </c>
      <c r="Q43" s="78" t="str">
        <f t="shared" si="0"/>
        <v>TEXT</v>
      </c>
      <c r="R43" s="78" t="str">
        <f t="shared" si="1"/>
        <v/>
      </c>
      <c r="S43" s="78" t="str">
        <f t="shared" si="5"/>
        <v/>
      </c>
      <c r="T43" s="78" t="str">
        <f t="shared" si="6"/>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1122</v>
      </c>
      <c r="D44" s="13" t="s">
        <v>1123</v>
      </c>
      <c r="E44" s="7"/>
      <c r="F44" s="7" t="s">
        <v>1757</v>
      </c>
      <c r="G44" s="7" t="str">
        <f t="shared" si="3"/>
        <v>text</v>
      </c>
      <c r="H44" s="58"/>
      <c r="I44" s="23"/>
      <c r="J44" s="24"/>
      <c r="M44" s="4"/>
      <c r="N44" s="78"/>
      <c r="O44" s="78"/>
      <c r="P44" s="78" t="str">
        <f t="shared" si="4"/>
        <v>,shushoku_code18</v>
      </c>
      <c r="Q44" s="78" t="str">
        <f t="shared" si="0"/>
        <v>TEXT</v>
      </c>
      <c r="R44" s="78" t="str">
        <f t="shared" si="1"/>
        <v/>
      </c>
      <c r="S44" s="78" t="str">
        <f t="shared" si="5"/>
        <v/>
      </c>
      <c r="T44" s="78" t="str">
        <f t="shared" si="6"/>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1124</v>
      </c>
      <c r="D45" s="13" t="s">
        <v>1125</v>
      </c>
      <c r="E45" s="7"/>
      <c r="F45" s="7" t="s">
        <v>1757</v>
      </c>
      <c r="G45" s="7" t="str">
        <f t="shared" si="3"/>
        <v>text</v>
      </c>
      <c r="H45" s="58"/>
      <c r="I45" s="23"/>
      <c r="J45" s="24"/>
      <c r="M45" s="4"/>
      <c r="N45" s="78"/>
      <c r="O45" s="78"/>
      <c r="P45" s="78" t="str">
        <f t="shared" si="4"/>
        <v>,shushoku_code19</v>
      </c>
      <c r="Q45" s="78" t="str">
        <f t="shared" si="0"/>
        <v>TEXT</v>
      </c>
      <c r="R45" s="78" t="str">
        <f t="shared" si="1"/>
        <v/>
      </c>
      <c r="S45" s="78" t="str">
        <f t="shared" si="5"/>
        <v/>
      </c>
      <c r="T45" s="78" t="str">
        <f t="shared" si="6"/>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1126</v>
      </c>
      <c r="D46" s="13" t="s">
        <v>1127</v>
      </c>
      <c r="E46" s="7"/>
      <c r="F46" s="7" t="s">
        <v>1757</v>
      </c>
      <c r="G46" s="7" t="str">
        <f t="shared" si="3"/>
        <v>text</v>
      </c>
      <c r="H46" s="58"/>
      <c r="I46" s="23"/>
      <c r="J46" s="24"/>
      <c r="M46" s="4"/>
      <c r="N46" s="78"/>
      <c r="O46" s="78"/>
      <c r="P46" s="78" t="str">
        <f t="shared" si="4"/>
        <v>,shushoku_code20</v>
      </c>
      <c r="Q46" s="78" t="str">
        <f t="shared" si="0"/>
        <v>TEXT</v>
      </c>
      <c r="R46" s="78" t="str">
        <f t="shared" si="1"/>
        <v/>
      </c>
      <c r="S46" s="78" t="str">
        <f t="shared" si="5"/>
        <v/>
      </c>
      <c r="T46" s="78" t="str">
        <f t="shared" si="6"/>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1128</v>
      </c>
      <c r="D47" s="13" t="s">
        <v>1129</v>
      </c>
      <c r="E47" s="7"/>
      <c r="F47" s="7" t="s">
        <v>1757</v>
      </c>
      <c r="G47" s="7" t="str">
        <f t="shared" si="3"/>
        <v>text</v>
      </c>
      <c r="H47" s="58"/>
      <c r="I47" s="23"/>
      <c r="J47" s="24"/>
      <c r="M47" s="4"/>
      <c r="N47" s="78"/>
      <c r="O47" s="78"/>
      <c r="P47" s="78" t="str">
        <f t="shared" si="4"/>
        <v>,shobyo_name</v>
      </c>
      <c r="Q47" s="78" t="str">
        <f t="shared" si="0"/>
        <v>TEXT</v>
      </c>
      <c r="R47" s="78" t="str">
        <f t="shared" si="1"/>
        <v/>
      </c>
      <c r="S47" s="78" t="str">
        <f t="shared" si="5"/>
        <v/>
      </c>
      <c r="T47" s="78" t="str">
        <f t="shared" si="6"/>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1130</v>
      </c>
      <c r="D48" s="13" t="s">
        <v>1131</v>
      </c>
      <c r="E48" s="7"/>
      <c r="F48" s="7" t="s">
        <v>1757</v>
      </c>
      <c r="G48" s="7" t="str">
        <f t="shared" si="3"/>
        <v>text</v>
      </c>
      <c r="H48" s="58"/>
      <c r="I48" s="23"/>
      <c r="J48" s="24"/>
      <c r="M48" s="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665</v>
      </c>
      <c r="D49" s="13" t="s">
        <v>873</v>
      </c>
      <c r="E49" s="7"/>
      <c r="F49" s="7" t="s">
        <v>1757</v>
      </c>
      <c r="G49" s="7" t="str">
        <f t="shared" si="3"/>
        <v>text</v>
      </c>
      <c r="H49" s="58"/>
      <c r="I49" s="23"/>
      <c r="J49" s="24"/>
      <c r="M49" s="4"/>
      <c r="N49" s="78"/>
      <c r="O49" s="78"/>
      <c r="P49" s="78" t="str">
        <f t="shared" si="4"/>
        <v>,icd10_code</v>
      </c>
      <c r="Q49" s="78" t="str">
        <f t="shared" si="0"/>
        <v>TEXT</v>
      </c>
      <c r="R49" s="78" t="str">
        <f t="shared" si="1"/>
        <v/>
      </c>
      <c r="S49" s="78" t="str">
        <f t="shared" si="5"/>
        <v/>
      </c>
      <c r="T49" s="78" t="str">
        <f t="shared" si="6"/>
        <v>-- ICD10コード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1243</v>
      </c>
      <c r="D50" s="13" t="s">
        <v>1244</v>
      </c>
      <c r="E50" s="7"/>
      <c r="F50" s="7" t="s">
        <v>1757</v>
      </c>
      <c r="G50" s="7" t="str">
        <f t="shared" si="3"/>
        <v>text</v>
      </c>
      <c r="H50" s="58"/>
      <c r="I50" s="23"/>
      <c r="J50" s="24"/>
      <c r="M50" s="4"/>
      <c r="N50" s="78"/>
      <c r="O50" s="78"/>
      <c r="P50" s="78" t="str">
        <f t="shared" si="4"/>
        <v>,shobyo_kubun</v>
      </c>
      <c r="Q50" s="78" t="str">
        <f t="shared" si="0"/>
        <v>TEXT</v>
      </c>
      <c r="R50" s="78" t="str">
        <f t="shared" si="1"/>
        <v/>
      </c>
      <c r="S50" s="78" t="str">
        <f t="shared" si="5"/>
        <v/>
      </c>
      <c r="T50" s="78" t="str">
        <f t="shared" si="6"/>
        <v>-- 傷病名区分</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1230</v>
      </c>
      <c r="D51" s="13" t="s">
        <v>1231</v>
      </c>
      <c r="E51" s="7"/>
      <c r="F51" s="7" t="s">
        <v>1800</v>
      </c>
      <c r="G51" s="7" t="str">
        <f t="shared" si="3"/>
        <v>text</v>
      </c>
      <c r="H51" s="58"/>
      <c r="I51" s="23"/>
      <c r="J51" s="24" t="s">
        <v>1814</v>
      </c>
      <c r="M51" s="4"/>
      <c r="N51" s="78"/>
      <c r="O51" s="78"/>
      <c r="P51" s="78" t="str">
        <f t="shared" si="4"/>
        <v>,konnyuin_ymd</v>
      </c>
      <c r="Q51" s="78" t="str">
        <f t="shared" si="0"/>
        <v>TEXT</v>
      </c>
      <c r="R51" s="78" t="str">
        <f t="shared" si="1"/>
        <v/>
      </c>
      <c r="S51" s="78" t="str">
        <f t="shared" si="5"/>
        <v/>
      </c>
      <c r="T51" s="78" t="str">
        <f t="shared" si="6"/>
        <v xml:space="preserve">-- 今回入院年月日 </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1232</v>
      </c>
      <c r="D52" s="13" t="s">
        <v>1233</v>
      </c>
      <c r="E52" s="7"/>
      <c r="F52" s="7" t="s">
        <v>1800</v>
      </c>
      <c r="G52" s="7" t="str">
        <f t="shared" si="3"/>
        <v>text</v>
      </c>
      <c r="H52" s="58"/>
      <c r="I52" s="23"/>
      <c r="J52" s="24" t="s">
        <v>1814</v>
      </c>
      <c r="M52" s="4"/>
      <c r="N52" s="78"/>
      <c r="O52" s="78"/>
      <c r="P52" s="78" t="str">
        <f t="shared" si="4"/>
        <v>,kontaiin_ymd</v>
      </c>
      <c r="Q52" s="78" t="str">
        <f t="shared" si="0"/>
        <v>TEXT</v>
      </c>
      <c r="R52" s="78" t="str">
        <f t="shared" si="1"/>
        <v/>
      </c>
      <c r="S52" s="78" t="str">
        <f t="shared" si="5"/>
        <v/>
      </c>
      <c r="T52" s="78" t="str">
        <f t="shared" si="6"/>
        <v>-- 今回退院年月日</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1234</v>
      </c>
      <c r="D53" s="13" t="s">
        <v>1235</v>
      </c>
      <c r="E53" s="7"/>
      <c r="F53" s="7" t="s">
        <v>1800</v>
      </c>
      <c r="G53" s="7" t="str">
        <f t="shared" si="3"/>
        <v>text</v>
      </c>
      <c r="H53" s="58"/>
      <c r="I53" s="23"/>
      <c r="J53" s="24"/>
      <c r="M53" s="4"/>
      <c r="N53" s="78"/>
      <c r="O53" s="78"/>
      <c r="P53" s="78" t="str">
        <f t="shared" si="4"/>
        <v>,dpc_tenki_code</v>
      </c>
      <c r="Q53" s="78" t="str">
        <f t="shared" si="0"/>
        <v>TEXT</v>
      </c>
      <c r="R53" s="78" t="str">
        <f t="shared" si="1"/>
        <v/>
      </c>
      <c r="S53" s="78" t="str">
        <f t="shared" si="5"/>
        <v/>
      </c>
      <c r="T53" s="78" t="str">
        <f t="shared" si="6"/>
        <v>-- DPC転帰区分</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1236</v>
      </c>
      <c r="D54" s="13" t="s">
        <v>1237</v>
      </c>
      <c r="E54" s="7"/>
      <c r="F54" s="7" t="s">
        <v>1757</v>
      </c>
      <c r="G54" s="7" t="str">
        <f t="shared" si="3"/>
        <v>text</v>
      </c>
      <c r="H54" s="58"/>
      <c r="I54" s="23"/>
      <c r="J54" s="24"/>
      <c r="M54" s="4"/>
      <c r="N54" s="78"/>
      <c r="O54" s="78"/>
      <c r="P54" s="78" t="str">
        <f t="shared" si="4"/>
        <v>,death_cause</v>
      </c>
      <c r="Q54" s="78" t="str">
        <f t="shared" si="0"/>
        <v>TEXT</v>
      </c>
      <c r="R54" s="78" t="str">
        <f t="shared" si="1"/>
        <v/>
      </c>
      <c r="S54" s="78" t="str">
        <f t="shared" si="5"/>
        <v/>
      </c>
      <c r="T54" s="78" t="str">
        <f t="shared" si="6"/>
        <v>-- 死因</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milscm_2023_009.sny_202310_backup_mart_shikkan.death_cause IS '死因';</v>
      </c>
    </row>
    <row r="55" spans="1:52" s="25" customFormat="1">
      <c r="A55" s="4"/>
      <c r="B55" s="21">
        <f t="shared" si="2"/>
        <v>43</v>
      </c>
      <c r="C55" s="13" t="s">
        <v>1801</v>
      </c>
      <c r="D55" s="13" t="s">
        <v>961</v>
      </c>
      <c r="E55" s="7"/>
      <c r="F55" s="7" t="s">
        <v>1757</v>
      </c>
      <c r="G55" s="7" t="str">
        <f t="shared" si="3"/>
        <v>text</v>
      </c>
      <c r="H55" s="58"/>
      <c r="I55" s="23"/>
      <c r="J55" s="24"/>
      <c r="M55" s="4"/>
      <c r="N55" s="78"/>
      <c r="O55" s="78"/>
      <c r="P55" s="78" t="str">
        <f t="shared" si="4"/>
        <v>,receipt_type</v>
      </c>
      <c r="Q55" s="78" t="str">
        <f t="shared" si="0"/>
        <v>TEXT</v>
      </c>
      <c r="R55" s="78" t="str">
        <f t="shared" si="1"/>
        <v/>
      </c>
      <c r="S55" s="78" t="str">
        <f t="shared" si="5"/>
        <v/>
      </c>
      <c r="T55" s="78" t="str">
        <f t="shared" si="6"/>
        <v>-- レセプト種別</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milscm_2023_009.sny_202310_backup_mart_shikkan.receipt_type IS 'レセプト種別';</v>
      </c>
    </row>
    <row r="56" spans="1:52" s="25" customFormat="1" ht="52.2">
      <c r="A56" s="4"/>
      <c r="B56" s="21">
        <f t="shared" si="2"/>
        <v>44</v>
      </c>
      <c r="C56" s="13" t="s">
        <v>1773</v>
      </c>
      <c r="D56" s="13" t="s">
        <v>243</v>
      </c>
      <c r="E56" s="7"/>
      <c r="F56" s="7" t="s">
        <v>1757</v>
      </c>
      <c r="G56" s="7" t="str">
        <f t="shared" si="3"/>
        <v>text</v>
      </c>
      <c r="H56" s="58"/>
      <c r="I56" s="23"/>
      <c r="J56" s="24" t="s">
        <v>1816</v>
      </c>
      <c r="M56" s="4"/>
      <c r="N56" s="78"/>
      <c r="O56" s="78"/>
      <c r="P56" s="78" t="str">
        <f t="shared" si="4"/>
        <v>,nyugai_kubun</v>
      </c>
      <c r="Q56" s="78" t="str">
        <f t="shared" si="0"/>
        <v>TEXT</v>
      </c>
      <c r="R56" s="78" t="str">
        <f t="shared" si="1"/>
        <v/>
      </c>
      <c r="S56" s="78" t="str">
        <f t="shared" si="5"/>
        <v/>
      </c>
      <c r="T56" s="78" t="str">
        <f t="shared" si="6"/>
        <v>-- 入外区分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milscm_2023_009.sny_202310_backup_mart_shikkan.nyugai_kubun IS '入外区分';</v>
      </c>
    </row>
    <row r="57" spans="1:52" s="25" customFormat="1" ht="69.599999999999994">
      <c r="A57" s="4"/>
      <c r="B57" s="21">
        <f t="shared" si="2"/>
        <v>45</v>
      </c>
      <c r="C57" s="13" t="s">
        <v>1802</v>
      </c>
      <c r="D57" s="13" t="s">
        <v>1803</v>
      </c>
      <c r="E57" s="7"/>
      <c r="F57" s="7" t="s">
        <v>1757</v>
      </c>
      <c r="G57" s="7" t="str">
        <f t="shared" si="3"/>
        <v>text</v>
      </c>
      <c r="H57" s="58"/>
      <c r="I57" s="23"/>
      <c r="J57" s="24" t="s">
        <v>1817</v>
      </c>
      <c r="M57" s="4"/>
      <c r="N57" s="78"/>
      <c r="O57" s="78"/>
      <c r="P57" s="78" t="str">
        <f t="shared" si="4"/>
        <v>,utagai_f</v>
      </c>
      <c r="Q57" s="78" t="str">
        <f t="shared" si="0"/>
        <v>TEXT</v>
      </c>
      <c r="R57" s="78" t="str">
        <f t="shared" si="1"/>
        <v/>
      </c>
      <c r="S57" s="78" t="str">
        <f t="shared" si="5"/>
        <v/>
      </c>
      <c r="T57" s="78" t="str">
        <f t="shared" si="6"/>
        <v>-- 疑いフラグ</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1132</v>
      </c>
      <c r="D58" s="13" t="s">
        <v>1133</v>
      </c>
      <c r="E58" s="7"/>
      <c r="F58" s="7" t="s">
        <v>1757</v>
      </c>
      <c r="G58" s="7" t="str">
        <f t="shared" si="3"/>
        <v>text</v>
      </c>
      <c r="H58" s="58"/>
      <c r="I58" s="23"/>
      <c r="J58" s="24"/>
      <c r="M58" s="4"/>
      <c r="N58" s="78"/>
      <c r="O58" s="78"/>
      <c r="P58" s="78" t="str">
        <f t="shared" si="4"/>
        <v>,hosoku_comment</v>
      </c>
      <c r="Q58" s="78" t="str">
        <f t="shared" si="0"/>
        <v>TEXT</v>
      </c>
      <c r="R58" s="78" t="str">
        <f t="shared" si="1"/>
        <v/>
      </c>
      <c r="S58" s="78" t="str">
        <f t="shared" si="5"/>
        <v/>
      </c>
      <c r="T58" s="78" t="str">
        <f t="shared" si="6"/>
        <v>-- 補足コメント</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milscm_2023_009.sny_202310_backup_mart_shikkan.hosoku_comment IS '補足コメント';</v>
      </c>
    </row>
    <row r="59" spans="1:52" s="25" customFormat="1" ht="18" thickBot="1">
      <c r="A59" s="4"/>
      <c r="B59" s="27">
        <f>ROW()-12</f>
        <v>47</v>
      </c>
      <c r="C59" s="57" t="s">
        <v>1774</v>
      </c>
      <c r="D59" s="57" t="s">
        <v>1775</v>
      </c>
      <c r="E59" s="56"/>
      <c r="F59" s="56" t="s">
        <v>204</v>
      </c>
      <c r="G59" s="56" t="str">
        <f t="shared" si="3"/>
        <v>integer</v>
      </c>
      <c r="H59" s="59"/>
      <c r="I59" s="60"/>
      <c r="J59" s="64" t="s">
        <v>1781</v>
      </c>
      <c r="N59" s="78"/>
      <c r="O59" s="78"/>
      <c r="P59" s="78" t="str">
        <f t="shared" si="4"/>
        <v>,seq_no</v>
      </c>
      <c r="Q59" s="78" t="str">
        <f t="shared" si="0"/>
        <v>INTEGER</v>
      </c>
      <c r="R59" s="78" t="str">
        <f t="shared" si="1"/>
        <v/>
      </c>
      <c r="S59" s="78" t="str">
        <f t="shared" si="5"/>
        <v/>
      </c>
      <c r="T59" s="78" t="str">
        <f t="shared" si="6"/>
        <v>-- シーケンス番号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milscm_2023_009.sny_202310_backup_mart_shikkan.seq_no IS 'シーケンス番号';</v>
      </c>
    </row>
    <row r="60" spans="1:52">
      <c r="L60" s="25"/>
      <c r="M60" s="25"/>
      <c r="N60" s="78" t="s">
        <v>142</v>
      </c>
      <c r="O60" s="78"/>
      <c r="P60" s="78"/>
      <c r="Q60" s="78"/>
      <c r="R60" s="78"/>
      <c r="S60" s="78"/>
      <c r="T60" s="78"/>
      <c r="V60" s="25"/>
      <c r="W60" s="25"/>
      <c r="X60" s="25"/>
      <c r="Y60" s="25"/>
      <c r="Z60" s="25"/>
      <c r="AJ60" s="78"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3722</v>
      </c>
      <c r="C4" s="225"/>
      <c r="D4" s="226" t="str">
        <f>VLOOKUP(D7,エンティティ一覧!A1:'エンティティ一覧'!AM10147,2,FALSE)</f>
        <v>01</v>
      </c>
      <c r="E4" s="227"/>
      <c r="F4" s="227"/>
      <c r="G4" s="227"/>
      <c r="H4" s="227"/>
      <c r="I4" s="227"/>
      <c r="J4" s="228"/>
    </row>
    <row r="5" spans="1:52">
      <c r="B5" s="240" t="s">
        <v>3723</v>
      </c>
      <c r="C5" s="241"/>
      <c r="D5" s="250" t="str">
        <f>VLOOKUP(D7,エンティティ一覧!A1:'エンティティ一覧'!AM10147,7,FALSE)</f>
        <v>backup</v>
      </c>
      <c r="E5" s="251"/>
      <c r="F5" s="251"/>
      <c r="G5" s="251"/>
      <c r="H5" s="251"/>
      <c r="I5" s="251"/>
      <c r="J5" s="252"/>
    </row>
    <row r="6" spans="1:52">
      <c r="B6" s="240" t="s">
        <v>3724</v>
      </c>
      <c r="C6" s="241"/>
      <c r="D6" s="250" t="str">
        <f>VLOOKUP(D7,エンティティ一覧!A1:'エンティティ一覧'!AM10147,15,FALSE)</f>
        <v>ENT_01_A1-05</v>
      </c>
      <c r="E6" s="251"/>
      <c r="F6" s="251"/>
      <c r="G6" s="251"/>
      <c r="H6" s="251"/>
      <c r="I6" s="251"/>
      <c r="J6" s="252"/>
    </row>
    <row r="7" spans="1:52">
      <c r="B7" s="240" t="s">
        <v>115</v>
      </c>
      <c r="C7" s="241"/>
      <c r="D7" s="242" t="s">
        <v>1818</v>
      </c>
      <c r="E7" s="243"/>
      <c r="F7" s="243"/>
      <c r="G7" s="243"/>
      <c r="H7" s="243"/>
      <c r="I7" s="243"/>
      <c r="J7" s="244"/>
    </row>
    <row r="8" spans="1:52">
      <c r="B8" s="240" t="s">
        <v>116</v>
      </c>
      <c r="C8" s="241"/>
      <c r="D8" s="242" t="str">
        <f>エンティティ一覧!AE2&amp;"_"&amp;D5&amp;"_mart_shikkan_department"</f>
        <v>sny_202310_backup_mart_shikkan_department</v>
      </c>
      <c r="E8" s="243"/>
      <c r="F8" s="243"/>
      <c r="G8" s="243"/>
      <c r="H8" s="243"/>
      <c r="I8" s="243"/>
      <c r="J8" s="244"/>
    </row>
    <row r="9" spans="1:52" ht="19.5" customHeight="1" thickBot="1">
      <c r="B9" s="245" t="s">
        <v>117</v>
      </c>
      <c r="C9" s="246"/>
      <c r="D9" s="247" t="str">
        <f>SUBSTITUTE(D7,"バックアップ_","")&amp;"テーブルから組入れ条件の第一条件で絞り込んだ結果を格納するテーブル"</f>
        <v>疾患診療科データテーブルから組入れ条件の第一条件で絞り込んだ結果を格納するテーブル</v>
      </c>
      <c r="E9" s="248"/>
      <c r="F9" s="248"/>
      <c r="G9" s="248"/>
      <c r="H9" s="248"/>
      <c r="I9" s="248"/>
      <c r="J9" s="249"/>
    </row>
    <row r="10" spans="1:52">
      <c r="B10" s="19"/>
      <c r="C10" s="19"/>
      <c r="D10" s="5"/>
      <c r="E10" s="5"/>
      <c r="F10" s="5"/>
      <c r="G10" s="5"/>
      <c r="H10" s="5"/>
      <c r="I10" s="5"/>
      <c r="J10" s="18"/>
      <c r="N10" s="78" t="str">
        <f>"--DROP TABLE  "&amp;エンティティ一覧!$O$2&amp;"."&amp;D$8&amp;";"</f>
        <v>--DROP TABLE  milscm_2023_009.sny_202310_backup_mart_shikkan_department;</v>
      </c>
      <c r="O10" s="78"/>
      <c r="P10" s="78"/>
      <c r="Q10" s="78"/>
      <c r="R10" s="78"/>
      <c r="S10" s="78"/>
      <c r="T10" s="78"/>
      <c r="AJ10" s="78" t="str">
        <f>"ALTER TABLE ONLY "&amp;エンティティ一覧!$O$2&amp;"."&amp;D$8</f>
        <v>ALTER TABLE ONLY milscm_2023_009.sny_202310_backup_mart_shikkan_department</v>
      </c>
      <c r="AS10" s="78" t="str">
        <f>"ALTER TABLE "&amp;エンティティ一覧!$O$2&amp;"."&amp;D$8&amp;" OWNER TO pgmisgrp1;"</f>
        <v>ALTER TABLE milscm_2023_009.sny_202310_backup_mart_shikkan_department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milscm_2023_009.sny_202310_backup_mart_shikkan_department</v>
      </c>
      <c r="O11" s="78"/>
      <c r="P11" s="78"/>
      <c r="Q11" s="78"/>
      <c r="R11" s="78"/>
      <c r="S11" s="78"/>
      <c r="T11" s="78"/>
      <c r="AJ11" s="78" t="str">
        <f>"ADD CONSTRAINT "&amp;D$8&amp;"_pkey PRIMARY KEY"</f>
        <v>ADD CONSTRAINT sny_202310_backup_mart_shikkan_department_pkey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milscm_2023_009.sny_202310_backup_mart_shikkan_department IS 'バックアップ_疾患診療科データ';</v>
      </c>
    </row>
    <row r="13" spans="1:52" s="25" customFormat="1" ht="34.799999999999997">
      <c r="A13" s="4"/>
      <c r="B13" s="21">
        <f>ROW()-12</f>
        <v>1</v>
      </c>
      <c r="C13" s="6" t="s">
        <v>1819</v>
      </c>
      <c r="D13" s="6" t="s">
        <v>1820</v>
      </c>
      <c r="E13" s="8" t="s">
        <v>127</v>
      </c>
      <c r="F13" s="8" t="s">
        <v>204</v>
      </c>
      <c r="G13" s="7" t="str">
        <f>IF(F13="フラグ","boolean",IF(F13="文字列","text",IF(F13="整数","integer",IF(F13="実数","numeric",""))))</f>
        <v>integer</v>
      </c>
      <c r="H13" s="9"/>
      <c r="I13" s="10" t="s">
        <v>127</v>
      </c>
      <c r="J13" s="11" t="s">
        <v>1823</v>
      </c>
      <c r="M13" s="4"/>
      <c r="N13" s="78"/>
      <c r="O13" s="78"/>
      <c r="P13" s="78" t="str">
        <f>IF(B13&lt;&gt;1,","&amp;D13,D13)</f>
        <v>parent_seq_no</v>
      </c>
      <c r="Q13" s="78" t="str">
        <f t="shared" ref="Q13:Q15" si="0">UPPER(G13)</f>
        <v>INTEGER</v>
      </c>
      <c r="R13" s="78" t="str">
        <f t="shared" ref="R13:R15" si="1">IF(H13&lt;&gt;"","default "&amp;IF(G13="text","'"&amp;H13&amp;"'",H13),"")</f>
        <v/>
      </c>
      <c r="S13" s="78" t="str">
        <f>IF(I13="○","NOT NULL","")</f>
        <v>NOT NULL</v>
      </c>
      <c r="T13" s="78" t="str">
        <f>"-- "&amp;C13</f>
        <v>-- 親シーケンス番号</v>
      </c>
      <c r="U13" s="4"/>
      <c r="AA13" s="4"/>
      <c r="AB13" s="4"/>
      <c r="AC13" s="4"/>
      <c r="AD13" s="4"/>
      <c r="AE13" s="4"/>
      <c r="AF13" s="4"/>
      <c r="AG13" s="4"/>
      <c r="AH13" s="4"/>
      <c r="AI13" s="4"/>
      <c r="AJ13" s="78" t="str">
        <f>IF(E13="○",IF(COUNTA(E$13:E13)=1,"",",")&amp;D13,"")</f>
        <v>parent_seq_no</v>
      </c>
      <c r="AK13" s="4"/>
      <c r="AL13" s="4"/>
      <c r="AM13" s="4"/>
      <c r="AN13" s="4"/>
      <c r="AO13" s="4"/>
      <c r="AP13" s="4"/>
      <c r="AQ13" s="4"/>
      <c r="AR13" s="4"/>
      <c r="AS13" s="78"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1821</v>
      </c>
      <c r="D14" s="6" t="s">
        <v>1702</v>
      </c>
      <c r="E14" s="8"/>
      <c r="F14" s="7" t="s">
        <v>1757</v>
      </c>
      <c r="G14" s="7" t="str">
        <f t="shared" ref="G14:G15" si="3">IF(F14="フラグ","boolean",IF(F14="文字列","text",IF(F14="整数","integer",IF(F14="実数","numeric",""))))</f>
        <v>text</v>
      </c>
      <c r="H14" s="26"/>
      <c r="I14" s="10"/>
      <c r="J14" s="11" t="s">
        <v>1824</v>
      </c>
      <c r="M14" s="4"/>
      <c r="N14" s="78"/>
      <c r="O14" s="78"/>
      <c r="P14" s="78" t="str">
        <f t="shared" ref="P14:P15" si="4">IF(B14&lt;&gt;1,","&amp;D14,D14)</f>
        <v>,department_name</v>
      </c>
      <c r="Q14" s="78" t="str">
        <f t="shared" si="0"/>
        <v>TEXT</v>
      </c>
      <c r="R14" s="78" t="str">
        <f t="shared" si="1"/>
        <v/>
      </c>
      <c r="S14" s="78" t="str">
        <f>IF(I14="○","NOT NULL","")</f>
        <v/>
      </c>
      <c r="T14" s="78" t="str">
        <f>"-- "&amp;C14</f>
        <v>-- 診療科名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milscm_2023_009.sny_202310_backup_mart_shikkan_department.department_name IS '診療科名';</v>
      </c>
    </row>
    <row r="15" spans="1:52" s="25" customFormat="1" ht="70.2" thickBot="1">
      <c r="A15" s="4"/>
      <c r="B15" s="27">
        <f>ROW()-12</f>
        <v>3</v>
      </c>
      <c r="C15" s="57" t="s">
        <v>1822</v>
      </c>
      <c r="D15" s="57" t="s">
        <v>135</v>
      </c>
      <c r="E15" s="56" t="s">
        <v>127</v>
      </c>
      <c r="F15" s="56" t="s">
        <v>1757</v>
      </c>
      <c r="G15" s="56" t="str">
        <f t="shared" si="3"/>
        <v>text</v>
      </c>
      <c r="H15" s="59"/>
      <c r="I15" s="60"/>
      <c r="J15" s="64" t="s">
        <v>1825</v>
      </c>
      <c r="N15" s="78"/>
      <c r="O15" s="78"/>
      <c r="P15" s="78" t="str">
        <f t="shared" si="4"/>
        <v>,department_kubun</v>
      </c>
      <c r="Q15" s="78" t="str">
        <f t="shared" si="0"/>
        <v>TEXT</v>
      </c>
      <c r="R15" s="78" t="str">
        <f t="shared" si="1"/>
        <v/>
      </c>
      <c r="S15" s="78" t="str">
        <f t="shared" ref="S15" si="5">IF(I15="○","NOT NULL","")</f>
        <v/>
      </c>
      <c r="T15" s="78" t="str">
        <f t="shared" ref="T15" si="6">"-- "&amp;C15</f>
        <v>-- 診療科名区分</v>
      </c>
      <c r="U15" s="4"/>
      <c r="AA15" s="4"/>
      <c r="AB15" s="4"/>
      <c r="AC15" s="4"/>
      <c r="AD15" s="4"/>
      <c r="AE15" s="4"/>
      <c r="AF15" s="4"/>
      <c r="AG15" s="4"/>
      <c r="AH15" s="4"/>
      <c r="AI15" s="4"/>
      <c r="AJ15" s="78" t="str">
        <f>IF(E15="○",IF(COUNTA(E$13:E15)=1,"",",")&amp;D15,"")</f>
        <v>,department_kubun</v>
      </c>
      <c r="AK15" s="4"/>
      <c r="AL15" s="4"/>
      <c r="AM15" s="4"/>
      <c r="AN15" s="4"/>
      <c r="AO15" s="4"/>
      <c r="AP15" s="4"/>
      <c r="AQ15" s="4"/>
      <c r="AR15" s="4"/>
      <c r="AS15" s="78" t="str">
        <f>"COMMENT ON COLUMN "&amp;エンティティ一覧!$O$2&amp;"."&amp;D$8&amp;"."&amp;D15&amp;" IS '"&amp;C15&amp;"';"</f>
        <v>COMMENT ON COLUMN milscm_2023_009.sny_202310_backup_mart_shikkan_department.department_kubun IS '診療科名区分';</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ENT_01_A1-06</v>
      </c>
      <c r="E6" s="251"/>
      <c r="F6" s="251"/>
      <c r="G6" s="251"/>
      <c r="H6" s="251"/>
      <c r="I6" s="251"/>
      <c r="J6" s="252"/>
    </row>
    <row r="7" spans="1:45">
      <c r="B7" s="240" t="s">
        <v>115</v>
      </c>
      <c r="C7" s="241"/>
      <c r="D7" s="242" t="s">
        <v>1826</v>
      </c>
      <c r="E7" s="243"/>
      <c r="F7" s="243"/>
      <c r="G7" s="243"/>
      <c r="H7" s="243"/>
      <c r="I7" s="243"/>
      <c r="J7" s="244"/>
    </row>
    <row r="8" spans="1:45">
      <c r="B8" s="240" t="s">
        <v>116</v>
      </c>
      <c r="C8" s="241"/>
      <c r="D8" s="242" t="str">
        <f>エンティティ一覧!AE2&amp;"_"&amp;D5&amp;"_mart_nyu_tai_in"</f>
        <v>sny_202310_backup_mart_nyu_tai_in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入院退院データテーブルから組入れ条件の第一条件で絞り込んだ結果を格納するテーブル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milscm_2023_009.sny_202310_backup_mart_nyu_tai_in;</v>
      </c>
      <c r="O10" s="78"/>
      <c r="P10" s="78"/>
      <c r="Q10" s="78"/>
      <c r="R10" s="78"/>
      <c r="S10" s="78"/>
      <c r="T10" s="78"/>
      <c r="AJ10" s="78" t="str">
        <f>"ALTER TABLE ONLY "&amp;エンティティ一覧!$O$2&amp;"."&amp;D$8</f>
        <v>ALTER TABLE ONLY milscm_2023_009.sny_202310_backup_mart_nyu_tai_in</v>
      </c>
      <c r="AS10" s="78" t="str">
        <f>"ALTER TABLE "&amp;エンティティ一覧!$O$2&amp;"."&amp;D$8&amp;" OWNER TO pgmisgrp1;"</f>
        <v>ALTER TABLE milscm_2023_009.sny_202310_backup_mart_nyu_tai_in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milscm_2023_009.sny_202310_backup_mart_nyu_tai_in</v>
      </c>
      <c r="O11" s="78"/>
      <c r="P11" s="78"/>
      <c r="Q11" s="78"/>
      <c r="R11" s="78"/>
      <c r="S11" s="78"/>
      <c r="T11" s="78"/>
      <c r="AJ11" s="78" t="str">
        <f>"ADD CONSTRAINT "&amp;D$8&amp;"_pkey PRIMARY KEY"</f>
        <v>ADD CONSTRAINT sny_202310_backup_mart_nyu_tai_in_pkey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739</v>
      </c>
      <c r="G14" s="7" t="str">
        <f t="shared" ref="G14:G17" si="3">IF(F14="フラグ","boolean",IF(F14="文字列","text",IF(F14="整数","integer",IF(F14="実数","numeric",""))))</f>
        <v>text</v>
      </c>
      <c r="H14" s="26"/>
      <c r="I14" s="10" t="s">
        <v>127</v>
      </c>
      <c r="J14" s="11" t="s">
        <v>1835</v>
      </c>
      <c r="M14" s="4"/>
      <c r="N14" s="78"/>
      <c r="O14" s="78"/>
      <c r="P14" s="78" t="str">
        <f t="shared" ref="P14:P17" si="4">IF(B14&lt;&gt;1,","&amp;D14,D14)</f>
        <v>,facility_id</v>
      </c>
      <c r="Q14" s="78" t="str">
        <f t="shared" ref="Q14:Q17" si="5">UPPER(G14)</f>
        <v>TEXT</v>
      </c>
      <c r="R14" s="78" t="str">
        <f t="shared" ref="R14:R17" si="6">IF(H14&lt;&gt;"","default "&amp;IF(G14="text","'"&amp;H14&amp;"'",H14),"")</f>
        <v/>
      </c>
      <c r="S14" s="78" t="str">
        <f t="shared" ref="S14:S17" si="7">IF(I14="○","NOT NULL","")</f>
        <v>NOT NULL</v>
      </c>
      <c r="T14" s="78" t="str">
        <f t="shared" ref="T14:T17" si="8">"--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5"/>
        <v>TEXT</v>
      </c>
      <c r="R15" s="78" t="str">
        <f t="shared" si="6"/>
        <v/>
      </c>
      <c r="S15" s="78" t="str">
        <f t="shared" si="7"/>
        <v>NOT NULL</v>
      </c>
      <c r="T15" s="78" t="str">
        <f t="shared" si="8"/>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5"/>
        <v>TEXT</v>
      </c>
      <c r="R16" s="78" t="str">
        <f t="shared" si="6"/>
        <v/>
      </c>
      <c r="S16" s="78" t="str">
        <f t="shared" si="7"/>
        <v>NOT NULL</v>
      </c>
      <c r="T16" s="78" t="str">
        <f t="shared" si="8"/>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5"/>
        <v>TEXT</v>
      </c>
      <c r="R17" s="78" t="str">
        <f t="shared" si="6"/>
        <v/>
      </c>
      <c r="S17" s="78" t="str">
        <f t="shared" si="7"/>
        <v>NOT NULL</v>
      </c>
      <c r="T17" s="78" t="str">
        <f t="shared" si="8"/>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1832</v>
      </c>
      <c r="D18" s="6" t="s">
        <v>212</v>
      </c>
      <c r="E18" s="8" t="s">
        <v>127</v>
      </c>
      <c r="F18" s="7" t="s">
        <v>1757</v>
      </c>
      <c r="G18" s="7" t="str">
        <f t="shared" ref="G18:G19" si="10">IF(F18="フラグ","boolean",IF(F18="文字列","text",IF(F18="整数","integer",IF(F18="実数","numeric",""))))</f>
        <v>text</v>
      </c>
      <c r="H18" s="26"/>
      <c r="I18" s="10" t="s">
        <v>127</v>
      </c>
      <c r="J18" s="11" t="s">
        <v>1835</v>
      </c>
      <c r="M18" s="4"/>
      <c r="N18" s="78"/>
      <c r="O18" s="78"/>
      <c r="P18" s="78" t="str">
        <f t="shared" ref="P18:P19" si="11">IF(B18&lt;&gt;1,","&amp;D18,D18)</f>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milscm_2023_009.sny_202310_backup_mart_nyu_tai_in.taiin_ymd IS '退院年月日';</v>
      </c>
    </row>
    <row r="19" spans="1:52" s="25" customFormat="1" ht="35.4" thickBot="1">
      <c r="A19" s="4"/>
      <c r="B19" s="27">
        <f>ROW()-12</f>
        <v>7</v>
      </c>
      <c r="C19" s="57" t="s">
        <v>1833</v>
      </c>
      <c r="D19" s="57" t="s">
        <v>1834</v>
      </c>
      <c r="E19" s="56"/>
      <c r="F19" s="56" t="s">
        <v>1757</v>
      </c>
      <c r="G19" s="56" t="str">
        <f t="shared" si="10"/>
        <v>text</v>
      </c>
      <c r="H19" s="59"/>
      <c r="I19" s="60" t="s">
        <v>127</v>
      </c>
      <c r="J19" s="64" t="s">
        <v>1838</v>
      </c>
      <c r="N19" s="78"/>
      <c r="O19" s="78"/>
      <c r="P19" s="78" t="str">
        <f t="shared" si="11"/>
        <v>,nyuinchu_flg</v>
      </c>
      <c r="Q19" s="78" t="str">
        <f t="shared" si="0"/>
        <v>TEXT</v>
      </c>
      <c r="R19" s="78" t="str">
        <f t="shared" si="1"/>
        <v/>
      </c>
      <c r="S19" s="78" t="str">
        <f t="shared" ref="S19" si="12">IF(I19="○","NOT NULL","")</f>
        <v>NOT NULL</v>
      </c>
      <c r="T19" s="78" t="str">
        <f t="shared" ref="T19" si="13">"--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3722</v>
      </c>
      <c r="C4" s="225"/>
      <c r="D4" s="226" t="str">
        <f>VLOOKUP(D7,エンティティ一覧!A1:'エンティティ一覧'!AM10147,2,FALSE)</f>
        <v>01</v>
      </c>
      <c r="E4" s="227"/>
      <c r="F4" s="227"/>
      <c r="G4" s="227"/>
      <c r="H4" s="227"/>
      <c r="I4" s="227"/>
      <c r="J4" s="228"/>
    </row>
    <row r="5" spans="1:52">
      <c r="B5" s="240" t="s">
        <v>3723</v>
      </c>
      <c r="C5" s="241"/>
      <c r="D5" s="250" t="str">
        <f>VLOOKUP(D7,エンティティ一覧!A1:'エンティティ一覧'!AM10147,7,FALSE)</f>
        <v>backup</v>
      </c>
      <c r="E5" s="251"/>
      <c r="F5" s="251"/>
      <c r="G5" s="251"/>
      <c r="H5" s="251"/>
      <c r="I5" s="251"/>
      <c r="J5" s="252"/>
    </row>
    <row r="6" spans="1:52">
      <c r="B6" s="240" t="s">
        <v>3724</v>
      </c>
      <c r="C6" s="241"/>
      <c r="D6" s="250" t="str">
        <f>VLOOKUP(D7,エンティティ一覧!A1:'エンティティ一覧'!AM10147,15,FALSE)</f>
        <v>ENT_01_A1-07</v>
      </c>
      <c r="E6" s="251"/>
      <c r="F6" s="251"/>
      <c r="G6" s="251"/>
      <c r="H6" s="251"/>
      <c r="I6" s="251"/>
      <c r="J6" s="252"/>
    </row>
    <row r="7" spans="1:52">
      <c r="B7" s="240" t="s">
        <v>115</v>
      </c>
      <c r="C7" s="241"/>
      <c r="D7" s="242" t="s">
        <v>1839</v>
      </c>
      <c r="E7" s="243"/>
      <c r="F7" s="243"/>
      <c r="G7" s="243"/>
      <c r="H7" s="243"/>
      <c r="I7" s="243"/>
      <c r="J7" s="244"/>
    </row>
    <row r="8" spans="1:52">
      <c r="B8" s="240" t="s">
        <v>116</v>
      </c>
      <c r="C8" s="241"/>
      <c r="D8" s="242" t="str">
        <f>エンティティ一覧!AE2&amp;"_"&amp;D5&amp;"_mart_2riyo_patient_id"</f>
        <v>sny_202310_backup_mart_2riyo_patient_id</v>
      </c>
      <c r="E8" s="243"/>
      <c r="F8" s="243"/>
      <c r="G8" s="243"/>
      <c r="H8" s="243"/>
      <c r="I8" s="243"/>
      <c r="J8" s="244"/>
    </row>
    <row r="9" spans="1:52" ht="19.5" customHeight="1" thickBot="1">
      <c r="B9" s="245" t="s">
        <v>117</v>
      </c>
      <c r="C9" s="246"/>
      <c r="D9" s="247"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48"/>
      <c r="F9" s="248"/>
      <c r="G9" s="248"/>
      <c r="H9" s="248"/>
      <c r="I9" s="248"/>
      <c r="J9" s="249"/>
    </row>
    <row r="10" spans="1:52">
      <c r="B10" s="19"/>
      <c r="C10" s="19"/>
      <c r="D10" s="5"/>
      <c r="E10" s="5"/>
      <c r="F10" s="5"/>
      <c r="G10" s="5"/>
      <c r="H10" s="5"/>
      <c r="I10" s="5"/>
      <c r="J10" s="18"/>
      <c r="N10" s="78" t="str">
        <f>"--DROP TABLE  "&amp;エンティティ一覧!$O$2&amp;"."&amp;D$8&amp;";"</f>
        <v>--DROP TABLE  milscm_2023_009.sny_202310_backup_mart_2riyo_patient_id;</v>
      </c>
      <c r="O10" s="78"/>
      <c r="P10" s="78"/>
      <c r="Q10" s="78"/>
      <c r="R10" s="78"/>
      <c r="S10" s="78"/>
      <c r="T10" s="78"/>
      <c r="AJ10" s="78" t="str">
        <f>"ALTER TABLE ONLY "&amp;エンティティ一覧!$O$2&amp;"."&amp;D$8</f>
        <v>ALTER TABLE ONLY milscm_2023_009.sny_202310_backup_mart_2riyo_patient_id</v>
      </c>
      <c r="AS10" s="78" t="str">
        <f>"ALTER TABLE "&amp;エンティティ一覧!$O$2&amp;"."&amp;D$8&amp;" OWNER TO pgmisgrp1;"</f>
        <v>ALTER TABLE milscm_2023_009.sny_202310_backup_mart_2riyo_patient_id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milscm_2023_009.sny_202310_backup_mart_2riyo_patient_id</v>
      </c>
      <c r="O11" s="78"/>
      <c r="P11" s="78"/>
      <c r="Q11" s="78"/>
      <c r="R11" s="78"/>
      <c r="S11" s="78"/>
      <c r="T11" s="78"/>
      <c r="AJ11" s="78" t="str">
        <f>"ADD CONSTRAINT "&amp;D$8&amp;"_pkey PRIMARY KEY"</f>
        <v>ADD CONSTRAINT sny_202310_backup_mart_2riyo_patient_id_pkey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1840</v>
      </c>
      <c r="D14" s="6" t="s">
        <v>208</v>
      </c>
      <c r="E14" s="8" t="s">
        <v>127</v>
      </c>
      <c r="F14" s="7" t="s">
        <v>1841</v>
      </c>
      <c r="G14" s="7" t="str">
        <f t="shared" ref="G14:G15" si="3">IF(F14="フラグ","boolean",IF(F14="文字列","text",IF(F14="整数","integer",IF(F14="実数","numeric",""))))</f>
        <v>text</v>
      </c>
      <c r="H14" s="26"/>
      <c r="I14" s="10" t="s">
        <v>127</v>
      </c>
      <c r="J14" s="11" t="s">
        <v>1844</v>
      </c>
      <c r="M14" s="4"/>
      <c r="N14" s="78"/>
      <c r="O14" s="78"/>
      <c r="P14" s="78" t="str">
        <f t="shared" ref="P14:P15" si="4">IF(B14&lt;&gt;1,","&amp;D14,D14)</f>
        <v>,data_type</v>
      </c>
      <c r="Q14" s="78" t="str">
        <f t="shared" si="0"/>
        <v>TEXT</v>
      </c>
      <c r="R14" s="78" t="str">
        <f t="shared" si="1"/>
        <v/>
      </c>
      <c r="S14" s="78" t="str">
        <f t="shared" ref="S14" si="5">IF(I14="○","NOT NULL","")</f>
        <v>NOT NULL</v>
      </c>
      <c r="T14" s="78" t="str">
        <f t="shared" ref="T14" si="6">"-- "&amp;C14</f>
        <v>-- データ種別</v>
      </c>
      <c r="U14" s="4"/>
      <c r="AA14" s="4"/>
      <c r="AB14" s="4"/>
      <c r="AC14" s="4"/>
      <c r="AD14" s="4"/>
      <c r="AE14" s="4"/>
      <c r="AF14" s="4"/>
      <c r="AG14" s="4"/>
      <c r="AH14" s="4"/>
      <c r="AI14" s="4"/>
      <c r="AJ14" s="78" t="str">
        <f>IF(E14="○",IF(COUNTA(E$13:E14)=1,"",",")&amp;D14,"")</f>
        <v>,data_type</v>
      </c>
      <c r="AK14" s="4"/>
      <c r="AL14" s="4"/>
      <c r="AM14" s="4"/>
      <c r="AN14" s="4"/>
      <c r="AO14" s="4"/>
      <c r="AP14" s="4"/>
      <c r="AQ14" s="4"/>
      <c r="AR14" s="4"/>
      <c r="AS14" s="78" t="str">
        <f>"COMMENT ON COLUMN "&amp;エンティティ一覧!$O$2&amp;"."&amp;D$8&amp;"."&amp;D14&amp;" IS '"&amp;C14&amp;"';"</f>
        <v>COMMENT ON COLUMN milscm_2023_009.sny_202310_backup_mart_2riyo_patient_id.data_type IS 'データ種別';</v>
      </c>
    </row>
    <row r="15" spans="1:52" s="25" customFormat="1" ht="18" thickBot="1">
      <c r="A15" s="4"/>
      <c r="B15" s="27">
        <f>ROW()-12</f>
        <v>3</v>
      </c>
      <c r="C15" s="57" t="s">
        <v>1842</v>
      </c>
      <c r="D15" s="57" t="s">
        <v>1843</v>
      </c>
      <c r="E15" s="56" t="s">
        <v>127</v>
      </c>
      <c r="F15" s="56" t="s">
        <v>1757</v>
      </c>
      <c r="G15" s="56" t="str">
        <f t="shared" si="3"/>
        <v>text</v>
      </c>
      <c r="H15" s="59"/>
      <c r="I15" s="60" t="s">
        <v>127</v>
      </c>
      <c r="J15" s="64"/>
      <c r="N15" s="78"/>
      <c r="O15" s="78"/>
      <c r="P15" s="78" t="str">
        <f t="shared" si="4"/>
        <v>,patient_id</v>
      </c>
      <c r="Q15" s="78" t="str">
        <f t="shared" si="0"/>
        <v>TEXT</v>
      </c>
      <c r="R15" s="78" t="str">
        <f t="shared" si="1"/>
        <v/>
      </c>
      <c r="S15" s="78" t="str">
        <f t="shared" ref="S15" si="7">IF(I15="○","NOT NULL","")</f>
        <v>NOT NULL</v>
      </c>
      <c r="T15" s="78" t="str">
        <f t="shared" ref="T15" si="8">"-- "&amp;C15</f>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milscm_2023_009.sny_202310_backup_mart_2riyo_patient_id.patient_id IS '患者ID';</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ENT_01_A1-08</v>
      </c>
      <c r="E6" s="251"/>
      <c r="F6" s="251"/>
      <c r="G6" s="251"/>
      <c r="H6" s="251"/>
      <c r="I6" s="251"/>
      <c r="J6" s="252"/>
    </row>
    <row r="7" spans="1:45">
      <c r="B7" s="240" t="s">
        <v>115</v>
      </c>
      <c r="C7" s="241"/>
      <c r="D7" s="242" t="s">
        <v>1845</v>
      </c>
      <c r="E7" s="243"/>
      <c r="F7" s="243"/>
      <c r="G7" s="243"/>
      <c r="H7" s="243"/>
      <c r="I7" s="243"/>
      <c r="J7" s="244"/>
    </row>
    <row r="8" spans="1:45">
      <c r="B8" s="240" t="s">
        <v>116</v>
      </c>
      <c r="C8" s="241"/>
      <c r="D8" s="242" t="str">
        <f>エンティティ一覧!AE2&amp;"_"&amp;D5&amp;"_mart_2riyo_patient_id_dpc"</f>
        <v>sny_202310_backup_mart_2riyo_patient_id_dpc</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milscm_2023_009.sny_202310_backup_mart_2riyo_patient_id_dpc;</v>
      </c>
      <c r="O10" s="78"/>
      <c r="P10" s="78"/>
      <c r="Q10" s="78"/>
      <c r="R10" s="78"/>
      <c r="S10" s="78"/>
      <c r="T10" s="78"/>
      <c r="AJ10" s="78" t="str">
        <f>"ALTER TABLE ONLY "&amp;エンティティ一覧!$O$2&amp;"."&amp;D$8</f>
        <v>ALTER TABLE ONLY milscm_2023_009.sny_202310_backup_mart_2riyo_patient_id_dpc</v>
      </c>
      <c r="AS10" s="78" t="str">
        <f>"ALTER TABLE "&amp;エンティティ一覧!$O$2&amp;"."&amp;D$8&amp;" OWNER TO pgmisgrp1;"</f>
        <v>ALTER TABLE milscm_2023_009.sny_202310_backup_mart_2riyo_patient_id_dpc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milscm_2023_009.sny_202310_backup_mart_2riyo_patient_id_dpc</v>
      </c>
      <c r="O11" s="78"/>
      <c r="P11" s="78"/>
      <c r="Q11" s="78"/>
      <c r="R11" s="78"/>
      <c r="S11" s="78"/>
      <c r="T11" s="78"/>
      <c r="AJ11" s="78" t="str">
        <f>"ADD CONSTRAINT "&amp;D$8&amp;"_pkey PRIMARY KEY"</f>
        <v>ADD CONSTRAINT sny_202310_backup_mart_2riyo_patient_id_dpc_pkey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milscm_2023_009.sny_202310_backup_mart_2riyo_patient_id_dpc.shinryo_ym_max IS '診療年月_最大';</v>
      </c>
    </row>
    <row r="18" spans="1:52" s="25" customFormat="1" ht="52.2">
      <c r="A18" s="4"/>
      <c r="B18" s="21">
        <f t="shared" si="2"/>
        <v>6</v>
      </c>
      <c r="C18" s="6" t="s">
        <v>1851</v>
      </c>
      <c r="D18" s="6" t="s">
        <v>965</v>
      </c>
      <c r="E18" s="8" t="s">
        <v>127</v>
      </c>
      <c r="F18" s="7" t="s">
        <v>1757</v>
      </c>
      <c r="G18" s="7" t="str">
        <f t="shared" si="3"/>
        <v>text</v>
      </c>
      <c r="H18" s="26"/>
      <c r="I18" s="10" t="s">
        <v>127</v>
      </c>
      <c r="J18" s="11" t="s">
        <v>1853</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milscm_2023_009.sny_202310_backup_mart_2riyo_patient_id_dpc.sex_kubun IS '男女区分';</v>
      </c>
    </row>
    <row r="19" spans="1:52" s="25" customFormat="1" ht="87.6" thickBot="1">
      <c r="A19" s="4"/>
      <c r="B19" s="27">
        <f>ROW()-12</f>
        <v>7</v>
      </c>
      <c r="C19" s="57" t="s">
        <v>1852</v>
      </c>
      <c r="D19" s="57" t="s">
        <v>322</v>
      </c>
      <c r="E19" s="56" t="s">
        <v>127</v>
      </c>
      <c r="F19" s="56" t="s">
        <v>1757</v>
      </c>
      <c r="G19" s="56" t="str">
        <f t="shared" si="3"/>
        <v>text</v>
      </c>
      <c r="H19" s="59"/>
      <c r="I19" s="60" t="s">
        <v>127</v>
      </c>
      <c r="J19" s="64" t="s">
        <v>1854</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milscm_2023_009.sny_202310_backup_mart_2riyo_patient_id_dpc.birthday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ENT_01_A1-09</v>
      </c>
      <c r="E6" s="251"/>
      <c r="F6" s="251"/>
      <c r="G6" s="251"/>
      <c r="H6" s="251"/>
      <c r="I6" s="251"/>
      <c r="J6" s="252"/>
    </row>
    <row r="7" spans="1:45">
      <c r="B7" s="240" t="s">
        <v>115</v>
      </c>
      <c r="C7" s="241"/>
      <c r="D7" s="242" t="s">
        <v>1855</v>
      </c>
      <c r="E7" s="243"/>
      <c r="F7" s="243"/>
      <c r="G7" s="243"/>
      <c r="H7" s="243"/>
      <c r="I7" s="243"/>
      <c r="J7" s="244"/>
    </row>
    <row r="8" spans="1:45">
      <c r="B8" s="240" t="s">
        <v>116</v>
      </c>
      <c r="C8" s="241"/>
      <c r="D8" s="242" t="str">
        <f>エンティティ一覧!AE2&amp;"_"&amp;D5&amp;"_mart_2riyo_patient_id_rcp"</f>
        <v>sny_202310_backup_mart_2riyo_patient_id_rcp</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milscm_2023_009.sny_202310_backup_mart_2riyo_patient_id_rcp;</v>
      </c>
      <c r="O10" s="78"/>
      <c r="P10" s="78"/>
      <c r="Q10" s="78"/>
      <c r="R10" s="78"/>
      <c r="S10" s="78"/>
      <c r="T10" s="78"/>
      <c r="AJ10" s="78" t="str">
        <f>"ALTER TABLE ONLY "&amp;エンティティ一覧!$O$2&amp;"."&amp;D$8</f>
        <v>ALTER TABLE ONLY milscm_2023_009.sny_202310_backup_mart_2riyo_patient_id_rcp</v>
      </c>
      <c r="AS10" s="78" t="str">
        <f>"ALTER TABLE "&amp;エンティティ一覧!$O$2&amp;"."&amp;D$8&amp;" OWNER TO pgmisgrp1;"</f>
        <v>ALTER TABLE milscm_2023_009.sny_202310_backup_mart_2riyo_patient_id_rcp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milscm_2023_009.sny_202310_backup_mart_2riyo_patient_id_rcp</v>
      </c>
      <c r="O11" s="78"/>
      <c r="P11" s="78"/>
      <c r="Q11" s="78"/>
      <c r="R11" s="78"/>
      <c r="S11" s="78"/>
      <c r="T11" s="78"/>
      <c r="AJ11" s="78" t="str">
        <f>"ADD CONSTRAINT "&amp;D$8&amp;"_pkey PRIMARY KEY"</f>
        <v>ADD CONSTRAINT sny_202310_backup_mart_2riyo_patient_id_rcp_pkey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1851</v>
      </c>
      <c r="D18" s="6" t="s">
        <v>965</v>
      </c>
      <c r="E18" s="8" t="s">
        <v>127</v>
      </c>
      <c r="F18" s="7" t="s">
        <v>1757</v>
      </c>
      <c r="G18" s="7" t="str">
        <f t="shared" si="3"/>
        <v>text</v>
      </c>
      <c r="H18" s="26"/>
      <c r="I18" s="10" t="s">
        <v>127</v>
      </c>
      <c r="J18" s="11" t="s">
        <v>1856</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milscm_2023_009.sny_202310_backup_mart_2riyo_patient_id_rcp.sex_kubun IS '男女区分';</v>
      </c>
    </row>
    <row r="19" spans="1:52" s="25" customFormat="1" ht="52.8" thickBot="1">
      <c r="A19" s="4"/>
      <c r="B19" s="27">
        <f>ROW()-12</f>
        <v>7</v>
      </c>
      <c r="C19" s="57" t="s">
        <v>1852</v>
      </c>
      <c r="D19" s="57" t="s">
        <v>322</v>
      </c>
      <c r="E19" s="56" t="s">
        <v>127</v>
      </c>
      <c r="F19" s="56" t="s">
        <v>1757</v>
      </c>
      <c r="G19" s="56" t="str">
        <f t="shared" si="3"/>
        <v>text</v>
      </c>
      <c r="H19" s="59"/>
      <c r="I19" s="60" t="s">
        <v>127</v>
      </c>
      <c r="J19" s="64" t="s">
        <v>1857</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milscm_2023_009.sny_202310_backup_mart_2riyo_patient_id_rcp.birthday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ENT_01_A1-10</v>
      </c>
      <c r="E6" s="251"/>
      <c r="F6" s="251"/>
      <c r="G6" s="251"/>
      <c r="H6" s="251"/>
      <c r="I6" s="251"/>
      <c r="J6" s="252"/>
    </row>
    <row r="7" spans="1:45">
      <c r="B7" s="240" t="s">
        <v>115</v>
      </c>
      <c r="C7" s="241"/>
      <c r="D7" s="242" t="s">
        <v>1858</v>
      </c>
      <c r="E7" s="243"/>
      <c r="F7" s="243"/>
      <c r="G7" s="243"/>
      <c r="H7" s="243"/>
      <c r="I7" s="243"/>
      <c r="J7" s="244"/>
    </row>
    <row r="8" spans="1:45">
      <c r="B8" s="240" t="s">
        <v>116</v>
      </c>
      <c r="C8" s="241"/>
      <c r="D8" s="242" t="str">
        <f>エンティティ一覧!AE2&amp;"_"&amp;D5&amp;"_mart_2riyo_patient_id_mml"</f>
        <v>sny_202310_backup_mart_2riyo_patient_id_mml</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milscm_2023_009.sny_202310_backup_mart_2riyo_patient_id_mml;</v>
      </c>
      <c r="O10" s="78"/>
      <c r="P10" s="78"/>
      <c r="Q10" s="78"/>
      <c r="R10" s="78"/>
      <c r="S10" s="78"/>
      <c r="T10" s="78"/>
      <c r="AJ10" s="78" t="str">
        <f>"ALTER TABLE ONLY "&amp;エンティティ一覧!$O$2&amp;"."&amp;D$8</f>
        <v>ALTER TABLE ONLY milscm_2023_009.sny_202310_backup_mart_2riyo_patient_id_mml</v>
      </c>
      <c r="AS10" s="78" t="str">
        <f>"ALTER TABLE "&amp;エンティティ一覧!$O$2&amp;"."&amp;D$8&amp;" OWNER TO pgmisgrp1;"</f>
        <v>ALTER TABLE milscm_2023_009.sny_202310_backup_mart_2riyo_patient_id_mml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milscm_2023_009.sny_202310_backup_mart_2riyo_patient_id_mml</v>
      </c>
      <c r="O11" s="78"/>
      <c r="P11" s="78"/>
      <c r="Q11" s="78"/>
      <c r="R11" s="78"/>
      <c r="S11" s="78"/>
      <c r="T11" s="78"/>
      <c r="AJ11" s="78" t="str">
        <f>"ADD CONSTRAINT "&amp;D$8&amp;"_pkey PRIMARY KEY"</f>
        <v>ADD CONSTRAINT sny_202310_backup_mart_2riyo_patient_id_mml_pkey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milscm_2023_009.sny_202310_backup_mart_2riyo_patient_id_mml.patient_id IS '患者ID';</v>
      </c>
    </row>
    <row r="16" spans="1:45" s="25" customFormat="1" ht="34.799999999999997">
      <c r="A16" s="4"/>
      <c r="B16" s="21">
        <f t="shared" si="2"/>
        <v>4</v>
      </c>
      <c r="C16" s="6" t="s">
        <v>1851</v>
      </c>
      <c r="D16" s="6" t="s">
        <v>965</v>
      </c>
      <c r="E16" s="8" t="s">
        <v>127</v>
      </c>
      <c r="F16" s="7" t="s">
        <v>1757</v>
      </c>
      <c r="G16" s="7" t="str">
        <f t="shared" si="3"/>
        <v>text</v>
      </c>
      <c r="H16" s="26"/>
      <c r="I16" s="10" t="s">
        <v>127</v>
      </c>
      <c r="J16" s="11" t="s">
        <v>1859</v>
      </c>
      <c r="M16" s="4"/>
      <c r="N16" s="78"/>
      <c r="O16" s="78"/>
      <c r="P16" s="78" t="str">
        <f t="shared" si="4"/>
        <v>,sex_kubun</v>
      </c>
      <c r="Q16" s="78" t="str">
        <f t="shared" si="0"/>
        <v>TEXT</v>
      </c>
      <c r="R16" s="78" t="str">
        <f t="shared" si="1"/>
        <v/>
      </c>
      <c r="S16" s="78" t="str">
        <f t="shared" si="5"/>
        <v>NOT NULL</v>
      </c>
      <c r="T16" s="78" t="str">
        <f t="shared" si="6"/>
        <v>-- 男女区分</v>
      </c>
      <c r="U16" s="4"/>
      <c r="AA16" s="4"/>
      <c r="AB16" s="4"/>
      <c r="AC16" s="4"/>
      <c r="AD16" s="4"/>
      <c r="AE16" s="4"/>
      <c r="AF16" s="4"/>
      <c r="AG16" s="4"/>
      <c r="AH16" s="4"/>
      <c r="AI16" s="4"/>
      <c r="AJ16" s="78" t="str">
        <f>IF(E16="○",IF(COUNTA(E$13:E16)=1,"",",")&amp;D16,"")</f>
        <v>,sex_kubun</v>
      </c>
      <c r="AK16" s="4"/>
      <c r="AL16" s="4"/>
      <c r="AM16" s="4"/>
      <c r="AN16" s="4"/>
      <c r="AO16" s="4"/>
      <c r="AP16" s="4"/>
      <c r="AQ16" s="4"/>
      <c r="AR16" s="4"/>
      <c r="AS16" s="78" t="str">
        <f>"COMMENT ON COLUMN "&amp;エンティティ一覧!$O$2&amp;"."&amp;D$8&amp;"."&amp;D16&amp;" IS '"&amp;C16&amp;"';"</f>
        <v>COMMENT ON COLUMN milscm_2023_009.sny_202310_backup_mart_2riyo_patient_id_mml.sex_kubun IS '男女区分';</v>
      </c>
    </row>
    <row r="17" spans="1:52" s="25" customFormat="1" ht="52.2">
      <c r="A17" s="4"/>
      <c r="B17" s="21">
        <f t="shared" si="2"/>
        <v>5</v>
      </c>
      <c r="C17" s="6" t="s">
        <v>1852</v>
      </c>
      <c r="D17" s="6" t="s">
        <v>322</v>
      </c>
      <c r="E17" s="8" t="s">
        <v>127</v>
      </c>
      <c r="F17" s="7" t="s">
        <v>1757</v>
      </c>
      <c r="G17" s="7" t="str">
        <f t="shared" si="3"/>
        <v>text</v>
      </c>
      <c r="H17" s="26"/>
      <c r="I17" s="10" t="s">
        <v>127</v>
      </c>
      <c r="J17" s="11" t="s">
        <v>1857</v>
      </c>
      <c r="M17" s="4"/>
      <c r="N17" s="78"/>
      <c r="O17" s="78"/>
      <c r="P17" s="78" t="str">
        <f t="shared" si="4"/>
        <v>,birthday</v>
      </c>
      <c r="Q17" s="78" t="str">
        <f t="shared" si="0"/>
        <v>TEXT</v>
      </c>
      <c r="R17" s="78" t="str">
        <f t="shared" si="1"/>
        <v/>
      </c>
      <c r="S17" s="78" t="str">
        <f t="shared" si="5"/>
        <v>NOT NULL</v>
      </c>
      <c r="T17" s="78" t="str">
        <f t="shared" si="6"/>
        <v>-- 生年月日</v>
      </c>
      <c r="U17" s="4"/>
      <c r="AA17" s="4"/>
      <c r="AB17" s="4"/>
      <c r="AC17" s="4"/>
      <c r="AD17" s="4"/>
      <c r="AE17" s="4"/>
      <c r="AF17" s="4"/>
      <c r="AG17" s="4"/>
      <c r="AH17" s="4"/>
      <c r="AI17" s="4"/>
      <c r="AJ17" s="78" t="str">
        <f>IF(E17="○",IF(COUNTA(E$13:E17)=1,"",",")&amp;D17,"")</f>
        <v>,birthday</v>
      </c>
      <c r="AK17" s="4"/>
      <c r="AL17" s="4"/>
      <c r="AM17" s="4"/>
      <c r="AN17" s="4"/>
      <c r="AO17" s="4"/>
      <c r="AP17" s="4"/>
      <c r="AQ17" s="4"/>
      <c r="AR17" s="4"/>
      <c r="AS17" s="78" t="str">
        <f>"COMMENT ON COLUMN "&amp;エンティティ一覧!$O$2&amp;"."&amp;D$8&amp;"."&amp;D17&amp;" IS '"&amp;C17&amp;"';"</f>
        <v>COMMENT ON COLUMN milscm_2023_009.sny_202310_backup_mart_2riyo_patient_id_mml.birthday IS '生年月日';</v>
      </c>
    </row>
    <row r="18" spans="1:52" s="25" customFormat="1" ht="52.2">
      <c r="A18" s="4"/>
      <c r="B18" s="21">
        <f t="shared" si="2"/>
        <v>6</v>
      </c>
      <c r="C18" s="6" t="s">
        <v>1298</v>
      </c>
      <c r="D18" s="6" t="s">
        <v>1299</v>
      </c>
      <c r="E18" s="8" t="s">
        <v>127</v>
      </c>
      <c r="F18" s="7" t="s">
        <v>317</v>
      </c>
      <c r="G18" s="7" t="str">
        <f t="shared" si="3"/>
        <v>text</v>
      </c>
      <c r="H18" s="26"/>
      <c r="I18" s="10" t="s">
        <v>127</v>
      </c>
      <c r="J18" s="11" t="s">
        <v>1860</v>
      </c>
      <c r="M18" s="4"/>
      <c r="N18" s="78"/>
      <c r="O18" s="78"/>
      <c r="P18" s="78" t="str">
        <f t="shared" si="4"/>
        <v>,death_flag</v>
      </c>
      <c r="Q18" s="78" t="str">
        <f t="shared" si="0"/>
        <v>TEXT</v>
      </c>
      <c r="R18" s="78" t="str">
        <f t="shared" si="1"/>
        <v/>
      </c>
      <c r="S18" s="78" t="str">
        <f>IF(I18="○","NOT NULL","")</f>
        <v>NOT NULL</v>
      </c>
      <c r="T18" s="78" t="str">
        <f>"-- "&amp;C18</f>
        <v>-- 死亡フラグ</v>
      </c>
      <c r="U18" s="4"/>
      <c r="AA18" s="4"/>
      <c r="AB18" s="4"/>
      <c r="AC18" s="4"/>
      <c r="AD18" s="4"/>
      <c r="AE18" s="4"/>
      <c r="AF18" s="4"/>
      <c r="AG18" s="4"/>
      <c r="AH18" s="4"/>
      <c r="AI18" s="4"/>
      <c r="AJ18" s="78" t="str">
        <f>IF(E18="○",IF(COUNTA(E$13:E18)=1,"",",")&amp;D18,"")</f>
        <v>,death_flag</v>
      </c>
      <c r="AK18" s="4"/>
      <c r="AL18" s="4"/>
      <c r="AM18" s="4"/>
      <c r="AN18" s="4"/>
      <c r="AO18" s="4"/>
      <c r="AP18" s="4"/>
      <c r="AQ18" s="4"/>
      <c r="AR18" s="4"/>
      <c r="AS18" s="78" t="str">
        <f>"COMMENT ON COLUMN "&amp;エンティティ一覧!$O$2&amp;"."&amp;D$8&amp;"."&amp;D18&amp;" IS '"&amp;C18&amp;"';"</f>
        <v>COMMENT ON COLUMN milscm_2023_009.sny_202310_backup_mart_2riyo_patient_id_mml.death_flag IS '死亡フラグ';</v>
      </c>
    </row>
    <row r="19" spans="1:52" s="25" customFormat="1" ht="52.8" thickBot="1">
      <c r="A19" s="4"/>
      <c r="B19" s="27">
        <f>ROW()-12</f>
        <v>7</v>
      </c>
      <c r="C19" s="57" t="s">
        <v>1300</v>
      </c>
      <c r="D19" s="57" t="s">
        <v>1301</v>
      </c>
      <c r="E19" s="56" t="s">
        <v>127</v>
      </c>
      <c r="F19" s="56" t="s">
        <v>317</v>
      </c>
      <c r="G19" s="56" t="str">
        <f t="shared" si="3"/>
        <v>text</v>
      </c>
      <c r="H19" s="59"/>
      <c r="I19" s="60" t="s">
        <v>127</v>
      </c>
      <c r="J19" s="64" t="s">
        <v>1861</v>
      </c>
      <c r="N19" s="78"/>
      <c r="O19" s="78"/>
      <c r="P19" s="78" t="str">
        <f t="shared" si="4"/>
        <v>,death_date</v>
      </c>
      <c r="Q19" s="78" t="str">
        <f t="shared" si="0"/>
        <v>TEXT</v>
      </c>
      <c r="R19" s="78" t="str">
        <f t="shared" si="1"/>
        <v/>
      </c>
      <c r="S19" s="78" t="str">
        <f t="shared" ref="S19" si="7">IF(I19="○","NOT NULL","")</f>
        <v>NOT NULL</v>
      </c>
      <c r="T19" s="78" t="str">
        <f t="shared" ref="T19" si="8">"-- "&amp;C19</f>
        <v>-- 死亡日時</v>
      </c>
      <c r="U19" s="4"/>
      <c r="AA19" s="4"/>
      <c r="AB19" s="4"/>
      <c r="AC19" s="4"/>
      <c r="AD19" s="4"/>
      <c r="AE19" s="4"/>
      <c r="AF19" s="4"/>
      <c r="AG19" s="4"/>
      <c r="AH19" s="4"/>
      <c r="AI19" s="4"/>
      <c r="AJ19" s="78" t="str">
        <f>IF(E19="○",IF(COUNTA(E$13:E19)=1,"",",")&amp;D19,"")</f>
        <v>,death_date</v>
      </c>
      <c r="AK19" s="4"/>
      <c r="AL19" s="4"/>
      <c r="AM19" s="4"/>
      <c r="AN19" s="4"/>
      <c r="AO19" s="4"/>
      <c r="AP19" s="4"/>
      <c r="AQ19" s="4"/>
      <c r="AR19" s="4"/>
      <c r="AS19" s="78" t="str">
        <f>"COMMENT ON COLUMN "&amp;エンティティ一覧!$O$2&amp;"."&amp;D$8&amp;"."&amp;D19&amp;" IS '"&amp;C19&amp;"';"</f>
        <v>COMMENT ON COLUMN milscm_2023_009.sny_202310_backup_mart_2riyo_patient_id_mml.death_date IS '死亡日時';</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ENT_01_A1-11</v>
      </c>
      <c r="E6" s="251"/>
      <c r="F6" s="251"/>
      <c r="G6" s="251"/>
      <c r="H6" s="251"/>
      <c r="I6" s="251"/>
      <c r="J6" s="252"/>
    </row>
    <row r="7" spans="1:45">
      <c r="B7" s="240" t="s">
        <v>115</v>
      </c>
      <c r="C7" s="241"/>
      <c r="D7" s="242" t="s">
        <v>1862</v>
      </c>
      <c r="E7" s="243"/>
      <c r="F7" s="243"/>
      <c r="G7" s="243"/>
      <c r="H7" s="243"/>
      <c r="I7" s="243"/>
      <c r="J7" s="244"/>
    </row>
    <row r="8" spans="1:45">
      <c r="B8" s="240" t="s">
        <v>116</v>
      </c>
      <c r="C8" s="241"/>
      <c r="D8" s="242" t="str">
        <f>エンティティ一覧!AE2&amp;"_"&amp;D5&amp;"_mart_2riyo_patient_himoduke"</f>
        <v>sny_202310_backup_mart_2riyo_patient_himoduke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milscm_2023_009.sny_202310_backup_mart_2riyo_patient_himoduke;</v>
      </c>
      <c r="O10" s="78"/>
      <c r="P10" s="78"/>
      <c r="Q10" s="78"/>
      <c r="R10" s="78"/>
      <c r="S10" s="78"/>
      <c r="T10" s="78"/>
      <c r="AJ10" s="78" t="str">
        <f>"ALTER TABLE ONLY "&amp;エンティティ一覧!$O$2&amp;"."&amp;D$8</f>
        <v>ALTER TABLE ONLY milscm_2023_009.sny_202310_backup_mart_2riyo_patient_himoduke</v>
      </c>
      <c r="AS10" s="78" t="str">
        <f>"ALTER TABLE "&amp;エンティティ一覧!$O$2&amp;"."&amp;D$8&amp;" OWNER TO pgmisgrp1;"</f>
        <v>ALTER TABLE milscm_2023_009.sny_202310_backup_mart_2riyo_patient_himoduke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milscm_2023_009.sny_202310_backup_mart_2riyo_patient_himoduke</v>
      </c>
      <c r="O11" s="78"/>
      <c r="P11" s="78"/>
      <c r="Q11" s="78"/>
      <c r="R11" s="78"/>
      <c r="S11" s="78"/>
      <c r="T11" s="78"/>
      <c r="AJ11" s="78" t="str">
        <f>"ADD CONSTRAINT "&amp;D$8&amp;"_pkey PRIMARY KEY"</f>
        <v>ADD CONSTRAINT sny_202310_backup_mart_2riyo_patient_himoduke_pkey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5" si="5">IF(I14="○","NOT NULL","")</f>
        <v>NOT NULL</v>
      </c>
      <c r="T14" s="78" t="str">
        <f t="shared" ref="T14:T15"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milscm_2023_009.sny_202310_backup_mart_2riyo_patient_himoduke.data_type IS 'データ種別';</v>
      </c>
    </row>
    <row r="16" spans="1:45" s="25" customFormat="1" ht="18"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ref="S16" si="7">IF(I16="○","NOT NULL","")</f>
        <v>NOT NULL</v>
      </c>
      <c r="T16" s="78" t="str">
        <f t="shared" ref="T16" si="8">"-- "&amp;C16</f>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milscm_2023_009.sny_202310_backup_mart_2riyo_patient_himoduke.patient_id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ENT_01_A1-13</v>
      </c>
      <c r="E6" s="251"/>
      <c r="F6" s="251"/>
      <c r="G6" s="251"/>
      <c r="H6" s="251"/>
      <c r="I6" s="251"/>
      <c r="J6" s="252"/>
    </row>
    <row r="7" spans="1:45">
      <c r="B7" s="240" t="s">
        <v>115</v>
      </c>
      <c r="C7" s="241"/>
      <c r="D7" s="242" t="s">
        <v>1868</v>
      </c>
      <c r="E7" s="243"/>
      <c r="F7" s="243"/>
      <c r="G7" s="243"/>
      <c r="H7" s="243"/>
      <c r="I7" s="243"/>
      <c r="J7" s="244"/>
    </row>
    <row r="8" spans="1:45">
      <c r="B8" s="240" t="s">
        <v>116</v>
      </c>
      <c r="C8" s="241"/>
      <c r="D8" s="242" t="str">
        <f>エンティティ一覧!AE2&amp;"_"&amp;D5&amp;"_mart_error_patient"</f>
        <v>sny_202310_backup_mart_error_patient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エラー患者データテーブルから組入れ条件の第一条件で絞り込んだ結果を格納するテーブル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milscm_2023_009.sny_202310_backup_mart_error_patient;</v>
      </c>
      <c r="O10" s="78"/>
      <c r="P10" s="78"/>
      <c r="Q10" s="78"/>
      <c r="R10" s="78"/>
      <c r="S10" s="78"/>
      <c r="T10" s="78"/>
      <c r="AJ10" s="78" t="str">
        <f>"ALTER TABLE ONLY "&amp;エンティティ一覧!$O$2&amp;"."&amp;D$8</f>
        <v>ALTER TABLE ONLY milscm_2023_009.sny_202310_backup_mart_error_patient</v>
      </c>
      <c r="AS10" s="78" t="str">
        <f>"ALTER TABLE "&amp;エンティティ一覧!$O$2&amp;"."&amp;D$8&amp;" OWNER TO pgmisgrp1;"</f>
        <v>ALTER TABLE milscm_2023_009.sny_202310_backup_mart_error_patient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milscm_2023_009.sny_202310_backup_mart_error_patient</v>
      </c>
      <c r="O11" s="78"/>
      <c r="P11" s="78"/>
      <c r="Q11" s="78"/>
      <c r="R11" s="78"/>
      <c r="S11" s="78"/>
      <c r="T11" s="78"/>
      <c r="AJ11" s="78" t="str">
        <f>"ADD CONSTRAINT "&amp;D$8&amp;"_pkey PRIMARY KEY"</f>
        <v>ADD CONSTRAINT sny_202310_backup_mart_error_patient_pkey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6" si="5">IF(I14="○","NOT NULL","")</f>
        <v>NOT NULL</v>
      </c>
      <c r="T14" s="78" t="str">
        <f t="shared" ref="T14:T16"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milscm_2023_009.sny_202310_backup_mart_error_patient.data_type IS 'データ種別';</v>
      </c>
    </row>
    <row r="16" spans="1:45" s="25" customFormat="1" ht="18"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si="5"/>
        <v>NOT NULL</v>
      </c>
      <c r="T16" s="78" t="str">
        <f t="shared" si="6"/>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milscm_2023_009.sny_202310_backup_mart_error_patient.patient_id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ENT_01_A1-14</v>
      </c>
      <c r="E6" s="251"/>
      <c r="F6" s="251"/>
      <c r="G6" s="251"/>
      <c r="H6" s="251"/>
      <c r="I6" s="251"/>
      <c r="J6" s="252"/>
    </row>
    <row r="7" spans="1:45">
      <c r="B7" s="240" t="s">
        <v>115</v>
      </c>
      <c r="C7" s="241"/>
      <c r="D7" s="242" t="s">
        <v>1869</v>
      </c>
      <c r="E7" s="243"/>
      <c r="F7" s="243"/>
      <c r="G7" s="243"/>
      <c r="H7" s="243"/>
      <c r="I7" s="243"/>
      <c r="J7" s="244"/>
    </row>
    <row r="8" spans="1:45">
      <c r="B8" s="240" t="s">
        <v>116</v>
      </c>
      <c r="C8" s="241"/>
      <c r="D8" s="242" t="str">
        <f>エンティティ一覧!AE2&amp;"_"&amp;D5&amp;"_mart_patient_basic"</f>
        <v>sny_202310_backup_mart_patient_basic</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患者基本データテーブルから組入れ条件の第一条件で絞り込んだ結果を格納するテーブル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milscm_2023_009.sny_202310_backup_mart_patient_basic;</v>
      </c>
      <c r="O10" s="78"/>
      <c r="P10" s="78"/>
      <c r="Q10" s="78"/>
      <c r="R10" s="78"/>
      <c r="S10" s="78"/>
      <c r="T10" s="78"/>
      <c r="AJ10" s="78" t="str">
        <f>"ALTER TABLE ONLY "&amp;エンティティ一覧!$O$2&amp;"."&amp;D$8</f>
        <v>ALTER TABLE ONLY milscm_2023_009.sny_202310_backup_mart_patient_basic</v>
      </c>
      <c r="AS10" s="78" t="str">
        <f>"ALTER TABLE "&amp;エンティティ一覧!$O$2&amp;"."&amp;D$8&amp;" OWNER TO pgmisgrp1;"</f>
        <v>ALTER TABLE milscm_2023_009.sny_202310_backup_mart_patient_basic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milscm_2023_009.sny_202310_backup_mart_patient_basic</v>
      </c>
      <c r="O11" s="78"/>
      <c r="P11" s="78"/>
      <c r="Q11" s="78"/>
      <c r="R11" s="78"/>
      <c r="S11" s="78"/>
      <c r="T11" s="78"/>
      <c r="AJ11" s="78" t="str">
        <f>"ADD CONSTRAINT "&amp;D$8&amp;"_pkey PRIMARY KEY"</f>
        <v>ADD CONSTRAINT sny_202310_backup_mart_patient_basic_pkey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1840</v>
      </c>
      <c r="D15" s="6" t="s">
        <v>208</v>
      </c>
      <c r="E15" s="8" t="s">
        <v>127</v>
      </c>
      <c r="F15" s="7" t="s">
        <v>1841</v>
      </c>
      <c r="G15" s="7" t="str">
        <f t="shared" ref="G15:G19" si="7">IF(F15="フラグ","boolean",IF(F15="文字列","text",IF(F15="整数","integer",IF(F15="実数","numeric",""))))</f>
        <v>text</v>
      </c>
      <c r="H15" s="26"/>
      <c r="I15" s="10" t="s">
        <v>127</v>
      </c>
      <c r="J15" s="11" t="s">
        <v>1844</v>
      </c>
      <c r="M15" s="4"/>
      <c r="N15" s="78"/>
      <c r="O15" s="78"/>
      <c r="P15" s="78" t="str">
        <f t="shared" ref="P15:P19" si="8">IF(B15&lt;&gt;1,","&amp;D15,D15)</f>
        <v>,data_type</v>
      </c>
      <c r="Q15" s="78" t="str">
        <f t="shared" ref="Q15:Q19" si="9">UPPER(G15)</f>
        <v>TEXT</v>
      </c>
      <c r="R15" s="78" t="str">
        <f t="shared" ref="R15:R19" si="10">IF(H15&lt;&gt;"","default "&amp;IF(G15="text","'"&amp;H15&amp;"'",H15),"")</f>
        <v/>
      </c>
      <c r="S15" s="78" t="str">
        <f t="shared" ref="S15:S19" si="11">IF(I15="○","NOT NULL","")</f>
        <v>NOT NULL</v>
      </c>
      <c r="T15" s="78" t="str">
        <f t="shared" ref="T15:T19" si="12">"-- "&amp;C15</f>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1846</v>
      </c>
      <c r="D16" s="6" t="s">
        <v>1847</v>
      </c>
      <c r="E16" s="8"/>
      <c r="F16" s="7" t="s">
        <v>1848</v>
      </c>
      <c r="G16" s="7" t="str">
        <f t="shared" si="7"/>
        <v>text</v>
      </c>
      <c r="H16" s="26"/>
      <c r="I16" s="10"/>
      <c r="J16" s="11" t="s">
        <v>1870</v>
      </c>
      <c r="M16" s="4"/>
      <c r="N16" s="78"/>
      <c r="O16" s="78"/>
      <c r="P16" s="78" t="str">
        <f t="shared" si="8"/>
        <v>,shinryo_ym_min</v>
      </c>
      <c r="Q16" s="78" t="str">
        <f t="shared" si="9"/>
        <v>TEXT</v>
      </c>
      <c r="R16" s="78" t="str">
        <f t="shared" si="10"/>
        <v/>
      </c>
      <c r="S16" s="78" t="str">
        <f t="shared" si="11"/>
        <v/>
      </c>
      <c r="T16" s="78" t="str">
        <f t="shared" si="12"/>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1849</v>
      </c>
      <c r="D17" s="6" t="s">
        <v>1850</v>
      </c>
      <c r="E17" s="8"/>
      <c r="F17" s="7" t="s">
        <v>1841</v>
      </c>
      <c r="G17" s="7" t="str">
        <f t="shared" si="7"/>
        <v>text</v>
      </c>
      <c r="H17" s="26"/>
      <c r="I17" s="10"/>
      <c r="J17" s="11" t="s">
        <v>1870</v>
      </c>
      <c r="M17" s="4"/>
      <c r="N17" s="78"/>
      <c r="O17" s="78"/>
      <c r="P17" s="78" t="str">
        <f t="shared" si="8"/>
        <v>,shinryo_ym_max</v>
      </c>
      <c r="Q17" s="78" t="str">
        <f t="shared" si="9"/>
        <v>TEXT</v>
      </c>
      <c r="R17" s="78" t="str">
        <f t="shared" si="10"/>
        <v/>
      </c>
      <c r="S17" s="78" t="str">
        <f t="shared" si="11"/>
        <v/>
      </c>
      <c r="T17" s="78" t="str">
        <f t="shared" si="12"/>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milscm_2023_009.sny_202310_backup_mart_patient_basic.shinryo_ym_max IS '診療年月_最大';</v>
      </c>
    </row>
    <row r="18" spans="1:52" s="25" customFormat="1" ht="34.799999999999997">
      <c r="A18" s="4"/>
      <c r="B18" s="21">
        <f t="shared" si="2"/>
        <v>6</v>
      </c>
      <c r="C18" s="6" t="s">
        <v>1851</v>
      </c>
      <c r="D18" s="6" t="s">
        <v>965</v>
      </c>
      <c r="E18" s="8"/>
      <c r="F18" s="7" t="s">
        <v>1757</v>
      </c>
      <c r="G18" s="7" t="str">
        <f t="shared" si="7"/>
        <v>text</v>
      </c>
      <c r="H18" s="26"/>
      <c r="I18" s="10" t="s">
        <v>127</v>
      </c>
      <c r="J18" s="11" t="s">
        <v>1871</v>
      </c>
      <c r="M18" s="4"/>
      <c r="N18" s="78"/>
      <c r="O18" s="78"/>
      <c r="P18" s="78" t="str">
        <f t="shared" si="8"/>
        <v>,sex_kubun</v>
      </c>
      <c r="Q18" s="78" t="str">
        <f t="shared" si="9"/>
        <v>TEXT</v>
      </c>
      <c r="R18" s="78" t="str">
        <f t="shared" si="10"/>
        <v/>
      </c>
      <c r="S18" s="78" t="str">
        <f t="shared" si="11"/>
        <v>NOT NULL</v>
      </c>
      <c r="T18" s="78" t="str">
        <f t="shared" si="12"/>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milscm_2023_009.sny_202310_backup_mart_patient_basic.sex_kubun IS '男女区分';</v>
      </c>
    </row>
    <row r="19" spans="1:52" s="25" customFormat="1" ht="52.2">
      <c r="A19" s="4"/>
      <c r="B19" s="21">
        <f t="shared" si="2"/>
        <v>7</v>
      </c>
      <c r="C19" s="6" t="s">
        <v>1852</v>
      </c>
      <c r="D19" s="6" t="s">
        <v>322</v>
      </c>
      <c r="E19" s="8"/>
      <c r="F19" s="7" t="s">
        <v>1757</v>
      </c>
      <c r="G19" s="7" t="str">
        <f t="shared" si="7"/>
        <v>text</v>
      </c>
      <c r="H19" s="26"/>
      <c r="I19" s="10" t="s">
        <v>127</v>
      </c>
      <c r="J19" s="11" t="s">
        <v>1872</v>
      </c>
      <c r="M19" s="4"/>
      <c r="N19" s="78"/>
      <c r="O19" s="78"/>
      <c r="P19" s="78" t="str">
        <f t="shared" si="8"/>
        <v>,birthday</v>
      </c>
      <c r="Q19" s="78" t="str">
        <f t="shared" si="9"/>
        <v>TEXT</v>
      </c>
      <c r="R19" s="78" t="str">
        <f t="shared" si="10"/>
        <v/>
      </c>
      <c r="S19" s="78" t="str">
        <f t="shared" si="11"/>
        <v>NOT NULL</v>
      </c>
      <c r="T19" s="78" t="str">
        <f t="shared" si="12"/>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milscm_2023_009.sny_202310_backup_mart_patient_basic.birthday IS '生年月日';</v>
      </c>
    </row>
    <row r="20" spans="1:52" s="25" customFormat="1" ht="69.599999999999994">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milscm_2023_009.sny_202310_backup_mart_patient_basic.death_flag IS '死亡フラグ';</v>
      </c>
    </row>
    <row r="21" spans="1:52" s="25" customFormat="1" ht="70.2"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ENT_01_A3-02</v>
      </c>
      <c r="E6" s="251"/>
      <c r="F6" s="251"/>
      <c r="G6" s="251"/>
      <c r="H6" s="251"/>
      <c r="I6" s="251"/>
      <c r="J6" s="252"/>
    </row>
    <row r="7" spans="1:45">
      <c r="B7" s="240" t="s">
        <v>115</v>
      </c>
      <c r="C7" s="241"/>
      <c r="D7" s="242" t="s">
        <v>1875</v>
      </c>
      <c r="E7" s="243"/>
      <c r="F7" s="243"/>
      <c r="G7" s="243"/>
      <c r="H7" s="243"/>
      <c r="I7" s="243"/>
      <c r="J7" s="244"/>
    </row>
    <row r="8" spans="1:45">
      <c r="B8" s="240" t="s">
        <v>116</v>
      </c>
      <c r="C8" s="241"/>
      <c r="D8" s="242" t="str">
        <f>エンティティ一覧!AE2&amp;"_"&amp;D5&amp;"_mt_shisetsu_zokusei"</f>
        <v>sny_202310_backup_mt_shisetsu_zokusei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milscm_2023_009.sny_202310_backup_mt_shisetsu_zokusei;</v>
      </c>
      <c r="O10" s="78"/>
      <c r="P10" s="78"/>
      <c r="Q10" s="78"/>
      <c r="R10" s="78"/>
      <c r="S10" s="78"/>
      <c r="T10" s="78"/>
      <c r="AJ10" s="78" t="str">
        <f>"ALTER TABLE ONLY "&amp;エンティティ一覧!$O$2&amp;"."&amp;D$8</f>
        <v>ALTER TABLE ONLY milscm_2023_009.sny_202310_backup_mt_shisetsu_zokusei</v>
      </c>
      <c r="AS10" s="78" t="str">
        <f>"ALTER TABLE "&amp;エンティティ一覧!$O$2&amp;"."&amp;D$8&amp;" OWNER TO pgmisgrp1;"</f>
        <v>ALTER TABLE milscm_2023_009.sny_202310_backup_mt_shisetsu_zokusei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milscm_2023_009.sny_202310_backup_mt_shisetsu_zokusei</v>
      </c>
      <c r="O11" s="78"/>
      <c r="P11" s="78"/>
      <c r="Q11" s="78"/>
      <c r="R11" s="78"/>
      <c r="S11" s="78"/>
      <c r="T11" s="78"/>
      <c r="AJ11" s="78" t="str">
        <f>"ADD CONSTRAINT "&amp;D$8&amp;"_pkey PRIMARY KEY"</f>
        <v>ADD CONSTRAINT sny_202310_backup_mt_shisetsu_zokusei_pkey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1902</v>
      </c>
      <c r="M13" s="4"/>
      <c r="N13" s="78"/>
      <c r="O13" s="78"/>
      <c r="P13" s="78" t="str">
        <f>IF(B13&lt;&gt;1,","&amp;D13,D13)</f>
        <v>facility_id</v>
      </c>
      <c r="Q13" s="78" t="str">
        <f t="shared" ref="Q13:Q26" si="0">UPPER(G13)</f>
        <v>TEXT</v>
      </c>
      <c r="R13" s="78" t="str">
        <f t="shared" ref="R13:R2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milscm_2023_009.sny_202310_backup_mt_shisetsu_zokusei.facility_id IS '施設ID';</v>
      </c>
    </row>
    <row r="14" spans="1:45" s="25" customFormat="1" ht="34.799999999999997">
      <c r="A14" s="4"/>
      <c r="B14" s="21">
        <f t="shared" ref="B14:B25" si="2">ROW()-12</f>
        <v>2</v>
      </c>
      <c r="C14" s="6" t="s">
        <v>1876</v>
      </c>
      <c r="D14" s="6" t="s">
        <v>1877</v>
      </c>
      <c r="E14" s="8"/>
      <c r="F14" s="7" t="s">
        <v>204</v>
      </c>
      <c r="G14" s="7" t="str">
        <f t="shared" ref="G14:G26" si="3">IF(F14="フラグ","boolean",IF(F14="文字列","text",IF(F14="整数","integer",IF(F14="実数","numeric",""))))</f>
        <v>integer</v>
      </c>
      <c r="H14" s="26">
        <v>0</v>
      </c>
      <c r="I14" s="10" t="s">
        <v>127</v>
      </c>
      <c r="J14" s="11" t="s">
        <v>1903</v>
      </c>
      <c r="M14" s="4"/>
      <c r="N14" s="78"/>
      <c r="O14" s="78"/>
      <c r="P14" s="78" t="str">
        <f t="shared" ref="P14:P26" si="4">IF(B14&lt;&gt;1,","&amp;D14,D14)</f>
        <v>,ippan_bed</v>
      </c>
      <c r="Q14" s="78" t="str">
        <f t="shared" si="0"/>
        <v>INTEGER</v>
      </c>
      <c r="R14" s="78" t="str">
        <f t="shared" si="1"/>
        <v>default 0</v>
      </c>
      <c r="S14" s="78" t="str">
        <f t="shared" ref="S14:S26" si="5">IF(I14="○","NOT NULL","")</f>
        <v>NOT NULL</v>
      </c>
      <c r="T14" s="78" t="str">
        <f t="shared" ref="T14:T26" si="6">"-- "&amp;C14</f>
        <v>-- 一般病床</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milscm_2023_009.sny_202310_backup_mt_shisetsu_zokusei.ippan_bed IS '一般病床';</v>
      </c>
    </row>
    <row r="15" spans="1:45" s="25" customFormat="1" ht="34.799999999999997">
      <c r="A15" s="4"/>
      <c r="B15" s="21">
        <f t="shared" si="2"/>
        <v>3</v>
      </c>
      <c r="C15" s="6" t="s">
        <v>1878</v>
      </c>
      <c r="D15" s="6" t="s">
        <v>1879</v>
      </c>
      <c r="E15" s="8"/>
      <c r="F15" s="7" t="s">
        <v>204</v>
      </c>
      <c r="G15" s="7" t="str">
        <f t="shared" si="3"/>
        <v>integer</v>
      </c>
      <c r="H15" s="26">
        <v>0</v>
      </c>
      <c r="I15" s="10" t="s">
        <v>127</v>
      </c>
      <c r="J15" s="11" t="s">
        <v>1903</v>
      </c>
      <c r="M15" s="4"/>
      <c r="N15" s="78"/>
      <c r="O15" s="78"/>
      <c r="P15" s="78" t="str">
        <f t="shared" si="4"/>
        <v>,seishin_bed</v>
      </c>
      <c r="Q15" s="78" t="str">
        <f t="shared" si="0"/>
        <v>INTEGER</v>
      </c>
      <c r="R15" s="78" t="str">
        <f t="shared" si="1"/>
        <v>default 0</v>
      </c>
      <c r="S15" s="78" t="str">
        <f t="shared" si="5"/>
        <v>NOT NULL</v>
      </c>
      <c r="T15" s="78" t="str">
        <f t="shared" si="6"/>
        <v>-- 精神病床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milscm_2023_009.sny_202310_backup_mt_shisetsu_zokusei.seishin_bed IS '精神病床';</v>
      </c>
    </row>
    <row r="16" spans="1:45" s="25" customFormat="1" ht="34.799999999999997">
      <c r="A16" s="4"/>
      <c r="B16" s="21">
        <f t="shared" si="2"/>
        <v>4</v>
      </c>
      <c r="C16" s="6" t="s">
        <v>1880</v>
      </c>
      <c r="D16" s="6" t="s">
        <v>1881</v>
      </c>
      <c r="E16" s="8"/>
      <c r="F16" s="7" t="s">
        <v>204</v>
      </c>
      <c r="G16" s="7" t="str">
        <f t="shared" si="3"/>
        <v>integer</v>
      </c>
      <c r="H16" s="26">
        <v>0</v>
      </c>
      <c r="I16" s="10" t="s">
        <v>127</v>
      </c>
      <c r="J16" s="11" t="s">
        <v>1903</v>
      </c>
      <c r="M16" s="4"/>
      <c r="N16" s="78"/>
      <c r="O16" s="78"/>
      <c r="P16" s="78" t="str">
        <f t="shared" si="4"/>
        <v>,kansen_bed</v>
      </c>
      <c r="Q16" s="78" t="str">
        <f t="shared" si="0"/>
        <v>INTEGER</v>
      </c>
      <c r="R16" s="78" t="str">
        <f t="shared" si="1"/>
        <v>default 0</v>
      </c>
      <c r="S16" s="78" t="str">
        <f t="shared" si="5"/>
        <v>NOT NULL</v>
      </c>
      <c r="T16" s="78" t="str">
        <f t="shared" si="6"/>
        <v>-- 感染症病床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milscm_2023_009.sny_202310_backup_mt_shisetsu_zokusei.kansen_bed IS '感染症病床';</v>
      </c>
    </row>
    <row r="17" spans="1:52" s="25" customFormat="1" ht="34.799999999999997">
      <c r="A17" s="4"/>
      <c r="B17" s="21">
        <f t="shared" si="2"/>
        <v>5</v>
      </c>
      <c r="C17" s="6" t="s">
        <v>1882</v>
      </c>
      <c r="D17" s="6" t="s">
        <v>1883</v>
      </c>
      <c r="E17" s="8"/>
      <c r="F17" s="7" t="s">
        <v>204</v>
      </c>
      <c r="G17" s="7" t="str">
        <f t="shared" si="3"/>
        <v>integer</v>
      </c>
      <c r="H17" s="26">
        <v>0</v>
      </c>
      <c r="I17" s="10" t="s">
        <v>127</v>
      </c>
      <c r="J17" s="11" t="s">
        <v>1903</v>
      </c>
      <c r="M17" s="4"/>
      <c r="N17" s="78"/>
      <c r="O17" s="78"/>
      <c r="P17" s="78" t="str">
        <f t="shared" si="4"/>
        <v>,kekkaku_bed</v>
      </c>
      <c r="Q17" s="78" t="str">
        <f t="shared" si="0"/>
        <v>INTEGER</v>
      </c>
      <c r="R17" s="78" t="str">
        <f t="shared" si="1"/>
        <v>default 0</v>
      </c>
      <c r="S17" s="78" t="str">
        <f t="shared" si="5"/>
        <v>NOT NULL</v>
      </c>
      <c r="T17" s="78" t="str">
        <f t="shared" si="6"/>
        <v>-- 結核病床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milscm_2023_009.sny_202310_backup_mt_shisetsu_zokusei.kekkaku_bed IS '結核病床';</v>
      </c>
    </row>
    <row r="18" spans="1:52" s="25" customFormat="1" ht="34.799999999999997">
      <c r="A18" s="4"/>
      <c r="B18" s="21">
        <f t="shared" si="2"/>
        <v>6</v>
      </c>
      <c r="C18" s="6" t="s">
        <v>1884</v>
      </c>
      <c r="D18" s="6" t="s">
        <v>1885</v>
      </c>
      <c r="E18" s="8"/>
      <c r="F18" s="7" t="s">
        <v>204</v>
      </c>
      <c r="G18" s="7" t="str">
        <f t="shared" si="3"/>
        <v>integer</v>
      </c>
      <c r="H18" s="26">
        <v>0</v>
      </c>
      <c r="I18" s="10" t="s">
        <v>127</v>
      </c>
      <c r="J18" s="11" t="s">
        <v>1903</v>
      </c>
      <c r="M18" s="4"/>
      <c r="N18" s="78"/>
      <c r="O18" s="78"/>
      <c r="P18" s="78" t="str">
        <f t="shared" si="4"/>
        <v>,ryouyou_bed</v>
      </c>
      <c r="Q18" s="78" t="str">
        <f t="shared" si="0"/>
        <v>INTEGER</v>
      </c>
      <c r="R18" s="78" t="str">
        <f t="shared" si="1"/>
        <v>default 0</v>
      </c>
      <c r="S18" s="78" t="str">
        <f t="shared" si="5"/>
        <v>NOT NULL</v>
      </c>
      <c r="T18" s="78" t="str">
        <f t="shared" si="6"/>
        <v>-- 療養病床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milscm_2023_009.sny_202310_backup_mt_shisetsu_zokusei.ryouyou_bed IS '療養病床';</v>
      </c>
    </row>
    <row r="19" spans="1:52" s="25" customFormat="1" ht="34.799999999999997">
      <c r="A19" s="4"/>
      <c r="B19" s="21">
        <f t="shared" si="2"/>
        <v>7</v>
      </c>
      <c r="C19" s="6" t="s">
        <v>1886</v>
      </c>
      <c r="D19" s="6" t="s">
        <v>1887</v>
      </c>
      <c r="E19" s="8"/>
      <c r="F19" s="7" t="s">
        <v>739</v>
      </c>
      <c r="G19" s="7" t="str">
        <f t="shared" si="3"/>
        <v>text</v>
      </c>
      <c r="H19" s="26">
        <v>0</v>
      </c>
      <c r="I19" s="10" t="s">
        <v>127</v>
      </c>
      <c r="J19" s="11" t="s">
        <v>1904</v>
      </c>
      <c r="M19" s="4"/>
      <c r="N19" s="78"/>
      <c r="O19" s="78"/>
      <c r="P19" s="78" t="str">
        <f t="shared" si="4"/>
        <v>,univ_hp_f</v>
      </c>
      <c r="Q19" s="78" t="str">
        <f t="shared" si="0"/>
        <v>TEXT</v>
      </c>
      <c r="R19" s="78" t="str">
        <f t="shared" si="1"/>
        <v>default '0'</v>
      </c>
      <c r="S19" s="78" t="str">
        <f t="shared" si="5"/>
        <v>NOT NULL</v>
      </c>
      <c r="T19" s="78" t="str">
        <f t="shared" si="6"/>
        <v>-- 大学病院F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milscm_2023_009.sny_202310_backup_mt_shisetsu_zokusei.univ_hp_f IS '大学病院F';</v>
      </c>
    </row>
    <row r="20" spans="1:52" s="25" customFormat="1" ht="69.599999999999994">
      <c r="A20" s="4"/>
      <c r="B20" s="21">
        <f t="shared" si="2"/>
        <v>8</v>
      </c>
      <c r="C20" s="6" t="s">
        <v>1888</v>
      </c>
      <c r="D20" s="6" t="s">
        <v>1889</v>
      </c>
      <c r="E20" s="8"/>
      <c r="F20" s="7" t="s">
        <v>739</v>
      </c>
      <c r="G20" s="7" t="str">
        <f t="shared" ref="G20:G24" si="7">IF(F20="フラグ","boolean",IF(F20="文字列","text",IF(F20="整数","integer",IF(F20="実数","numeric",""))))</f>
        <v>text</v>
      </c>
      <c r="H20" s="26">
        <v>0</v>
      </c>
      <c r="I20" s="10" t="s">
        <v>127</v>
      </c>
      <c r="J20" s="11" t="s">
        <v>1905</v>
      </c>
      <c r="M20" s="4"/>
      <c r="N20" s="78"/>
      <c r="O20" s="78"/>
      <c r="P20" s="78" t="str">
        <f t="shared" ref="P20:P24" si="8">IF(B20&lt;&gt;1,","&amp;D20,D20)</f>
        <v>,tokutei_hp_f</v>
      </c>
      <c r="Q20" s="78" t="str">
        <f t="shared" ref="Q20:Q24" si="9">UPPER(G20)</f>
        <v>TEXT</v>
      </c>
      <c r="R20" s="78" t="str">
        <f t="shared" ref="R20:R24" si="10">IF(H20&lt;&gt;"","default "&amp;IF(G20="text","'"&amp;H20&amp;"'",H20),"")</f>
        <v>default '0'</v>
      </c>
      <c r="S20" s="78" t="str">
        <f t="shared" ref="S20:S24" si="11">IF(I20="○","NOT NULL","")</f>
        <v>NOT NULL</v>
      </c>
      <c r="T20" s="78" t="str">
        <f t="shared" ref="T20:T24" si="12">"-- "&amp;C20</f>
        <v>-- 特定機能病院F</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milscm_2023_009.sny_202310_backup_mt_shisetsu_zokusei.tokutei_hp_f IS '特定機能病院F';</v>
      </c>
    </row>
    <row r="21" spans="1:52" s="25" customFormat="1" ht="121.8">
      <c r="A21" s="4"/>
      <c r="B21" s="21">
        <f t="shared" si="2"/>
        <v>9</v>
      </c>
      <c r="C21" s="6" t="s">
        <v>1890</v>
      </c>
      <c r="D21" s="6" t="s">
        <v>1891</v>
      </c>
      <c r="E21" s="8"/>
      <c r="F21" s="7" t="s">
        <v>204</v>
      </c>
      <c r="G21" s="7" t="str">
        <f t="shared" si="7"/>
        <v>integer</v>
      </c>
      <c r="H21" s="26">
        <v>0</v>
      </c>
      <c r="I21" s="10" t="s">
        <v>127</v>
      </c>
      <c r="J21" s="11" t="s">
        <v>1906</v>
      </c>
      <c r="M21" s="4"/>
      <c r="N21" s="78"/>
      <c r="O21" s="78"/>
      <c r="P21" s="78" t="str">
        <f t="shared" si="8"/>
        <v>,cancer_hp_f</v>
      </c>
      <c r="Q21" s="78" t="str">
        <f t="shared" si="9"/>
        <v>INTEGER</v>
      </c>
      <c r="R21" s="78" t="str">
        <f t="shared" si="10"/>
        <v>default 0</v>
      </c>
      <c r="S21" s="78" t="str">
        <f t="shared" si="11"/>
        <v>NOT NULL</v>
      </c>
      <c r="T21" s="78" t="str">
        <f t="shared" si="12"/>
        <v>-- がん拠点病院F</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milscm_2023_009.sny_202310_backup_mt_shisetsu_zokusei.cancer_hp_f IS 'がん拠点病院F';</v>
      </c>
    </row>
    <row r="22" spans="1:52" s="25" customFormat="1" ht="34.799999999999997">
      <c r="A22" s="4"/>
      <c r="B22" s="21">
        <f t="shared" si="2"/>
        <v>10</v>
      </c>
      <c r="C22" s="6" t="s">
        <v>1892</v>
      </c>
      <c r="D22" s="6" t="s">
        <v>1893</v>
      </c>
      <c r="E22" s="8"/>
      <c r="F22" s="7" t="s">
        <v>739</v>
      </c>
      <c r="G22" s="7" t="str">
        <f t="shared" si="7"/>
        <v>text</v>
      </c>
      <c r="H22" s="26">
        <v>0</v>
      </c>
      <c r="I22" s="10" t="s">
        <v>127</v>
      </c>
      <c r="J22" s="11" t="s">
        <v>1907</v>
      </c>
      <c r="M22" s="4"/>
      <c r="N22" s="78"/>
      <c r="O22" s="78"/>
      <c r="P22" s="78" t="str">
        <f t="shared" si="8"/>
        <v>,high_acute_care_hp_f</v>
      </c>
      <c r="Q22" s="78" t="str">
        <f t="shared" si="9"/>
        <v>TEXT</v>
      </c>
      <c r="R22" s="78" t="str">
        <f t="shared" si="10"/>
        <v>default '0'</v>
      </c>
      <c r="S22" s="78" t="str">
        <f t="shared" si="11"/>
        <v>NOT NULL</v>
      </c>
      <c r="T22" s="78" t="str">
        <f t="shared" si="12"/>
        <v>-- 高度急性期病院F</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milscm_2023_009.sny_202310_backup_mt_shisetsu_zokusei.high_acute_care_hp_f IS '高度急性期病院F';</v>
      </c>
    </row>
    <row r="23" spans="1:52" s="25" customFormat="1" ht="34.799999999999997">
      <c r="A23" s="4"/>
      <c r="B23" s="21">
        <f t="shared" si="2"/>
        <v>11</v>
      </c>
      <c r="C23" s="6" t="s">
        <v>1894</v>
      </c>
      <c r="D23" s="6" t="s">
        <v>1895</v>
      </c>
      <c r="E23" s="8"/>
      <c r="F23" s="7" t="s">
        <v>739</v>
      </c>
      <c r="G23" s="7" t="str">
        <f t="shared" si="7"/>
        <v>text</v>
      </c>
      <c r="H23" s="26">
        <v>0</v>
      </c>
      <c r="I23" s="10" t="s">
        <v>127</v>
      </c>
      <c r="J23" s="11" t="s">
        <v>1908</v>
      </c>
      <c r="M23" s="4"/>
      <c r="N23" s="78"/>
      <c r="O23" s="78"/>
      <c r="P23" s="78" t="str">
        <f t="shared" si="8"/>
        <v>,acute_care_hp_f</v>
      </c>
      <c r="Q23" s="78" t="str">
        <f t="shared" si="9"/>
        <v>TEXT</v>
      </c>
      <c r="R23" s="78" t="str">
        <f t="shared" si="10"/>
        <v>default '0'</v>
      </c>
      <c r="S23" s="78" t="str">
        <f t="shared" si="11"/>
        <v>NOT NULL</v>
      </c>
      <c r="T23" s="78" t="str">
        <f t="shared" si="12"/>
        <v>-- 急性期病院F</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1896</v>
      </c>
      <c r="D24" s="6" t="s">
        <v>1897</v>
      </c>
      <c r="E24" s="8"/>
      <c r="F24" s="7" t="s">
        <v>739</v>
      </c>
      <c r="G24" s="7" t="str">
        <f t="shared" si="7"/>
        <v>text</v>
      </c>
      <c r="H24" s="26">
        <v>0</v>
      </c>
      <c r="I24" s="10" t="s">
        <v>127</v>
      </c>
      <c r="J24" s="11" t="s">
        <v>1909</v>
      </c>
      <c r="M24" s="4"/>
      <c r="N24" s="78"/>
      <c r="O24" s="78"/>
      <c r="P24" s="78" t="str">
        <f t="shared" si="8"/>
        <v>,mil_exit_f</v>
      </c>
      <c r="Q24" s="78" t="str">
        <f t="shared" si="9"/>
        <v>TEXT</v>
      </c>
      <c r="R24" s="78" t="str">
        <f t="shared" si="10"/>
        <v>default '0'</v>
      </c>
      <c r="S24" s="78" t="str">
        <f t="shared" si="11"/>
        <v>NOT NULL</v>
      </c>
      <c r="T24" s="78" t="str">
        <f t="shared" si="12"/>
        <v>-- 千年カルテ離脱施設フラグ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milscm_2023_009.sny_202310_backup_mt_shisetsu_zokusei.mil_exit_f IS '千年カルテ離脱施設フラグ';</v>
      </c>
    </row>
    <row r="25" spans="1:52" s="25" customFormat="1" ht="52.2">
      <c r="A25" s="4"/>
      <c r="B25" s="21">
        <f t="shared" si="2"/>
        <v>13</v>
      </c>
      <c r="C25" s="6" t="s">
        <v>1898</v>
      </c>
      <c r="D25" s="6" t="s">
        <v>1899</v>
      </c>
      <c r="E25" s="8" t="s">
        <v>127</v>
      </c>
      <c r="F25" s="7" t="s">
        <v>739</v>
      </c>
      <c r="G25" s="7" t="str">
        <f t="shared" si="3"/>
        <v>text</v>
      </c>
      <c r="H25" s="26">
        <v>999999</v>
      </c>
      <c r="I25" s="10" t="s">
        <v>127</v>
      </c>
      <c r="J25" s="11" t="s">
        <v>1910</v>
      </c>
      <c r="M25" s="4"/>
      <c r="N25" s="78"/>
      <c r="O25" s="78"/>
      <c r="P25" s="78" t="str">
        <f t="shared" si="4"/>
        <v>,torikomi_kijun_ym</v>
      </c>
      <c r="Q25" s="78" t="str">
        <f t="shared" si="0"/>
        <v>TEXT</v>
      </c>
      <c r="R25" s="78" t="str">
        <f t="shared" si="1"/>
        <v>default '999999'</v>
      </c>
      <c r="S25" s="78" t="str">
        <f t="shared" si="5"/>
        <v>NOT NULL</v>
      </c>
      <c r="T25" s="78" t="str">
        <f t="shared" si="6"/>
        <v>-- 取込基準年月</v>
      </c>
      <c r="U25" s="4"/>
      <c r="AA25" s="4"/>
      <c r="AB25" s="4"/>
      <c r="AC25" s="4"/>
      <c r="AD25" s="4"/>
      <c r="AE25" s="4"/>
      <c r="AF25" s="4"/>
      <c r="AG25" s="4"/>
      <c r="AH25" s="4"/>
      <c r="AI25" s="4"/>
      <c r="AJ25" s="78" t="str">
        <f>IF(E25="○",IF(COUNTA(E$13:E25)=1,"",",")&amp;D25,"")</f>
        <v>,torikomi_kijun_ym</v>
      </c>
      <c r="AK25" s="4"/>
      <c r="AL25" s="4"/>
      <c r="AM25" s="4"/>
      <c r="AN25" s="4"/>
      <c r="AO25" s="4"/>
      <c r="AP25" s="4"/>
      <c r="AQ25" s="4"/>
      <c r="AR25" s="4"/>
      <c r="AS25" s="78" t="str">
        <f>"COMMENT ON COLUMN "&amp;エンティティ一覧!$O$2&amp;"."&amp;D$8&amp;"."&amp;D25&amp;" IS '"&amp;C25&amp;"';"</f>
        <v>COMMENT ON COLUMN milscm_2023_009.sny_202310_backup_mt_shisetsu_zokusei.torikomi_kijun_ym IS '取込基準年月';</v>
      </c>
    </row>
    <row r="26" spans="1:52" s="25" customFormat="1" ht="18" thickBot="1">
      <c r="A26" s="4"/>
      <c r="B26" s="27">
        <f>ROW()-12</f>
        <v>14</v>
      </c>
      <c r="C26" s="57" t="s">
        <v>1900</v>
      </c>
      <c r="D26" s="57" t="s">
        <v>1901</v>
      </c>
      <c r="E26" s="56"/>
      <c r="F26" s="56" t="s">
        <v>739</v>
      </c>
      <c r="G26" s="56" t="str">
        <f t="shared" si="3"/>
        <v>text</v>
      </c>
      <c r="H26" s="59">
        <v>99999999</v>
      </c>
      <c r="I26" s="60" t="s">
        <v>127</v>
      </c>
      <c r="J26" s="64" t="s">
        <v>1814</v>
      </c>
      <c r="N26" s="78"/>
      <c r="O26" s="78"/>
      <c r="P26" s="78" t="str">
        <f t="shared" si="4"/>
        <v>,update_ymd</v>
      </c>
      <c r="Q26" s="78" t="str">
        <f t="shared" si="0"/>
        <v>TEXT</v>
      </c>
      <c r="R26" s="78" t="str">
        <f t="shared" si="1"/>
        <v>default '99999999'</v>
      </c>
      <c r="S26" s="78" t="str">
        <f t="shared" si="5"/>
        <v>NOT NULL</v>
      </c>
      <c r="T26" s="78" t="str">
        <f t="shared" si="6"/>
        <v>-- データ登録年月日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milscm_2023_009.sny_202310_backup_mt_shisetsu_zokusei.update_ymd IS 'データ登録年月日';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ENT_01_A3-03</v>
      </c>
      <c r="E6" s="251"/>
      <c r="F6" s="251"/>
      <c r="G6" s="251"/>
      <c r="H6" s="251"/>
      <c r="I6" s="251"/>
      <c r="J6" s="252"/>
    </row>
    <row r="7" spans="1:45">
      <c r="B7" s="240" t="s">
        <v>115</v>
      </c>
      <c r="C7" s="241"/>
      <c r="D7" s="242" t="s">
        <v>1911</v>
      </c>
      <c r="E7" s="243"/>
      <c r="F7" s="243"/>
      <c r="G7" s="243"/>
      <c r="H7" s="243"/>
      <c r="I7" s="243"/>
      <c r="J7" s="244"/>
    </row>
    <row r="8" spans="1:45">
      <c r="B8" s="240" t="s">
        <v>116</v>
      </c>
      <c r="C8" s="241"/>
      <c r="D8" s="242" t="str">
        <f>エンティティ一覧!AE2&amp;"_"&amp;D5&amp;"_mt_iryouken2"</f>
        <v>sny_202310_backup_mt_iryouken2</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milscm_2023_009.sny_202310_backup_mt_iryouken2;</v>
      </c>
      <c r="O10" s="78"/>
      <c r="P10" s="78"/>
      <c r="Q10" s="78"/>
      <c r="R10" s="78"/>
      <c r="S10" s="78"/>
      <c r="T10" s="78"/>
      <c r="AJ10" s="78" t="str">
        <f>"ALTER TABLE ONLY "&amp;エンティティ一覧!$O$2&amp;"."&amp;D$8</f>
        <v>ALTER TABLE ONLY milscm_2023_009.sny_202310_backup_mt_iryouken2</v>
      </c>
      <c r="AS10" s="78" t="str">
        <f>"ALTER TABLE "&amp;エンティティ一覧!$O$2&amp;"."&amp;D$8&amp;" OWNER TO pgmisgrp1;"</f>
        <v>ALTER TABLE milscm_2023_009.sny_202310_backup_mt_iryouken2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milscm_2023_009.sny_202310_backup_mt_iryouken2</v>
      </c>
      <c r="O11" s="78"/>
      <c r="P11" s="78"/>
      <c r="Q11" s="78"/>
      <c r="R11" s="78"/>
      <c r="S11" s="78"/>
      <c r="T11" s="78"/>
      <c r="AJ11" s="78" t="str">
        <f>"ADD CONSTRAINT "&amp;D$8&amp;"_pkey PRIMARY KEY"</f>
        <v>ADD CONSTRAINT sny_202310_backup_mt_iryouken2_pkey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milscm_2023_009.sny_202310_backup_mt_iryouken2 IS 'バックアップ_二次医療圏マスタ取込用';</v>
      </c>
    </row>
    <row r="13" spans="1:45" s="25" customFormat="1" ht="34.799999999999997">
      <c r="A13" s="4"/>
      <c r="B13" s="21">
        <f>ROW()-12</f>
        <v>1</v>
      </c>
      <c r="C13" s="6" t="s">
        <v>1912</v>
      </c>
      <c r="D13" s="6" t="s">
        <v>1913</v>
      </c>
      <c r="E13" s="8"/>
      <c r="F13" s="8" t="s">
        <v>739</v>
      </c>
      <c r="G13" s="7" t="str">
        <f>IF(F13="フラグ","boolean",IF(F13="文字列","text",IF(F13="整数","integer",IF(F13="実数","numeric",""))))</f>
        <v>text</v>
      </c>
      <c r="H13" s="9"/>
      <c r="I13" s="10" t="s">
        <v>127</v>
      </c>
      <c r="J13" s="11" t="s">
        <v>1929</v>
      </c>
      <c r="M13" s="4"/>
      <c r="N13" s="78"/>
      <c r="O13" s="78"/>
      <c r="P13" s="78" t="str">
        <f>IF(B13&lt;&gt;1,","&amp;D13,D13)</f>
        <v>iryouken2_cd</v>
      </c>
      <c r="Q13" s="78" t="str">
        <f t="shared" ref="Q13:Q22" si="0">UPPER(G13)</f>
        <v>TEXT</v>
      </c>
      <c r="R13" s="78" t="str">
        <f t="shared" ref="R13:R22"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milscm_2023_009.sny_202310_backup_mt_iryouken2.iryouken2_cd IS '二次医療圏コード';</v>
      </c>
    </row>
    <row r="14" spans="1:45" s="25" customFormat="1" ht="34.799999999999997">
      <c r="A14" s="4"/>
      <c r="B14" s="21">
        <f t="shared" ref="B14:B21" si="2">ROW()-12</f>
        <v>2</v>
      </c>
      <c r="C14" s="6" t="s">
        <v>1914</v>
      </c>
      <c r="D14" s="6" t="s">
        <v>1915</v>
      </c>
      <c r="E14" s="8"/>
      <c r="F14" s="7" t="s">
        <v>739</v>
      </c>
      <c r="G14" s="7" t="str">
        <f t="shared" ref="G14:G22" si="3">IF(F14="フラグ","boolean",IF(F14="文字列","text",IF(F14="整数","integer",IF(F14="実数","numeric",""))))</f>
        <v>text</v>
      </c>
      <c r="H14" s="26"/>
      <c r="I14" s="10"/>
      <c r="J14" s="11" t="s">
        <v>1929</v>
      </c>
      <c r="M14" s="4"/>
      <c r="N14" s="78"/>
      <c r="O14" s="78"/>
      <c r="P14" s="78" t="str">
        <f t="shared" ref="P14:P22" si="4">IF(B14&lt;&gt;1,","&amp;D14,D14)</f>
        <v>,iryouken2</v>
      </c>
      <c r="Q14" s="78" t="str">
        <f t="shared" si="0"/>
        <v>TEXT</v>
      </c>
      <c r="R14" s="78" t="str">
        <f t="shared" si="1"/>
        <v/>
      </c>
      <c r="S14" s="78" t="str">
        <f t="shared" ref="S14:S22" si="5">IF(I14="○","NOT NULL","")</f>
        <v/>
      </c>
      <c r="T14" s="78" t="str">
        <f t="shared" ref="T14:T22"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milscm_2023_009.sny_202310_backup_mt_iryouken2.iryouken2 IS '二次医療圏';</v>
      </c>
    </row>
    <row r="15" spans="1:45" s="25" customFormat="1" ht="34.799999999999997">
      <c r="A15" s="4"/>
      <c r="B15" s="21">
        <f t="shared" si="2"/>
        <v>3</v>
      </c>
      <c r="C15" s="6" t="s">
        <v>1916</v>
      </c>
      <c r="D15" s="6" t="s">
        <v>1917</v>
      </c>
      <c r="E15" s="8"/>
      <c r="F15" s="7" t="s">
        <v>739</v>
      </c>
      <c r="G15" s="7" t="str">
        <f t="shared" si="3"/>
        <v>text</v>
      </c>
      <c r="H15" s="26"/>
      <c r="I15" s="10" t="s">
        <v>127</v>
      </c>
      <c r="J15" s="11" t="s">
        <v>1929</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milscm_2023_009.sny_202310_backup_mt_iryouken2.prefecture_cd IS '都道府県コード';</v>
      </c>
    </row>
    <row r="16" spans="1:45" s="25" customFormat="1" ht="34.799999999999997">
      <c r="A16" s="4"/>
      <c r="B16" s="21">
        <f t="shared" si="2"/>
        <v>4</v>
      </c>
      <c r="C16" s="6" t="s">
        <v>1918</v>
      </c>
      <c r="D16" s="6" t="s">
        <v>937</v>
      </c>
      <c r="E16" s="8"/>
      <c r="F16" s="7" t="s">
        <v>739</v>
      </c>
      <c r="G16" s="7" t="str">
        <f t="shared" si="3"/>
        <v>text</v>
      </c>
      <c r="H16" s="26"/>
      <c r="I16" s="10" t="s">
        <v>127</v>
      </c>
      <c r="J16" s="11" t="s">
        <v>1929</v>
      </c>
      <c r="M16" s="4"/>
      <c r="N16" s="78"/>
      <c r="O16" s="78"/>
      <c r="P16" s="78" t="str">
        <f t="shared" si="4"/>
        <v>,prefecture</v>
      </c>
      <c r="Q16" s="78" t="str">
        <f t="shared" si="0"/>
        <v>TEXT</v>
      </c>
      <c r="R16" s="78" t="str">
        <f t="shared" si="1"/>
        <v/>
      </c>
      <c r="S16" s="78" t="str">
        <f t="shared" si="5"/>
        <v>NOT NULL</v>
      </c>
      <c r="T16" s="78" t="str">
        <f t="shared" si="6"/>
        <v>-- 都道府県名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milscm_2023_009.sny_202310_backup_mt_iryouken2.prefecture IS '都道府県名';</v>
      </c>
    </row>
    <row r="17" spans="1:52" s="25" customFormat="1" ht="34.799999999999997">
      <c r="A17" s="4"/>
      <c r="B17" s="21">
        <f t="shared" si="2"/>
        <v>5</v>
      </c>
      <c r="C17" s="6" t="s">
        <v>1919</v>
      </c>
      <c r="D17" s="6" t="s">
        <v>1920</v>
      </c>
      <c r="E17" s="8" t="s">
        <v>127</v>
      </c>
      <c r="F17" s="7" t="s">
        <v>739</v>
      </c>
      <c r="G17" s="7" t="str">
        <f t="shared" si="3"/>
        <v>text</v>
      </c>
      <c r="H17" s="26"/>
      <c r="I17" s="10" t="s">
        <v>127</v>
      </c>
      <c r="J17" s="11" t="s">
        <v>1929</v>
      </c>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milscm_2023_009.sny_202310_backup_mt_iryouken2.city_code IS '市区町村コード';</v>
      </c>
    </row>
    <row r="18" spans="1:52" s="25" customFormat="1" ht="34.799999999999997">
      <c r="A18" s="4"/>
      <c r="B18" s="21">
        <f t="shared" si="2"/>
        <v>6</v>
      </c>
      <c r="C18" s="6" t="s">
        <v>1921</v>
      </c>
      <c r="D18" s="6" t="s">
        <v>1922</v>
      </c>
      <c r="E18" s="8"/>
      <c r="F18" s="7" t="s">
        <v>739</v>
      </c>
      <c r="G18" s="7" t="str">
        <f t="shared" si="3"/>
        <v>text</v>
      </c>
      <c r="H18" s="26"/>
      <c r="I18" s="10" t="s">
        <v>127</v>
      </c>
      <c r="J18" s="11" t="s">
        <v>1929</v>
      </c>
      <c r="M18" s="4"/>
      <c r="N18" s="78"/>
      <c r="O18" s="78"/>
      <c r="P18" s="78" t="str">
        <f t="shared" si="4"/>
        <v>,city</v>
      </c>
      <c r="Q18" s="78" t="str">
        <f t="shared" si="0"/>
        <v>TEXT</v>
      </c>
      <c r="R18" s="78" t="str">
        <f t="shared" si="1"/>
        <v/>
      </c>
      <c r="S18" s="78" t="str">
        <f t="shared" si="5"/>
        <v>NOT NULL</v>
      </c>
      <c r="T18" s="78" t="str">
        <f t="shared" si="6"/>
        <v>-- 市区町村</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milscm_2023_009.sny_202310_backup_mt_iryouken2.city IS '市区町村';</v>
      </c>
    </row>
    <row r="19" spans="1:52" s="25" customFormat="1" ht="34.799999999999997">
      <c r="A19" s="4"/>
      <c r="B19" s="21">
        <f t="shared" si="2"/>
        <v>7</v>
      </c>
      <c r="C19" s="6" t="s">
        <v>1923</v>
      </c>
      <c r="D19" s="6" t="s">
        <v>1924</v>
      </c>
      <c r="E19" s="8"/>
      <c r="F19" s="7" t="s">
        <v>739</v>
      </c>
      <c r="G19" s="7" t="str">
        <f t="shared" si="3"/>
        <v>text</v>
      </c>
      <c r="H19" s="26">
        <v>0</v>
      </c>
      <c r="I19" s="10" t="s">
        <v>127</v>
      </c>
      <c r="J19" s="11" t="s">
        <v>1929</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milscm_2023_009.sny_202310_backup_mt_iryouken2.del_f IS '削除フラグ';</v>
      </c>
    </row>
    <row r="20" spans="1:52" s="25" customFormat="1" ht="52.2">
      <c r="A20" s="4"/>
      <c r="B20" s="21">
        <f t="shared" si="2"/>
        <v>8</v>
      </c>
      <c r="C20" s="6" t="s">
        <v>1900</v>
      </c>
      <c r="D20" s="6" t="s">
        <v>1901</v>
      </c>
      <c r="E20" s="8" t="s">
        <v>127</v>
      </c>
      <c r="F20" s="7" t="s">
        <v>739</v>
      </c>
      <c r="G20" s="7" t="str">
        <f t="shared" si="3"/>
        <v>text</v>
      </c>
      <c r="H20" s="26">
        <v>99999999</v>
      </c>
      <c r="I20" s="10" t="s">
        <v>127</v>
      </c>
      <c r="J20" s="11" t="s">
        <v>1930</v>
      </c>
      <c r="M20" s="4"/>
      <c r="N20" s="78"/>
      <c r="O20" s="78"/>
      <c r="P20" s="78" t="str">
        <f t="shared" si="4"/>
        <v>,update_ymd</v>
      </c>
      <c r="Q20" s="78" t="str">
        <f t="shared" si="0"/>
        <v>TEXT</v>
      </c>
      <c r="R20" s="78" t="str">
        <f t="shared" si="1"/>
        <v>default '99999999'</v>
      </c>
      <c r="S20" s="78" t="str">
        <f t="shared" si="5"/>
        <v>NOT NULL</v>
      </c>
      <c r="T20" s="78" t="str">
        <f t="shared" si="6"/>
        <v>-- データ登録年月日</v>
      </c>
      <c r="U20" s="4"/>
      <c r="AA20" s="4"/>
      <c r="AB20" s="4"/>
      <c r="AC20" s="4"/>
      <c r="AD20" s="4"/>
      <c r="AE20" s="4"/>
      <c r="AF20" s="4"/>
      <c r="AG20" s="4"/>
      <c r="AH20" s="4"/>
      <c r="AI20" s="4"/>
      <c r="AJ20" s="78" t="str">
        <f>IF(E20="○",IF(COUNTA(E$13:E20)=1,"",",")&amp;D20,"")</f>
        <v>,update_ymd</v>
      </c>
      <c r="AK20" s="4"/>
      <c r="AL20" s="4"/>
      <c r="AM20" s="4"/>
      <c r="AN20" s="4"/>
      <c r="AO20" s="4"/>
      <c r="AP20" s="4"/>
      <c r="AQ20" s="4"/>
      <c r="AR20" s="4"/>
      <c r="AS20" s="78" t="str">
        <f>"COMMENT ON COLUMN "&amp;エンティティ一覧!$O$2&amp;"."&amp;D$8&amp;"."&amp;D20&amp;" IS '"&amp;C20&amp;"';"</f>
        <v>COMMENT ON COLUMN milscm_2023_009.sny_202310_backup_mt_iryouken2.update_ymd IS 'データ登録年月日';</v>
      </c>
    </row>
    <row r="21" spans="1:52" s="25" customFormat="1" ht="52.2">
      <c r="A21" s="4"/>
      <c r="B21" s="21">
        <f t="shared" si="2"/>
        <v>9</v>
      </c>
      <c r="C21" s="6" t="s">
        <v>1925</v>
      </c>
      <c r="D21" s="6" t="s">
        <v>1926</v>
      </c>
      <c r="E21" s="8"/>
      <c r="F21" s="7" t="s">
        <v>739</v>
      </c>
      <c r="G21" s="7" t="str">
        <f t="shared" si="3"/>
        <v>text</v>
      </c>
      <c r="H21" s="26">
        <v>99999999</v>
      </c>
      <c r="I21" s="10" t="s">
        <v>127</v>
      </c>
      <c r="J21" s="11" t="s">
        <v>1930</v>
      </c>
      <c r="M21" s="4"/>
      <c r="N21" s="78"/>
      <c r="O21" s="78"/>
      <c r="P21" s="78" t="str">
        <f t="shared" si="4"/>
        <v>,henkou_ymd</v>
      </c>
      <c r="Q21" s="78" t="str">
        <f t="shared" si="0"/>
        <v>TEXT</v>
      </c>
      <c r="R21" s="78" t="str">
        <f t="shared" si="1"/>
        <v>default '99999999'</v>
      </c>
      <c r="S21" s="78" t="str">
        <f t="shared" si="5"/>
        <v>NOT NULL</v>
      </c>
      <c r="T21" s="78" t="str">
        <f t="shared" si="6"/>
        <v>-- 変更年月日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milscm_2023_009.sny_202310_backup_mt_iryouken2.henkou_ymd IS '変更年月日';</v>
      </c>
    </row>
    <row r="22" spans="1:52" s="25" customFormat="1" ht="52.8" thickBot="1">
      <c r="A22" s="4"/>
      <c r="B22" s="27">
        <f>ROW()-12</f>
        <v>10</v>
      </c>
      <c r="C22" s="57" t="s">
        <v>1927</v>
      </c>
      <c r="D22" s="57" t="s">
        <v>1928</v>
      </c>
      <c r="E22" s="56"/>
      <c r="F22" s="56" t="s">
        <v>739</v>
      </c>
      <c r="G22" s="56" t="str">
        <f t="shared" si="3"/>
        <v>text</v>
      </c>
      <c r="H22" s="59">
        <v>99999999</v>
      </c>
      <c r="I22" s="60" t="s">
        <v>127</v>
      </c>
      <c r="J22" s="64" t="s">
        <v>1930</v>
      </c>
      <c r="N22" s="78"/>
      <c r="O22" s="78"/>
      <c r="P22" s="78" t="str">
        <f t="shared" si="4"/>
        <v>,del_ymd</v>
      </c>
      <c r="Q22" s="78" t="str">
        <f t="shared" si="0"/>
        <v>TEXT</v>
      </c>
      <c r="R22" s="78" t="str">
        <f t="shared" si="1"/>
        <v>default '99999999'</v>
      </c>
      <c r="S22" s="78" t="str">
        <f t="shared" si="5"/>
        <v>NOT NULL</v>
      </c>
      <c r="T22" s="78" t="str">
        <f t="shared" si="6"/>
        <v>-- 廃止年月日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milscm_2023_009.sny_202310_backup_mt_iryouken2.del_ymd IS '廃止年月日';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ENT_01_A3-04</v>
      </c>
      <c r="E6" s="251"/>
      <c r="F6" s="251"/>
      <c r="G6" s="251"/>
      <c r="H6" s="251"/>
      <c r="I6" s="251"/>
      <c r="J6" s="252"/>
    </row>
    <row r="7" spans="1:45">
      <c r="B7" s="240" t="s">
        <v>115</v>
      </c>
      <c r="C7" s="241"/>
      <c r="D7" s="242" t="s">
        <v>1931</v>
      </c>
      <c r="E7" s="243"/>
      <c r="F7" s="243"/>
      <c r="G7" s="243"/>
      <c r="H7" s="243"/>
      <c r="I7" s="243"/>
      <c r="J7" s="244"/>
    </row>
    <row r="8" spans="1:45">
      <c r="B8" s="240" t="s">
        <v>116</v>
      </c>
      <c r="C8" s="241"/>
      <c r="D8" s="242" t="str">
        <f>エンティティ一覧!AE2&amp;"_"&amp;D5&amp;"_mt_old_new_iyakuhin"</f>
        <v>sny_202310_backup_mt_old_new_iyakuhin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milscm_2023_009.sny_202310_backup_mt_old_new_iyakuhin;</v>
      </c>
      <c r="O10" s="78"/>
      <c r="P10" s="78"/>
      <c r="Q10" s="78"/>
      <c r="R10" s="78"/>
      <c r="S10" s="78"/>
      <c r="T10" s="78"/>
      <c r="AJ10" s="78" t="str">
        <f>"ALTER TABLE ONLY "&amp;エンティティ一覧!$O$2&amp;"."&amp;D$8</f>
        <v>ALTER TABLE ONLY milscm_2023_009.sny_202310_backup_mt_old_new_iyakuhin</v>
      </c>
      <c r="AS10" s="78" t="str">
        <f>"ALTER TABLE "&amp;エンティティ一覧!$O$2&amp;"."&amp;D$8&amp;" OWNER TO pgmisgrp1;"</f>
        <v>ALTER TABLE milscm_2023_009.sny_202310_backup_mt_old_new_iyakuhin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milscm_2023_009.sny_202310_backup_mt_old_new_iyakuhin</v>
      </c>
      <c r="O11" s="78"/>
      <c r="P11" s="78"/>
      <c r="Q11" s="78"/>
      <c r="R11" s="78"/>
      <c r="S11" s="78"/>
      <c r="T11" s="78"/>
      <c r="AJ11" s="78" t="str">
        <f>"ADD CONSTRAINT "&amp;D$8&amp;"_pkey PRIMARY KEY"</f>
        <v>ADD CONSTRAINT sny_202310_backup_mt_old_new_iyakuhin_pkey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milscm_2023_009.sny_202310_backup_mt_old_new_iyakuhin IS 'バックアップ_新旧医薬品コードマスタ取込用';</v>
      </c>
    </row>
    <row r="13" spans="1:45" s="25" customFormat="1" ht="34.799999999999997">
      <c r="A13" s="4"/>
      <c r="B13" s="21">
        <f>ROW()-12</f>
        <v>1</v>
      </c>
      <c r="C13" s="6" t="s">
        <v>1933</v>
      </c>
      <c r="D13" s="6" t="s">
        <v>1934</v>
      </c>
      <c r="E13" s="8" t="s">
        <v>127</v>
      </c>
      <c r="F13" s="8" t="s">
        <v>739</v>
      </c>
      <c r="G13" s="7" t="str">
        <f>IF(F13="フラグ","boolean",IF(F13="文字列","text",IF(F13="整数","integer",IF(F13="実数","numeric",""))))</f>
        <v>text</v>
      </c>
      <c r="H13" s="9" t="s">
        <v>1940</v>
      </c>
      <c r="I13" s="10" t="s">
        <v>127</v>
      </c>
      <c r="J13" s="11" t="s">
        <v>1941</v>
      </c>
      <c r="M13" s="4"/>
      <c r="N13" s="78"/>
      <c r="O13" s="78"/>
      <c r="P13" s="78" t="str">
        <f>IF(B13&lt;&gt;1,","&amp;D13,D13)</f>
        <v>siko_ymd</v>
      </c>
      <c r="Q13" s="78" t="str">
        <f t="shared" ref="Q13:Q16" si="0">UPPER(G13)</f>
        <v>TEXT</v>
      </c>
      <c r="R13" s="78" t="str">
        <f t="shared" ref="R13:R16"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milscm_2023_009.sny_202310_backup_mt_old_new_iyakuhin.siko_ymd IS '施行年月日';</v>
      </c>
    </row>
    <row r="14" spans="1:45" s="25" customFormat="1" ht="34.799999999999997">
      <c r="A14" s="4"/>
      <c r="B14" s="21">
        <f t="shared" ref="B14:B15" si="2">ROW()-12</f>
        <v>2</v>
      </c>
      <c r="C14" s="6" t="s">
        <v>1935</v>
      </c>
      <c r="D14" s="6" t="s">
        <v>1936</v>
      </c>
      <c r="E14" s="8" t="s">
        <v>127</v>
      </c>
      <c r="F14" s="7" t="s">
        <v>739</v>
      </c>
      <c r="G14" s="7" t="str">
        <f t="shared" ref="G14:G16" si="3">IF(F14="フラグ","boolean",IF(F14="文字列","text",IF(F14="整数","integer",IF(F14="実数","numeric",""))))</f>
        <v>text</v>
      </c>
      <c r="H14" s="26"/>
      <c r="I14" s="10" t="s">
        <v>127</v>
      </c>
      <c r="J14" s="11" t="s">
        <v>1942</v>
      </c>
      <c r="M14" s="4"/>
      <c r="N14" s="78"/>
      <c r="O14" s="78"/>
      <c r="P14" s="78" t="str">
        <f t="shared" ref="P14:P16" si="4">IF(B14&lt;&gt;1,","&amp;D14,D14)</f>
        <v>,old_iyakuhin_cd</v>
      </c>
      <c r="Q14" s="78" t="str">
        <f t="shared" si="0"/>
        <v>TEXT</v>
      </c>
      <c r="R14" s="78" t="str">
        <f t="shared" si="1"/>
        <v/>
      </c>
      <c r="S14" s="78" t="str">
        <f t="shared" ref="S14:S16" si="5">IF(I14="○","NOT NULL","")</f>
        <v>NOT NULL</v>
      </c>
      <c r="T14" s="78" t="str">
        <f t="shared" ref="T14:T16" si="6">"-- "&amp;C14</f>
        <v>-- 旧医薬品コード</v>
      </c>
      <c r="U14" s="4"/>
      <c r="AA14" s="4"/>
      <c r="AB14" s="4"/>
      <c r="AC14" s="4"/>
      <c r="AD14" s="4"/>
      <c r="AE14" s="4"/>
      <c r="AF14" s="4"/>
      <c r="AG14" s="4"/>
      <c r="AH14" s="4"/>
      <c r="AI14" s="4"/>
      <c r="AJ14" s="78" t="str">
        <f>IF(E14="○",IF(COUNTA(E$13:E14)=1,"",",")&amp;D14,"")</f>
        <v>,old_iyakuhin_cd</v>
      </c>
      <c r="AK14" s="4"/>
      <c r="AL14" s="4"/>
      <c r="AM14" s="4"/>
      <c r="AN14" s="4"/>
      <c r="AO14" s="4"/>
      <c r="AP14" s="4"/>
      <c r="AQ14" s="4"/>
      <c r="AR14" s="4"/>
      <c r="AS14" s="78" t="str">
        <f>"COMMENT ON COLUMN "&amp;エンティティ一覧!$O$2&amp;"."&amp;D$8&amp;"."&amp;D14&amp;" IS '"&amp;C14&amp;"';"</f>
        <v>COMMENT ON COLUMN milscm_2023_009.sny_202310_backup_mt_old_new_iyakuhin.old_iyakuhin_cd IS '旧医薬品コード';</v>
      </c>
    </row>
    <row r="15" spans="1:45" s="25" customFormat="1" ht="34.799999999999997">
      <c r="A15" s="4"/>
      <c r="B15" s="21">
        <f t="shared" si="2"/>
        <v>3</v>
      </c>
      <c r="C15" s="6" t="s">
        <v>1937</v>
      </c>
      <c r="D15" s="6" t="s">
        <v>1938</v>
      </c>
      <c r="E15" s="8" t="s">
        <v>127</v>
      </c>
      <c r="F15" s="7" t="s">
        <v>739</v>
      </c>
      <c r="G15" s="7" t="str">
        <f t="shared" si="3"/>
        <v>text</v>
      </c>
      <c r="H15" s="26"/>
      <c r="I15" s="10" t="s">
        <v>127</v>
      </c>
      <c r="J15" s="11" t="s">
        <v>1943</v>
      </c>
      <c r="M15" s="4"/>
      <c r="N15" s="78"/>
      <c r="O15" s="78"/>
      <c r="P15" s="78" t="str">
        <f t="shared" si="4"/>
        <v>,new_iyakuhin_cd</v>
      </c>
      <c r="Q15" s="78" t="str">
        <f t="shared" si="0"/>
        <v>TEXT</v>
      </c>
      <c r="R15" s="78" t="str">
        <f t="shared" si="1"/>
        <v/>
      </c>
      <c r="S15" s="78" t="str">
        <f t="shared" si="5"/>
        <v>NOT NULL</v>
      </c>
      <c r="T15" s="78" t="str">
        <f t="shared" si="6"/>
        <v>-- 新医薬品コード</v>
      </c>
      <c r="U15" s="4"/>
      <c r="AA15" s="4"/>
      <c r="AB15" s="4"/>
      <c r="AC15" s="4"/>
      <c r="AD15" s="4"/>
      <c r="AE15" s="4"/>
      <c r="AF15" s="4"/>
      <c r="AG15" s="4"/>
      <c r="AH15" s="4"/>
      <c r="AI15" s="4"/>
      <c r="AJ15" s="78" t="str">
        <f>IF(E15="○",IF(COUNTA(E$13:E15)=1,"",",")&amp;D15,"")</f>
        <v>,new_iyakuhin_cd</v>
      </c>
      <c r="AK15" s="4"/>
      <c r="AL15" s="4"/>
      <c r="AM15" s="4"/>
      <c r="AN15" s="4"/>
      <c r="AO15" s="4"/>
      <c r="AP15" s="4"/>
      <c r="AQ15" s="4"/>
      <c r="AR15" s="4"/>
      <c r="AS15" s="78" t="str">
        <f>"COMMENT ON COLUMN "&amp;エンティティ一覧!$O$2&amp;"."&amp;D$8&amp;"."&amp;D15&amp;" IS '"&amp;C15&amp;"';"</f>
        <v>COMMENT ON COLUMN milscm_2023_009.sny_202310_backup_mt_old_new_iyakuhin.new_iyakuhin_cd IS '新医薬品コード';</v>
      </c>
    </row>
    <row r="16" spans="1:45" s="25" customFormat="1" ht="35.4" thickBot="1">
      <c r="A16" s="4"/>
      <c r="B16" s="27">
        <f>ROW()-12</f>
        <v>4</v>
      </c>
      <c r="C16" s="57" t="s">
        <v>1939</v>
      </c>
      <c r="D16" s="57" t="s">
        <v>1901</v>
      </c>
      <c r="E16" s="56"/>
      <c r="F16" s="56" t="s">
        <v>739</v>
      </c>
      <c r="G16" s="56" t="str">
        <f t="shared" si="3"/>
        <v>text</v>
      </c>
      <c r="H16" s="59">
        <v>99999999</v>
      </c>
      <c r="I16" s="60" t="s">
        <v>127</v>
      </c>
      <c r="J16" s="64" t="s">
        <v>1944</v>
      </c>
      <c r="N16" s="78"/>
      <c r="O16" s="78"/>
      <c r="P16" s="78" t="str">
        <f t="shared" si="4"/>
        <v>,update_ymd</v>
      </c>
      <c r="Q16" s="78" t="str">
        <f t="shared" si="0"/>
        <v>TEXT</v>
      </c>
      <c r="R16" s="78" t="str">
        <f t="shared" si="1"/>
        <v>default '99999999'</v>
      </c>
      <c r="S16" s="78" t="str">
        <f t="shared" si="5"/>
        <v>NOT NULL</v>
      </c>
      <c r="T16" s="78" t="str">
        <f t="shared" si="6"/>
        <v>-- データ登録年月日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milscm_2023_009.sny_202310_backup_mt_old_new_iyakuhin.update_ymd IS 'データ登録年月日';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ENT_01_A3-05</v>
      </c>
      <c r="E6" s="251"/>
      <c r="F6" s="251"/>
      <c r="G6" s="251"/>
      <c r="H6" s="251"/>
      <c r="I6" s="251"/>
      <c r="J6" s="252"/>
    </row>
    <row r="7" spans="1:45">
      <c r="B7" s="240" t="s">
        <v>115</v>
      </c>
      <c r="C7" s="241"/>
      <c r="D7" s="242" t="s">
        <v>1945</v>
      </c>
      <c r="E7" s="243"/>
      <c r="F7" s="243"/>
      <c r="G7" s="243"/>
      <c r="H7" s="243"/>
      <c r="I7" s="243"/>
      <c r="J7" s="244"/>
    </row>
    <row r="8" spans="1:45">
      <c r="B8" s="240" t="s">
        <v>116</v>
      </c>
      <c r="C8" s="241"/>
      <c r="D8" s="242" t="str">
        <f>エンティティ一覧!AE2&amp;"_"&amp;D5&amp;"_mt_dpc6_icd"</f>
        <v>sny_202310_backup_mt_dpc6_icd</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milscm_2023_009.sny_202310_backup_mt_dpc6_icd;</v>
      </c>
      <c r="O10" s="78"/>
      <c r="P10" s="78"/>
      <c r="Q10" s="78"/>
      <c r="R10" s="78"/>
      <c r="S10" s="78"/>
      <c r="T10" s="78"/>
      <c r="AJ10" s="78" t="str">
        <f>"ALTER TABLE ONLY "&amp;エンティティ一覧!$O$2&amp;"."&amp;D$8</f>
        <v>ALTER TABLE ONLY milscm_2023_009.sny_202310_backup_mt_dpc6_icd</v>
      </c>
      <c r="AS10" s="78" t="str">
        <f>"ALTER TABLE "&amp;エンティティ一覧!$O$2&amp;"."&amp;D$8&amp;" OWNER TO pgmisgrp1;"</f>
        <v>ALTER TABLE milscm_2023_009.sny_202310_backup_mt_dpc6_icd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milscm_2023_009.sny_202310_backup_mt_dpc6_icd</v>
      </c>
      <c r="O11" s="78"/>
      <c r="P11" s="78"/>
      <c r="Q11" s="78"/>
      <c r="R11" s="78"/>
      <c r="S11" s="78"/>
      <c r="T11" s="78"/>
      <c r="AJ11" s="78" t="str">
        <f>"ADD CONSTRAINT "&amp;D$8&amp;"_pkey PRIMARY KEY"</f>
        <v>ADD CONSTRAINT sny_202310_backup_mt_dpc6_icd_pkey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milscm_2023_009.sny_202310_backup_mt_dpc6_icd IS 'バックアップ_DPC6ICD10対応表マスタ取込用';</v>
      </c>
    </row>
    <row r="13" spans="1:45" s="25" customFormat="1" ht="52.2">
      <c r="A13" s="4"/>
      <c r="B13" s="21">
        <f>ROW()-12</f>
        <v>1</v>
      </c>
      <c r="C13" s="6" t="s">
        <v>1933</v>
      </c>
      <c r="D13" s="6" t="s">
        <v>1934</v>
      </c>
      <c r="E13" s="8" t="s">
        <v>127</v>
      </c>
      <c r="F13" s="8" t="s">
        <v>739</v>
      </c>
      <c r="G13" s="7" t="str">
        <f>IF(F13="フラグ","boolean",IF(F13="文字列","text",IF(F13="整数","integer",IF(F13="実数","numeric",""))))</f>
        <v>text</v>
      </c>
      <c r="H13" s="9">
        <v>99999999</v>
      </c>
      <c r="I13" s="10" t="s">
        <v>127</v>
      </c>
      <c r="J13" s="11" t="s">
        <v>1959</v>
      </c>
      <c r="M13" s="4"/>
      <c r="N13" s="78"/>
      <c r="O13" s="78"/>
      <c r="P13" s="78" t="str">
        <f>IF(B13&lt;&gt;1,","&amp;D13,D13)</f>
        <v>siko_ymd</v>
      </c>
      <c r="Q13" s="78" t="str">
        <f t="shared" ref="Q13:Q21" si="0">UPPER(G13)</f>
        <v>TEXT</v>
      </c>
      <c r="R13" s="78" t="str">
        <f t="shared" ref="R13:R21"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milscm_2023_009.sny_202310_backup_mt_dpc6_icd.siko_ymd IS '施行年月日';</v>
      </c>
    </row>
    <row r="14" spans="1:45" s="25" customFormat="1" ht="156.6">
      <c r="A14" s="4"/>
      <c r="B14" s="21">
        <f t="shared" ref="B14:B20" si="2">ROW()-12</f>
        <v>2</v>
      </c>
      <c r="C14" s="6" t="s">
        <v>1946</v>
      </c>
      <c r="D14" s="6" t="s">
        <v>1947</v>
      </c>
      <c r="E14" s="8" t="s">
        <v>127</v>
      </c>
      <c r="F14" s="7" t="s">
        <v>1757</v>
      </c>
      <c r="G14" s="7" t="str">
        <f t="shared" ref="G14:G21" si="3">IF(F14="フラグ","boolean",IF(F14="文字列","text",IF(F14="整数","integer",IF(F14="実数","numeric",""))))</f>
        <v>text</v>
      </c>
      <c r="H14" s="26"/>
      <c r="I14" s="10" t="s">
        <v>127</v>
      </c>
      <c r="J14" s="11" t="s">
        <v>1960</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,henkou_kubun</v>
      </c>
      <c r="AK14" s="4"/>
      <c r="AL14" s="4"/>
      <c r="AM14" s="4"/>
      <c r="AN14" s="4"/>
      <c r="AO14" s="4"/>
      <c r="AP14" s="4"/>
      <c r="AQ14" s="4"/>
      <c r="AR14" s="4"/>
      <c r="AS14" s="78" t="str">
        <f>"COMMENT ON COLUMN "&amp;エンティティ一覧!$O$2&amp;"."&amp;D$8&amp;"."&amp;D14&amp;" IS '"&amp;C14&amp;"';"</f>
        <v>COMMENT ON COLUMN milscm_2023_009.sny_202310_backup_mt_dpc6_icd.henkou_kubun IS '変更区分';</v>
      </c>
    </row>
    <row r="15" spans="1:45" s="25" customFormat="1" ht="34.799999999999997">
      <c r="A15" s="4"/>
      <c r="B15" s="21">
        <f t="shared" si="2"/>
        <v>3</v>
      </c>
      <c r="C15" s="6" t="s">
        <v>1948</v>
      </c>
      <c r="D15" s="6" t="s">
        <v>1949</v>
      </c>
      <c r="E15" s="8"/>
      <c r="F15" s="7" t="s">
        <v>739</v>
      </c>
      <c r="G15" s="7" t="str">
        <f t="shared" si="3"/>
        <v>text</v>
      </c>
      <c r="H15" s="26"/>
      <c r="I15" s="10" t="s">
        <v>127</v>
      </c>
      <c r="J15" s="11" t="s">
        <v>1961</v>
      </c>
      <c r="M15" s="4"/>
      <c r="N15" s="78"/>
      <c r="O15" s="78"/>
      <c r="P15" s="78" t="str">
        <f t="shared" si="4"/>
        <v>,dpc2_cd</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milscm_2023_009.sny_202310_backup_mt_dpc6_icd.dpc2_cd IS 'DPCコード2桁';</v>
      </c>
    </row>
    <row r="16" spans="1:45" s="25" customFormat="1" ht="34.799999999999997">
      <c r="A16" s="4"/>
      <c r="B16" s="21">
        <f t="shared" si="2"/>
        <v>4</v>
      </c>
      <c r="C16" s="6" t="s">
        <v>1950</v>
      </c>
      <c r="D16" s="6" t="s">
        <v>1951</v>
      </c>
      <c r="E16" s="8"/>
      <c r="F16" s="7" t="s">
        <v>739</v>
      </c>
      <c r="G16" s="7" t="str">
        <f t="shared" si="3"/>
        <v>text</v>
      </c>
      <c r="H16" s="26"/>
      <c r="I16" s="10" t="s">
        <v>127</v>
      </c>
      <c r="J16" s="11" t="s">
        <v>1961</v>
      </c>
      <c r="M16" s="4"/>
      <c r="N16" s="78"/>
      <c r="O16" s="78"/>
      <c r="P16" s="78" t="str">
        <f t="shared" si="4"/>
        <v>,dpc6_cd</v>
      </c>
      <c r="Q16" s="78" t="str">
        <f t="shared" si="0"/>
        <v>TEXT</v>
      </c>
      <c r="R16" s="78" t="str">
        <f t="shared" si="1"/>
        <v/>
      </c>
      <c r="S16" s="78" t="str">
        <f t="shared" si="5"/>
        <v>NOT NULL</v>
      </c>
      <c r="T16" s="78" t="str">
        <f t="shared" si="6"/>
        <v>-- DPCコード6桁</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milscm_2023_009.sny_202310_backup_mt_dpc6_icd.dpc6_cd IS 'DPCコード6桁';</v>
      </c>
    </row>
    <row r="17" spans="1:52" s="25" customFormat="1" ht="34.799999999999997">
      <c r="A17" s="4"/>
      <c r="B17" s="21">
        <f t="shared" si="2"/>
        <v>5</v>
      </c>
      <c r="C17" s="6" t="s">
        <v>665</v>
      </c>
      <c r="D17" s="6" t="s">
        <v>1952</v>
      </c>
      <c r="E17" s="8" t="s">
        <v>127</v>
      </c>
      <c r="F17" s="7" t="s">
        <v>739</v>
      </c>
      <c r="G17" s="7" t="str">
        <f t="shared" si="3"/>
        <v>text</v>
      </c>
      <c r="H17" s="26"/>
      <c r="I17" s="10" t="s">
        <v>127</v>
      </c>
      <c r="J17" s="11" t="s">
        <v>1961</v>
      </c>
      <c r="M17" s="4"/>
      <c r="N17" s="78"/>
      <c r="O17" s="78"/>
      <c r="P17" s="78" t="str">
        <f t="shared" si="4"/>
        <v>,icd10_cd</v>
      </c>
      <c r="Q17" s="78" t="str">
        <f t="shared" si="0"/>
        <v>TEXT</v>
      </c>
      <c r="R17" s="78" t="str">
        <f t="shared" si="1"/>
        <v/>
      </c>
      <c r="S17" s="78" t="str">
        <f t="shared" si="5"/>
        <v>NOT NULL</v>
      </c>
      <c r="T17" s="78" t="str">
        <f t="shared" si="6"/>
        <v>-- ICD10コード</v>
      </c>
      <c r="U17" s="4"/>
      <c r="AA17" s="4"/>
      <c r="AB17" s="4"/>
      <c r="AC17" s="4"/>
      <c r="AD17" s="4"/>
      <c r="AE17" s="4"/>
      <c r="AF17" s="4"/>
      <c r="AG17" s="4"/>
      <c r="AH17" s="4"/>
      <c r="AI17" s="4"/>
      <c r="AJ17" s="78" t="str">
        <f>IF(E17="○",IF(COUNTA(E$13:E17)=1,"",",")&amp;D17,"")</f>
        <v>,icd10_cd</v>
      </c>
      <c r="AK17" s="4"/>
      <c r="AL17" s="4"/>
      <c r="AM17" s="4"/>
      <c r="AN17" s="4"/>
      <c r="AO17" s="4"/>
      <c r="AP17" s="4"/>
      <c r="AQ17" s="4"/>
      <c r="AR17" s="4"/>
      <c r="AS17" s="78" t="str">
        <f>"COMMENT ON COLUMN "&amp;エンティティ一覧!$O$2&amp;"."&amp;D$8&amp;"."&amp;D17&amp;" IS '"&amp;C17&amp;"';"</f>
        <v>COMMENT ON COLUMN milscm_2023_009.sny_202310_backup_mt_dpc6_icd.icd10_cd IS 'ICD10コード';</v>
      </c>
    </row>
    <row r="18" spans="1:52" s="25" customFormat="1" ht="34.799999999999997">
      <c r="A18" s="4"/>
      <c r="B18" s="21">
        <f t="shared" si="2"/>
        <v>6</v>
      </c>
      <c r="C18" s="6" t="s">
        <v>1953</v>
      </c>
      <c r="D18" s="6" t="s">
        <v>1954</v>
      </c>
      <c r="E18" s="8"/>
      <c r="F18" s="7" t="s">
        <v>739</v>
      </c>
      <c r="G18" s="7" t="str">
        <f t="shared" si="3"/>
        <v>text</v>
      </c>
      <c r="H18" s="26"/>
      <c r="I18" s="10" t="s">
        <v>127</v>
      </c>
      <c r="J18" s="11" t="s">
        <v>1961</v>
      </c>
      <c r="M18" s="4"/>
      <c r="N18" s="78"/>
      <c r="O18" s="78"/>
      <c r="P18" s="78" t="str">
        <f t="shared" si="4"/>
        <v>,icd10_name</v>
      </c>
      <c r="Q18" s="78" t="str">
        <f t="shared" si="0"/>
        <v>TEXT</v>
      </c>
      <c r="R18" s="78" t="str">
        <f t="shared" si="1"/>
        <v/>
      </c>
      <c r="S18" s="78" t="str">
        <f t="shared" si="5"/>
        <v>NOT NULL</v>
      </c>
      <c r="T18" s="78" t="str">
        <f t="shared" si="6"/>
        <v>-- ICD名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milscm_2023_009.sny_202310_backup_mt_dpc6_icd.icd10_name IS 'ICD名';</v>
      </c>
    </row>
    <row r="19" spans="1:52" s="25" customFormat="1" ht="52.2">
      <c r="A19" s="4"/>
      <c r="B19" s="21">
        <f t="shared" si="2"/>
        <v>7</v>
      </c>
      <c r="C19" s="6" t="s">
        <v>1955</v>
      </c>
      <c r="D19" s="6" t="s">
        <v>1956</v>
      </c>
      <c r="E19" s="8"/>
      <c r="F19" s="7" t="s">
        <v>739</v>
      </c>
      <c r="G19" s="7" t="str">
        <f t="shared" si="3"/>
        <v>text</v>
      </c>
      <c r="H19" s="26" t="s">
        <v>1962</v>
      </c>
      <c r="I19" s="10" t="s">
        <v>127</v>
      </c>
      <c r="J19" s="11" t="s">
        <v>1959</v>
      </c>
      <c r="M19" s="4"/>
      <c r="N19" s="78"/>
      <c r="O19" s="78"/>
      <c r="P19" s="78" t="str">
        <f t="shared" si="4"/>
        <v>,start_ymd</v>
      </c>
      <c r="Q19" s="78" t="str">
        <f t="shared" si="0"/>
        <v>TEXT</v>
      </c>
      <c r="R19" s="78" t="str">
        <f t="shared" si="1"/>
        <v>default '00000000'</v>
      </c>
      <c r="S19" s="78" t="str">
        <f t="shared" si="5"/>
        <v>NOT NULL</v>
      </c>
      <c r="T19" s="78" t="str">
        <f t="shared" si="6"/>
        <v>-- 有効期間_開始年月日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milscm_2023_009.sny_202310_backup_mt_dpc6_icd.start_ymd IS '有効期間_開始年月日';</v>
      </c>
    </row>
    <row r="20" spans="1:52" s="25" customFormat="1" ht="52.2">
      <c r="A20" s="4"/>
      <c r="B20" s="21">
        <f t="shared" si="2"/>
        <v>8</v>
      </c>
      <c r="C20" s="6" t="s">
        <v>1957</v>
      </c>
      <c r="D20" s="6" t="s">
        <v>1958</v>
      </c>
      <c r="E20" s="8"/>
      <c r="F20" s="7" t="s">
        <v>739</v>
      </c>
      <c r="G20" s="7" t="str">
        <f t="shared" si="3"/>
        <v>text</v>
      </c>
      <c r="H20" s="26">
        <v>99999999</v>
      </c>
      <c r="I20" s="10" t="s">
        <v>127</v>
      </c>
      <c r="J20" s="11" t="s">
        <v>1959</v>
      </c>
      <c r="M20" s="4"/>
      <c r="N20" s="78"/>
      <c r="O20" s="78"/>
      <c r="P20" s="78" t="str">
        <f t="shared" si="4"/>
        <v>,end_ymd</v>
      </c>
      <c r="Q20" s="78" t="str">
        <f t="shared" si="0"/>
        <v>TEXT</v>
      </c>
      <c r="R20" s="78" t="str">
        <f t="shared" si="1"/>
        <v>default '99999999'</v>
      </c>
      <c r="S20" s="78" t="str">
        <f t="shared" si="5"/>
        <v>NOT NULL</v>
      </c>
      <c r="T20" s="78" t="str">
        <f t="shared" si="6"/>
        <v>-- 有効期間_終了年月日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milscm_2023_009.sny_202310_backup_mt_dpc6_icd.end_ymd IS '有効期間_終了年月日';</v>
      </c>
    </row>
    <row r="21" spans="1:52" s="25" customFormat="1" ht="52.8" thickBot="1">
      <c r="A21" s="4"/>
      <c r="B21" s="27">
        <f>ROW()-12</f>
        <v>9</v>
      </c>
      <c r="C21" s="57" t="s">
        <v>1939</v>
      </c>
      <c r="D21" s="57" t="s">
        <v>1901</v>
      </c>
      <c r="E21" s="56"/>
      <c r="F21" s="56" t="s">
        <v>739</v>
      </c>
      <c r="G21" s="56" t="str">
        <f t="shared" si="3"/>
        <v>text</v>
      </c>
      <c r="H21" s="59">
        <v>99999999</v>
      </c>
      <c r="I21" s="60" t="s">
        <v>127</v>
      </c>
      <c r="J21" s="64" t="s">
        <v>1959</v>
      </c>
      <c r="N21" s="78"/>
      <c r="O21" s="78"/>
      <c r="P21" s="78" t="str">
        <f t="shared" si="4"/>
        <v>,update_ymd</v>
      </c>
      <c r="Q21" s="78" t="str">
        <f t="shared" si="0"/>
        <v>TEXT</v>
      </c>
      <c r="R21" s="78" t="str">
        <f t="shared" si="1"/>
        <v>default '99999999'</v>
      </c>
      <c r="S21" s="78" t="str">
        <f t="shared" si="5"/>
        <v>NOT NULL</v>
      </c>
      <c r="T21" s="78" t="str">
        <f t="shared" si="6"/>
        <v>-- データ登録年月日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milscm_2023_009.sny_202310_backup_mt_dpc6_icd.update_ymd IS 'データ登録年月日';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ENT_01_A3-06</v>
      </c>
      <c r="E6" s="251"/>
      <c r="F6" s="251"/>
      <c r="G6" s="251"/>
      <c r="H6" s="251"/>
      <c r="I6" s="251"/>
      <c r="J6" s="252"/>
    </row>
    <row r="7" spans="1:45">
      <c r="B7" s="240" t="s">
        <v>115</v>
      </c>
      <c r="C7" s="241"/>
      <c r="D7" s="242" t="s">
        <v>1963</v>
      </c>
      <c r="E7" s="243"/>
      <c r="F7" s="243"/>
      <c r="G7" s="243"/>
      <c r="H7" s="243"/>
      <c r="I7" s="243"/>
      <c r="J7" s="244"/>
    </row>
    <row r="8" spans="1:45">
      <c r="B8" s="240" t="s">
        <v>116</v>
      </c>
      <c r="C8" s="241"/>
      <c r="D8" s="242" t="str">
        <f>エンティティ一覧!AE2&amp;"_"&amp;D5&amp;"_mt_syusyokugo"</f>
        <v>sny_202310_backup_mt_syusyokugo</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milscm_2023_009.sny_202310_backup_mt_syusyokugo;</v>
      </c>
      <c r="O10" s="78"/>
      <c r="P10" s="78"/>
      <c r="Q10" s="78"/>
      <c r="R10" s="78"/>
      <c r="S10" s="78"/>
      <c r="T10" s="78"/>
      <c r="AJ10" s="78" t="str">
        <f>"ALTER TABLE ONLY "&amp;エンティティ一覧!$O$2&amp;"."&amp;D$8</f>
        <v>ALTER TABLE ONLY milscm_2023_009.sny_202310_backup_mt_syusyokugo</v>
      </c>
      <c r="AS10" s="78" t="str">
        <f>"ALTER TABLE "&amp;エンティティ一覧!$O$2&amp;"."&amp;D$8&amp;" OWNER TO pgmisgrp1;"</f>
        <v>ALTER TABLE milscm_2023_009.sny_202310_backup_mt_syusyokugo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milscm_2023_009.sny_202310_backup_mt_syusyokugo</v>
      </c>
      <c r="O11" s="78"/>
      <c r="P11" s="78"/>
      <c r="Q11" s="78"/>
      <c r="R11" s="78"/>
      <c r="S11" s="78"/>
      <c r="T11" s="78"/>
      <c r="AJ11" s="78" t="str">
        <f>"ADD CONSTRAINT "&amp;D$8&amp;"_pkey PRIMARY KEY"</f>
        <v>ADD CONSTRAINT sny_202310_backup_mt_syusyokugo_pkey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milscm_2023_009.sny_202310_backup_mt_syusyokugo IS 'バックアップ_修飾語マスタ取込用';</v>
      </c>
    </row>
    <row r="13" spans="1:45" s="25" customFormat="1" ht="69.599999999999994">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32" si="0">UPPER(G13)</f>
        <v>TEXT</v>
      </c>
      <c r="R13" s="78" t="str">
        <f t="shared" ref="R13:R32"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1964</v>
      </c>
      <c r="D14" s="6" t="s">
        <v>1965</v>
      </c>
      <c r="E14" s="8"/>
      <c r="F14" s="7" t="s">
        <v>739</v>
      </c>
      <c r="G14" s="7" t="str">
        <f t="shared" ref="G14:G25" si="3">IF(F14="フラグ","boolean",IF(F14="文字列","text",IF(F14="整数","integer",IF(F14="実数","numeric",""))))</f>
        <v>text</v>
      </c>
      <c r="H14" s="26"/>
      <c r="I14" s="10"/>
      <c r="J14" s="11" t="s">
        <v>1998</v>
      </c>
      <c r="M14" s="4"/>
      <c r="N14" s="78"/>
      <c r="O14" s="78"/>
      <c r="P14" s="78" t="str">
        <f t="shared" ref="P14:P25" si="4">IF(B14&lt;&gt;1,","&amp;D14,D14)</f>
        <v>,master_type</v>
      </c>
      <c r="Q14" s="78" t="str">
        <f t="shared" ref="Q14:Q25" si="5">UPPER(G14)</f>
        <v>TEXT</v>
      </c>
      <c r="R14" s="78" t="str">
        <f t="shared" ref="R14:R25" si="6">IF(H14&lt;&gt;"","default "&amp;IF(G14="text","'"&amp;H14&amp;"'",H14),"")</f>
        <v/>
      </c>
      <c r="S14" s="78" t="str">
        <f t="shared" ref="S14:S25" si="7">IF(I14="○","NOT NULL","")</f>
        <v/>
      </c>
      <c r="T14" s="78" t="str">
        <f t="shared" ref="T14:T25"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1966</v>
      </c>
      <c r="D15" s="6" t="s">
        <v>1967</v>
      </c>
      <c r="E15" s="8" t="s">
        <v>127</v>
      </c>
      <c r="F15" s="7" t="s">
        <v>739</v>
      </c>
      <c r="G15" s="7" t="str">
        <f t="shared" si="3"/>
        <v>text</v>
      </c>
      <c r="H15" s="26"/>
      <c r="I15" s="10" t="s">
        <v>127</v>
      </c>
      <c r="J15" s="11"/>
      <c r="M15" s="4"/>
      <c r="N15" s="78"/>
      <c r="O15" s="78"/>
      <c r="P15" s="78" t="str">
        <f t="shared" si="4"/>
        <v>,syusyokugo_cd</v>
      </c>
      <c r="Q15" s="78" t="str">
        <f t="shared" si="5"/>
        <v>TEXT</v>
      </c>
      <c r="R15" s="78" t="str">
        <f t="shared" si="6"/>
        <v/>
      </c>
      <c r="S15" s="78" t="str">
        <f t="shared" si="7"/>
        <v>NOT NULL</v>
      </c>
      <c r="T15" s="78" t="str">
        <f t="shared" si="8"/>
        <v>-- 修飾語コード</v>
      </c>
      <c r="U15" s="4"/>
      <c r="AA15" s="4"/>
      <c r="AB15" s="4"/>
      <c r="AC15" s="4"/>
      <c r="AD15" s="4"/>
      <c r="AE15" s="4"/>
      <c r="AF15" s="4"/>
      <c r="AG15" s="4"/>
      <c r="AH15" s="4"/>
      <c r="AI15" s="4"/>
      <c r="AJ15" s="78" t="str">
        <f>IF(E15="○",IF(COUNTA(E$13:E15)=1,"",",")&amp;D15,"")</f>
        <v>,syusyokugo_cd</v>
      </c>
      <c r="AK15" s="4"/>
      <c r="AL15" s="4"/>
      <c r="AM15" s="4"/>
      <c r="AN15" s="4"/>
      <c r="AO15" s="4"/>
      <c r="AP15" s="4"/>
      <c r="AQ15" s="4"/>
      <c r="AR15" s="4"/>
      <c r="AS15" s="78"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1968</v>
      </c>
      <c r="D16" s="6" t="s">
        <v>943</v>
      </c>
      <c r="E16" s="8"/>
      <c r="F16" s="7" t="s">
        <v>739</v>
      </c>
      <c r="G16" s="7" t="str">
        <f t="shared" si="3"/>
        <v>text</v>
      </c>
      <c r="H16" s="26"/>
      <c r="I16" s="10"/>
      <c r="J16" s="11" t="s">
        <v>1999</v>
      </c>
      <c r="M16" s="4"/>
      <c r="N16" s="78"/>
      <c r="O16" s="78"/>
      <c r="P16" s="78" t="str">
        <f t="shared" si="4"/>
        <v>,reserve1</v>
      </c>
      <c r="Q16" s="78" t="str">
        <f t="shared" si="5"/>
        <v>TEXT</v>
      </c>
      <c r="R16" s="78" t="str">
        <f t="shared" si="6"/>
        <v/>
      </c>
      <c r="S16" s="78" t="str">
        <f t="shared" si="7"/>
        <v/>
      </c>
      <c r="T16" s="78" t="str">
        <f t="shared" si="8"/>
        <v>-- 予備1</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milscm_2023_009.sny_202310_backup_mt_syusyokugo.reserve1 IS '予備1';</v>
      </c>
    </row>
    <row r="17" spans="1:45" s="25" customFormat="1">
      <c r="A17" s="4"/>
      <c r="B17" s="21">
        <f t="shared" si="2"/>
        <v>5</v>
      </c>
      <c r="C17" s="6" t="s">
        <v>1969</v>
      </c>
      <c r="D17" s="6" t="s">
        <v>994</v>
      </c>
      <c r="E17" s="8"/>
      <c r="F17" s="7" t="s">
        <v>739</v>
      </c>
      <c r="G17" s="7" t="str">
        <f t="shared" si="3"/>
        <v>text</v>
      </c>
      <c r="H17" s="26"/>
      <c r="I17" s="10"/>
      <c r="J17" s="11" t="s">
        <v>1999</v>
      </c>
      <c r="M17" s="4"/>
      <c r="N17" s="78"/>
      <c r="O17" s="78"/>
      <c r="P17" s="78" t="str">
        <f t="shared" si="4"/>
        <v>,reserve2</v>
      </c>
      <c r="Q17" s="78" t="str">
        <f t="shared" si="5"/>
        <v>TEXT</v>
      </c>
      <c r="R17" s="78" t="str">
        <f t="shared" si="6"/>
        <v/>
      </c>
      <c r="S17" s="78" t="str">
        <f t="shared" si="7"/>
        <v/>
      </c>
      <c r="T17" s="78" t="str">
        <f t="shared" si="8"/>
        <v>-- 予備2</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milscm_2023_009.sny_202310_backup_mt_syusyokugo.reserve2 IS '予備2';</v>
      </c>
    </row>
    <row r="18" spans="1:45" s="25" customFormat="1" ht="30">
      <c r="A18" s="4"/>
      <c r="B18" s="21">
        <f t="shared" si="2"/>
        <v>6</v>
      </c>
      <c r="C18" s="6" t="s">
        <v>1970</v>
      </c>
      <c r="D18" s="6" t="s">
        <v>1971</v>
      </c>
      <c r="E18" s="8"/>
      <c r="F18" s="7" t="s">
        <v>1972</v>
      </c>
      <c r="G18" s="7" t="str">
        <f t="shared" si="3"/>
        <v>integer</v>
      </c>
      <c r="H18" s="26"/>
      <c r="I18" s="10"/>
      <c r="J18" s="11"/>
      <c r="M18" s="4"/>
      <c r="N18" s="78"/>
      <c r="O18" s="78"/>
      <c r="P18" s="78" t="str">
        <f t="shared" si="4"/>
        <v>,syusyokugo_name_ketasu</v>
      </c>
      <c r="Q18" s="78" t="str">
        <f t="shared" si="5"/>
        <v>INTEGER</v>
      </c>
      <c r="R18" s="78" t="str">
        <f t="shared" si="6"/>
        <v/>
      </c>
      <c r="S18" s="78" t="str">
        <f t="shared" si="7"/>
        <v/>
      </c>
      <c r="T18" s="78" t="str">
        <f t="shared" si="8"/>
        <v>-- 修飾語名称桁数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1973</v>
      </c>
      <c r="D19" s="6" t="s">
        <v>1974</v>
      </c>
      <c r="E19" s="8"/>
      <c r="F19" s="7" t="s">
        <v>739</v>
      </c>
      <c r="G19" s="7" t="str">
        <f t="shared" si="3"/>
        <v>text</v>
      </c>
      <c r="H19" s="26"/>
      <c r="I19" s="10"/>
      <c r="J19" s="11"/>
      <c r="M19" s="4"/>
      <c r="N19" s="78"/>
      <c r="O19" s="78"/>
      <c r="P19" s="78" t="str">
        <f t="shared" si="4"/>
        <v>,syusyokugo_name</v>
      </c>
      <c r="Q19" s="78" t="str">
        <f t="shared" si="5"/>
        <v>TEXT</v>
      </c>
      <c r="R19" s="78" t="str">
        <f t="shared" si="6"/>
        <v/>
      </c>
      <c r="S19" s="78" t="str">
        <f t="shared" si="7"/>
        <v/>
      </c>
      <c r="T19" s="78" t="str">
        <f t="shared" si="8"/>
        <v>-- 修飾語名称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1975</v>
      </c>
      <c r="D20" s="6" t="s">
        <v>996</v>
      </c>
      <c r="E20" s="8"/>
      <c r="F20" s="7" t="s">
        <v>739</v>
      </c>
      <c r="G20" s="7" t="str">
        <f t="shared" si="3"/>
        <v>text</v>
      </c>
      <c r="H20" s="26"/>
      <c r="I20" s="10"/>
      <c r="J20" s="11" t="s">
        <v>1999</v>
      </c>
      <c r="M20" s="4"/>
      <c r="N20" s="78"/>
      <c r="O20" s="78"/>
      <c r="P20" s="78" t="str">
        <f t="shared" si="4"/>
        <v>,reserve3</v>
      </c>
      <c r="Q20" s="78" t="str">
        <f t="shared" si="5"/>
        <v>TEXT</v>
      </c>
      <c r="R20" s="78" t="str">
        <f t="shared" si="6"/>
        <v/>
      </c>
      <c r="S20" s="78" t="str">
        <f t="shared" si="7"/>
        <v/>
      </c>
      <c r="T20" s="78" t="str">
        <f t="shared" si="8"/>
        <v>-- 予備3</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milscm_2023_009.sny_202310_backup_mt_syusyokugo.reserve3 IS '予備3';</v>
      </c>
    </row>
    <row r="21" spans="1:45" s="25" customFormat="1" ht="30">
      <c r="A21" s="4"/>
      <c r="B21" s="21">
        <f t="shared" si="2"/>
        <v>9</v>
      </c>
      <c r="C21" s="6" t="s">
        <v>1976</v>
      </c>
      <c r="D21" s="6" t="s">
        <v>1977</v>
      </c>
      <c r="E21" s="8"/>
      <c r="F21" s="7" t="s">
        <v>1972</v>
      </c>
      <c r="G21" s="7" t="str">
        <f t="shared" si="3"/>
        <v>integer</v>
      </c>
      <c r="H21" s="26"/>
      <c r="I21" s="10"/>
      <c r="J21" s="11"/>
      <c r="M21" s="4"/>
      <c r="N21" s="78"/>
      <c r="O21" s="78"/>
      <c r="P21" s="78" t="str">
        <f t="shared" si="4"/>
        <v>,syusyokugo_kana_name_ketasu</v>
      </c>
      <c r="Q21" s="78" t="str">
        <f t="shared" si="5"/>
        <v>INTEGER</v>
      </c>
      <c r="R21" s="78" t="str">
        <f t="shared" si="6"/>
        <v/>
      </c>
      <c r="S21" s="78" t="str">
        <f t="shared" si="7"/>
        <v/>
      </c>
      <c r="T21" s="78" t="str">
        <f t="shared" si="8"/>
        <v>-- 修飾語カナ名称桁数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1978</v>
      </c>
      <c r="D22" s="6" t="s">
        <v>1979</v>
      </c>
      <c r="E22" s="8"/>
      <c r="F22" s="7" t="s">
        <v>739</v>
      </c>
      <c r="G22" s="7" t="str">
        <f t="shared" si="3"/>
        <v>text</v>
      </c>
      <c r="H22" s="26"/>
      <c r="I22" s="10"/>
      <c r="J22" s="11"/>
      <c r="M22" s="4"/>
      <c r="N22" s="78"/>
      <c r="O22" s="78"/>
      <c r="P22" s="78" t="str">
        <f t="shared" si="4"/>
        <v>,syusyokugo_kana_name</v>
      </c>
      <c r="Q22" s="78" t="str">
        <f t="shared" si="5"/>
        <v>TEXT</v>
      </c>
      <c r="R22" s="78" t="str">
        <f t="shared" si="6"/>
        <v/>
      </c>
      <c r="S22" s="78" t="str">
        <f t="shared" si="7"/>
        <v/>
      </c>
      <c r="T22" s="78" t="str">
        <f t="shared" si="8"/>
        <v>-- 修飾語カナ名称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1980</v>
      </c>
      <c r="D23" s="6" t="s">
        <v>1203</v>
      </c>
      <c r="E23" s="8"/>
      <c r="F23" s="7" t="s">
        <v>739</v>
      </c>
      <c r="G23" s="7" t="str">
        <f t="shared" si="3"/>
        <v>text</v>
      </c>
      <c r="H23" s="26"/>
      <c r="I23" s="10"/>
      <c r="J23" s="11" t="s">
        <v>1999</v>
      </c>
      <c r="M23" s="4"/>
      <c r="N23" s="78"/>
      <c r="O23" s="78"/>
      <c r="P23" s="78" t="str">
        <f t="shared" si="4"/>
        <v>,reserve4</v>
      </c>
      <c r="Q23" s="78" t="str">
        <f t="shared" si="5"/>
        <v>TEXT</v>
      </c>
      <c r="R23" s="78" t="str">
        <f t="shared" si="6"/>
        <v/>
      </c>
      <c r="S23" s="78" t="str">
        <f t="shared" si="7"/>
        <v/>
      </c>
      <c r="T23" s="78" t="str">
        <f t="shared" si="8"/>
        <v>-- 予備4</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milscm_2023_009.sny_202310_backup_mt_syusyokugo.reserve4 IS '予備4';</v>
      </c>
    </row>
    <row r="24" spans="1:45" s="25" customFormat="1" ht="30">
      <c r="A24" s="4"/>
      <c r="B24" s="21">
        <f t="shared" si="2"/>
        <v>12</v>
      </c>
      <c r="C24" s="6" t="s">
        <v>1981</v>
      </c>
      <c r="D24" s="6" t="s">
        <v>1982</v>
      </c>
      <c r="E24" s="8"/>
      <c r="F24" s="7" t="s">
        <v>739</v>
      </c>
      <c r="G24" s="7" t="str">
        <f t="shared" si="3"/>
        <v>text</v>
      </c>
      <c r="H24" s="26"/>
      <c r="I24" s="10"/>
      <c r="J24" s="11"/>
      <c r="M24" s="4"/>
      <c r="N24" s="78"/>
      <c r="O24" s="78"/>
      <c r="P24" s="78" t="str">
        <f t="shared" si="4"/>
        <v>,syusyokugo_name_henkou</v>
      </c>
      <c r="Q24" s="78" t="str">
        <f t="shared" si="5"/>
        <v>TEXT</v>
      </c>
      <c r="R24" s="78" t="str">
        <f t="shared" si="6"/>
        <v/>
      </c>
      <c r="S24" s="78" t="str">
        <f t="shared" si="7"/>
        <v/>
      </c>
      <c r="T24" s="78" t="str">
        <f t="shared" si="8"/>
        <v>-- 修飾語名称（変更情報）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milscm_2023_009.sny_202310_backup_mt_syusyokugo.syusyokugo_name_henkou IS '修飾語名称（変更情報）';</v>
      </c>
    </row>
    <row r="25" spans="1:45" s="25" customFormat="1" ht="30">
      <c r="A25" s="4"/>
      <c r="B25" s="21">
        <f t="shared" si="2"/>
        <v>13</v>
      </c>
      <c r="C25" s="6" t="s">
        <v>1983</v>
      </c>
      <c r="D25" s="6" t="s">
        <v>1984</v>
      </c>
      <c r="E25" s="8"/>
      <c r="F25" s="7" t="s">
        <v>739</v>
      </c>
      <c r="G25" s="7" t="str">
        <f t="shared" si="3"/>
        <v>text</v>
      </c>
      <c r="H25" s="26"/>
      <c r="I25" s="10"/>
      <c r="J25" s="11"/>
      <c r="M25" s="4"/>
      <c r="N25" s="78"/>
      <c r="O25" s="78"/>
      <c r="P25" s="78" t="str">
        <f t="shared" si="4"/>
        <v>,syusyokugo_kana_name_henkou</v>
      </c>
      <c r="Q25" s="78" t="str">
        <f t="shared" si="5"/>
        <v>TEXT</v>
      </c>
      <c r="R25" s="78" t="str">
        <f t="shared" si="6"/>
        <v/>
      </c>
      <c r="S25" s="78" t="str">
        <f t="shared" si="7"/>
        <v/>
      </c>
      <c r="T25" s="78" t="str">
        <f t="shared" si="8"/>
        <v>-- 修飾語カナ名称（変更情報）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1985</v>
      </c>
      <c r="D26" s="6" t="s">
        <v>1986</v>
      </c>
      <c r="E26" s="8"/>
      <c r="F26" s="7" t="s">
        <v>739</v>
      </c>
      <c r="G26" s="7" t="str">
        <f t="shared" ref="G26:G32" si="10">IF(F26="フラグ","boolean",IF(F26="文字列","text",IF(F26="整数","integer",IF(F26="実数","numeric",""))))</f>
        <v>text</v>
      </c>
      <c r="H26" s="26"/>
      <c r="I26" s="10"/>
      <c r="J26" s="11" t="s">
        <v>1814</v>
      </c>
      <c r="M26" s="4"/>
      <c r="N26" s="78"/>
      <c r="O26" s="78"/>
      <c r="P26" s="78" t="str">
        <f t="shared" ref="P26:P32" si="11">IF(B26&lt;&gt;1,","&amp;D26,D26)</f>
        <v>,syusai_ymd</v>
      </c>
      <c r="Q26" s="78" t="str">
        <f t="shared" si="0"/>
        <v>TEXT</v>
      </c>
      <c r="R26" s="78" t="str">
        <f t="shared" si="1"/>
        <v/>
      </c>
      <c r="S26" s="78" t="str">
        <f t="shared" ref="S26:S32" si="12">IF(I26="○","NOT NULL","")</f>
        <v/>
      </c>
      <c r="T26" s="78" t="str">
        <f t="shared" ref="T26:T32" si="13">"-- "&amp;C26</f>
        <v>-- 収載年月日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1987</v>
      </c>
      <c r="D27" s="6" t="s">
        <v>1988</v>
      </c>
      <c r="E27" s="8"/>
      <c r="F27" s="7" t="s">
        <v>739</v>
      </c>
      <c r="G27" s="7" t="str">
        <f t="shared" si="10"/>
        <v>text</v>
      </c>
      <c r="H27" s="26"/>
      <c r="I27" s="10"/>
      <c r="J27" s="11" t="s">
        <v>1814</v>
      </c>
      <c r="M27" s="4"/>
      <c r="N27" s="78"/>
      <c r="O27" s="78"/>
      <c r="P27" s="78" t="str">
        <f t="shared" si="11"/>
        <v>,henko_ymd</v>
      </c>
      <c r="Q27" s="78" t="str">
        <f t="shared" si="0"/>
        <v>TEXT</v>
      </c>
      <c r="R27" s="78" t="str">
        <f t="shared" si="1"/>
        <v/>
      </c>
      <c r="S27" s="78" t="str">
        <f t="shared" si="12"/>
        <v/>
      </c>
      <c r="T27" s="78" t="str">
        <f t="shared" si="13"/>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1927</v>
      </c>
      <c r="D28" s="6" t="s">
        <v>1989</v>
      </c>
      <c r="E28" s="8"/>
      <c r="F28" s="7" t="s">
        <v>739</v>
      </c>
      <c r="G28" s="7" t="str">
        <f t="shared" si="10"/>
        <v>text</v>
      </c>
      <c r="H28" s="26"/>
      <c r="I28" s="10"/>
      <c r="J28" s="11" t="s">
        <v>1814</v>
      </c>
      <c r="M28" s="4"/>
      <c r="N28" s="78"/>
      <c r="O28" s="78"/>
      <c r="P28" s="78" t="str">
        <f t="shared" si="11"/>
        <v>,haishi_ymd</v>
      </c>
      <c r="Q28" s="78" t="str">
        <f t="shared" si="0"/>
        <v>TEXT</v>
      </c>
      <c r="R28" s="78" t="str">
        <f t="shared" si="1"/>
        <v/>
      </c>
      <c r="S28" s="78" t="str">
        <f t="shared" si="12"/>
        <v/>
      </c>
      <c r="T28" s="78" t="str">
        <f t="shared" si="13"/>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1990</v>
      </c>
      <c r="D29" s="6" t="s">
        <v>1991</v>
      </c>
      <c r="E29" s="8"/>
      <c r="F29" s="7" t="s">
        <v>1972</v>
      </c>
      <c r="G29" s="7" t="str">
        <f t="shared" si="10"/>
        <v>integer</v>
      </c>
      <c r="H29" s="26"/>
      <c r="I29" s="10"/>
      <c r="J29" s="11"/>
      <c r="M29" s="4"/>
      <c r="N29" s="78"/>
      <c r="O29" s="78"/>
      <c r="P29" s="78" t="str">
        <f t="shared" si="11"/>
        <v>,syusyokugo_kanri_no</v>
      </c>
      <c r="Q29" s="78" t="str">
        <f t="shared" si="0"/>
        <v>INTEGER</v>
      </c>
      <c r="R29" s="78" t="str">
        <f t="shared" si="1"/>
        <v/>
      </c>
      <c r="S29" s="78" t="str">
        <f t="shared" si="12"/>
        <v/>
      </c>
      <c r="T29" s="78" t="str">
        <f t="shared" si="13"/>
        <v>-- 修飾語管理番号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1992</v>
      </c>
      <c r="D30" s="6" t="s">
        <v>1993</v>
      </c>
      <c r="E30" s="8"/>
      <c r="F30" s="7" t="s">
        <v>739</v>
      </c>
      <c r="G30" s="7" t="str">
        <f t="shared" si="10"/>
        <v>text</v>
      </c>
      <c r="H30" s="26"/>
      <c r="I30" s="10"/>
      <c r="J30" s="11"/>
      <c r="M30" s="4"/>
      <c r="N30" s="78"/>
      <c r="O30" s="78"/>
      <c r="P30" s="78" t="str">
        <f t="shared" si="11"/>
        <v>,syusyokugo_koukan_cd</v>
      </c>
      <c r="Q30" s="78" t="str">
        <f t="shared" si="0"/>
        <v>TEXT</v>
      </c>
      <c r="R30" s="78" t="str">
        <f t="shared" si="1"/>
        <v/>
      </c>
      <c r="S30" s="78" t="str">
        <f t="shared" si="12"/>
        <v/>
      </c>
      <c r="T30" s="78" t="str">
        <f t="shared" si="13"/>
        <v>-- 修飾語交換用コード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1994</v>
      </c>
      <c r="D31" s="6" t="s">
        <v>1995</v>
      </c>
      <c r="E31" s="8"/>
      <c r="F31" s="7" t="s">
        <v>739</v>
      </c>
      <c r="G31" s="7" t="str">
        <f t="shared" si="10"/>
        <v>text</v>
      </c>
      <c r="H31" s="26"/>
      <c r="I31" s="10"/>
      <c r="J31" s="11"/>
      <c r="M31" s="4"/>
      <c r="N31" s="78"/>
      <c r="O31" s="78"/>
      <c r="P31" s="78" t="str">
        <f t="shared" si="11"/>
        <v>,syusyokugo_kubun</v>
      </c>
      <c r="Q31" s="78" t="str">
        <f t="shared" si="0"/>
        <v>TEXT</v>
      </c>
      <c r="R31" s="78" t="str">
        <f t="shared" si="1"/>
        <v/>
      </c>
      <c r="S31" s="78" t="str">
        <f t="shared" si="12"/>
        <v/>
      </c>
      <c r="T31" s="78" t="str">
        <f t="shared" si="13"/>
        <v>-- 修飾語区分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milscm_2023_009.sny_202310_backup_mt_syusyokugo.syusyokugo_kubun IS '修飾語区分';</v>
      </c>
    </row>
    <row r="32" spans="1:45" s="25" customFormat="1" ht="18" thickBot="1">
      <c r="A32" s="4"/>
      <c r="B32" s="27">
        <f>ROW()-12</f>
        <v>20</v>
      </c>
      <c r="C32" s="57" t="s">
        <v>1996</v>
      </c>
      <c r="D32" s="57" t="s">
        <v>1901</v>
      </c>
      <c r="E32" s="56" t="s">
        <v>127</v>
      </c>
      <c r="F32" s="56" t="s">
        <v>739</v>
      </c>
      <c r="G32" s="56" t="str">
        <f t="shared" si="10"/>
        <v>text</v>
      </c>
      <c r="H32" s="59"/>
      <c r="I32" s="60" t="s">
        <v>127</v>
      </c>
      <c r="J32" s="64" t="s">
        <v>1814</v>
      </c>
      <c r="N32" s="78"/>
      <c r="O32" s="78"/>
      <c r="P32" s="78" t="str">
        <f t="shared" si="11"/>
        <v>,update_ymd</v>
      </c>
      <c r="Q32" s="78" t="str">
        <f t="shared" si="0"/>
        <v>TEXT</v>
      </c>
      <c r="R32" s="78" t="str">
        <f t="shared" si="1"/>
        <v/>
      </c>
      <c r="S32" s="78" t="str">
        <f t="shared" si="12"/>
        <v>NOT NULL</v>
      </c>
      <c r="T32" s="78" t="str">
        <f t="shared" si="13"/>
        <v>-- データ登録日</v>
      </c>
      <c r="U32" s="4"/>
      <c r="AA32" s="4"/>
      <c r="AB32" s="4"/>
      <c r="AC32" s="4"/>
      <c r="AD32" s="4"/>
      <c r="AE32" s="4"/>
      <c r="AF32" s="4"/>
      <c r="AG32" s="4"/>
      <c r="AH32" s="4"/>
      <c r="AI32" s="4"/>
      <c r="AJ32" s="78" t="str">
        <f>IF(E32="○",IF(COUNTA(E$13:E32)=1,"",",")&amp;D32,"")</f>
        <v>,update_ymd</v>
      </c>
      <c r="AK32" s="4"/>
      <c r="AL32" s="4"/>
      <c r="AM32" s="4"/>
      <c r="AN32" s="4"/>
      <c r="AO32" s="4"/>
      <c r="AP32" s="4"/>
      <c r="AQ32" s="4"/>
      <c r="AR32" s="4"/>
      <c r="AS32" s="78" t="str">
        <f>"COMMENT ON COLUMN "&amp;エンティティ一覧!$O$2&amp;"."&amp;D$8&amp;"."&amp;D32&amp;" IS '"&amp;C32&amp;"';"</f>
        <v>COMMENT ON COLUMN milscm_2023_009.sny_202310_backup_mt_syusyokugo.update_ymd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ENT_01_A3-07</v>
      </c>
      <c r="E6" s="251"/>
      <c r="F6" s="251"/>
      <c r="G6" s="251"/>
      <c r="H6" s="251"/>
      <c r="I6" s="251"/>
      <c r="J6" s="252"/>
    </row>
    <row r="7" spans="1:45">
      <c r="B7" s="240" t="s">
        <v>115</v>
      </c>
      <c r="C7" s="241"/>
      <c r="D7" s="242" t="s">
        <v>2000</v>
      </c>
      <c r="E7" s="243"/>
      <c r="F7" s="243"/>
      <c r="G7" s="243"/>
      <c r="H7" s="243"/>
      <c r="I7" s="243"/>
      <c r="J7" s="244"/>
    </row>
    <row r="8" spans="1:45">
      <c r="B8" s="240" t="s">
        <v>116</v>
      </c>
      <c r="C8" s="241"/>
      <c r="D8" s="242" t="str">
        <f>エンティティ一覧!AE2&amp;"_"&amp;D5&amp;"_mt_comment"</f>
        <v>sny_202310_backup_mt_comment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milscm_2023_009.sny_202310_backup_mt_comment;</v>
      </c>
      <c r="O10" s="78"/>
      <c r="P10" s="78"/>
      <c r="Q10" s="78"/>
      <c r="R10" s="78"/>
      <c r="S10" s="78"/>
      <c r="T10" s="78"/>
      <c r="AJ10" s="78" t="str">
        <f>"ALTER TABLE ONLY "&amp;エンティティ一覧!$O$2&amp;"."&amp;D$8</f>
        <v>ALTER TABLE ONLY milscm_2023_009.sny_202310_backup_mt_comment</v>
      </c>
      <c r="AS10" s="78" t="str">
        <f>"ALTER TABLE "&amp;エンティティ一覧!$O$2&amp;"."&amp;D$8&amp;" OWNER TO pgmisgrp1;"</f>
        <v>ALTER TABLE milscm_2023_009.sny_202310_backup_mt_comment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milscm_2023_009.sny_202310_backup_mt_comment</v>
      </c>
      <c r="O11" s="78"/>
      <c r="P11" s="78"/>
      <c r="Q11" s="78"/>
      <c r="R11" s="78"/>
      <c r="S11" s="78"/>
      <c r="T11" s="78"/>
      <c r="AJ11" s="78" t="str">
        <f>"ADD CONSTRAINT "&amp;D$8&amp;"_pkey PRIMARY KEY"</f>
        <v>ADD CONSTRAINT sny_202310_backup_mt_comment_pkey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milscm_2023_009.sny_202310_backup_mt_comment IS 'バックアップ_コメントマスタ取込用';</v>
      </c>
    </row>
    <row r="13" spans="1:45" s="25" customFormat="1" ht="69.599999999999994">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43" si="0">UPPER(G13)</f>
        <v>TEXT</v>
      </c>
      <c r="R13" s="78" t="str">
        <f t="shared" ref="R13:R43"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1964</v>
      </c>
      <c r="D14" s="6" t="s">
        <v>1965</v>
      </c>
      <c r="E14" s="8"/>
      <c r="F14" s="7" t="s">
        <v>739</v>
      </c>
      <c r="G14" s="7" t="str">
        <f t="shared" ref="G14:G23" si="3">IF(F14="フラグ","boolean",IF(F14="文字列","text",IF(F14="整数","integer",IF(F14="実数","numeric",""))))</f>
        <v>text</v>
      </c>
      <c r="H14" s="26"/>
      <c r="I14" s="10" t="s">
        <v>127</v>
      </c>
      <c r="J14" s="11" t="s">
        <v>2044</v>
      </c>
      <c r="M14" s="4"/>
      <c r="N14" s="78"/>
      <c r="O14" s="78"/>
      <c r="P14" s="78" t="str">
        <f t="shared" ref="P14:P23" si="4">IF(B14&lt;&gt;1,","&amp;D14,D14)</f>
        <v>,master_type</v>
      </c>
      <c r="Q14" s="78" t="str">
        <f t="shared" ref="Q14:Q23" si="5">UPPER(G14)</f>
        <v>TEXT</v>
      </c>
      <c r="R14" s="78" t="str">
        <f t="shared" ref="R14:R23" si="6">IF(H14&lt;&gt;"","default "&amp;IF(G14="text","'"&amp;H14&amp;"'",H14),"")</f>
        <v/>
      </c>
      <c r="S14" s="78" t="str">
        <f t="shared" ref="S14:S23" si="7">IF(I14="○","NOT NULL","")</f>
        <v>NOT NULL</v>
      </c>
      <c r="T14" s="78" t="str">
        <f t="shared" ref="T14:T23"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2001</v>
      </c>
      <c r="D15" s="6" t="s">
        <v>2002</v>
      </c>
      <c r="E15" s="8" t="s">
        <v>127</v>
      </c>
      <c r="F15" s="7" t="s">
        <v>739</v>
      </c>
      <c r="G15" s="7" t="str">
        <f t="shared" si="3"/>
        <v>text</v>
      </c>
      <c r="H15" s="26"/>
      <c r="I15" s="10" t="s">
        <v>127</v>
      </c>
      <c r="J15" s="11" t="s">
        <v>2045</v>
      </c>
      <c r="M15" s="4"/>
      <c r="N15" s="78"/>
      <c r="O15" s="78"/>
      <c r="P15" s="78" t="str">
        <f t="shared" si="4"/>
        <v>,comment_cd</v>
      </c>
      <c r="Q15" s="78" t="str">
        <f t="shared" si="5"/>
        <v>TEXT</v>
      </c>
      <c r="R15" s="78" t="str">
        <f t="shared" si="6"/>
        <v/>
      </c>
      <c r="S15" s="78" t="str">
        <f t="shared" si="7"/>
        <v>NOT NULL</v>
      </c>
      <c r="T15" s="78" t="str">
        <f t="shared" si="8"/>
        <v>-- コメントコード区分</v>
      </c>
      <c r="U15" s="4"/>
      <c r="AA15" s="4"/>
      <c r="AB15" s="4"/>
      <c r="AC15" s="4"/>
      <c r="AD15" s="4"/>
      <c r="AE15" s="4"/>
      <c r="AF15" s="4"/>
      <c r="AG15" s="4"/>
      <c r="AH15" s="4"/>
      <c r="AI15" s="4"/>
      <c r="AJ15" s="78" t="str">
        <f>IF(E15="○",IF(COUNTA(E$13:E15)=1,"",",")&amp;D15,"")</f>
        <v>,comment_cd</v>
      </c>
      <c r="AK15" s="4"/>
      <c r="AL15" s="4"/>
      <c r="AM15" s="4"/>
      <c r="AN15" s="4"/>
      <c r="AO15" s="4"/>
      <c r="AP15" s="4"/>
      <c r="AQ15" s="4"/>
      <c r="AR15" s="4"/>
      <c r="AS15" s="78"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2003</v>
      </c>
      <c r="D16" s="6" t="s">
        <v>2004</v>
      </c>
      <c r="E16" s="8" t="s">
        <v>127</v>
      </c>
      <c r="F16" s="7" t="s">
        <v>739</v>
      </c>
      <c r="G16" s="7" t="str">
        <f t="shared" si="3"/>
        <v>text</v>
      </c>
      <c r="H16" s="26"/>
      <c r="I16" s="10" t="s">
        <v>127</v>
      </c>
      <c r="J16" s="11"/>
      <c r="M16" s="4"/>
      <c r="N16" s="78"/>
      <c r="O16" s="78"/>
      <c r="P16" s="78" t="str">
        <f t="shared" si="4"/>
        <v>,comment_cd_pattern</v>
      </c>
      <c r="Q16" s="78" t="str">
        <f t="shared" si="5"/>
        <v>TEXT</v>
      </c>
      <c r="R16" s="78" t="str">
        <f t="shared" si="6"/>
        <v/>
      </c>
      <c r="S16" s="78" t="str">
        <f t="shared" si="7"/>
        <v>NOT NULL</v>
      </c>
      <c r="T16" s="78" t="str">
        <f t="shared" si="8"/>
        <v>-- コメントコードパターン</v>
      </c>
      <c r="U16" s="4"/>
      <c r="AA16" s="4"/>
      <c r="AB16" s="4"/>
      <c r="AC16" s="4"/>
      <c r="AD16" s="4"/>
      <c r="AE16" s="4"/>
      <c r="AF16" s="4"/>
      <c r="AG16" s="4"/>
      <c r="AH16" s="4"/>
      <c r="AI16" s="4"/>
      <c r="AJ16" s="78" t="str">
        <f>IF(E16="○",IF(COUNTA(E$13:E16)=1,"",",")&amp;D16,"")</f>
        <v>,comment_cd_pattern</v>
      </c>
      <c r="AK16" s="4"/>
      <c r="AL16" s="4"/>
      <c r="AM16" s="4"/>
      <c r="AN16" s="4"/>
      <c r="AO16" s="4"/>
      <c r="AP16" s="4"/>
      <c r="AQ16" s="4"/>
      <c r="AR16" s="4"/>
      <c r="AS16" s="78"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2005</v>
      </c>
      <c r="D17" s="6" t="s">
        <v>2006</v>
      </c>
      <c r="E17" s="8" t="s">
        <v>127</v>
      </c>
      <c r="F17" s="7" t="s">
        <v>2007</v>
      </c>
      <c r="G17" s="7" t="str">
        <f t="shared" si="3"/>
        <v>text</v>
      </c>
      <c r="H17" s="26"/>
      <c r="I17" s="10" t="s">
        <v>127</v>
      </c>
      <c r="J17" s="11"/>
      <c r="M17" s="4"/>
      <c r="N17" s="78"/>
      <c r="O17" s="78"/>
      <c r="P17" s="78" t="str">
        <f t="shared" si="4"/>
        <v>,comment_cd_seq</v>
      </c>
      <c r="Q17" s="78" t="str">
        <f t="shared" si="5"/>
        <v>TEXT</v>
      </c>
      <c r="R17" s="78" t="str">
        <f t="shared" si="6"/>
        <v/>
      </c>
      <c r="S17" s="78" t="str">
        <f t="shared" si="7"/>
        <v>NOT NULL</v>
      </c>
      <c r="T17" s="78" t="str">
        <f t="shared" si="8"/>
        <v>-- コメントコード一連番号</v>
      </c>
      <c r="U17" s="4"/>
      <c r="AA17" s="4"/>
      <c r="AB17" s="4"/>
      <c r="AC17" s="4"/>
      <c r="AD17" s="4"/>
      <c r="AE17" s="4"/>
      <c r="AF17" s="4"/>
      <c r="AG17" s="4"/>
      <c r="AH17" s="4"/>
      <c r="AI17" s="4"/>
      <c r="AJ17" s="78" t="str">
        <f>IF(E17="○",IF(COUNTA(E$13:E17)=1,"",",")&amp;D17,"")</f>
        <v>,comment_cd_seq</v>
      </c>
      <c r="AK17" s="4"/>
      <c r="AL17" s="4"/>
      <c r="AM17" s="4"/>
      <c r="AN17" s="4"/>
      <c r="AO17" s="4"/>
      <c r="AP17" s="4"/>
      <c r="AQ17" s="4"/>
      <c r="AR17" s="4"/>
      <c r="AS17" s="78" t="str">
        <f>"COMMENT ON COLUMN "&amp;エンティティ一覧!$O$2&amp;"."&amp;D$8&amp;"."&amp;D17&amp;" IS '"&amp;C17&amp;"';"</f>
        <v>COMMENT ON COLUMN milscm_2023_009.sny_202310_backup_mt_comment.comment_cd_seq IS 'コメントコード一連番号';</v>
      </c>
    </row>
    <row r="18" spans="1:45" s="25" customFormat="1" ht="30">
      <c r="A18" s="4"/>
      <c r="B18" s="21">
        <f t="shared" si="2"/>
        <v>6</v>
      </c>
      <c r="C18" s="6" t="s">
        <v>2008</v>
      </c>
      <c r="D18" s="6" t="s">
        <v>2009</v>
      </c>
      <c r="E18" s="8"/>
      <c r="F18" s="7" t="s">
        <v>2010</v>
      </c>
      <c r="G18" s="7" t="str">
        <f t="shared" si="3"/>
        <v>integer</v>
      </c>
      <c r="H18" s="26"/>
      <c r="I18" s="10"/>
      <c r="J18" s="11"/>
      <c r="M18" s="4"/>
      <c r="N18" s="78"/>
      <c r="O18" s="78"/>
      <c r="P18" s="78" t="str">
        <f t="shared" si="4"/>
        <v>,comment_sentence_kanji_ketasu</v>
      </c>
      <c r="Q18" s="78" t="str">
        <f t="shared" si="5"/>
        <v>INTEGER</v>
      </c>
      <c r="R18" s="78" t="str">
        <f t="shared" si="6"/>
        <v/>
      </c>
      <c r="S18" s="78" t="str">
        <f t="shared" si="7"/>
        <v/>
      </c>
      <c r="T18" s="78" t="str">
        <f t="shared" si="8"/>
        <v>-- コメント文漢字有効桁数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milscm_2023_009.sny_202310_backup_mt_comment.comment_sentence_kanji_ketasu IS 'コメント文漢字有効桁数';</v>
      </c>
    </row>
    <row r="19" spans="1:45" s="25" customFormat="1" ht="30">
      <c r="A19" s="4"/>
      <c r="B19" s="21">
        <f t="shared" si="2"/>
        <v>7</v>
      </c>
      <c r="C19" s="6" t="s">
        <v>2011</v>
      </c>
      <c r="D19" s="6" t="s">
        <v>2012</v>
      </c>
      <c r="E19" s="8"/>
      <c r="F19" s="7" t="s">
        <v>2007</v>
      </c>
      <c r="G19" s="7" t="str">
        <f t="shared" si="3"/>
        <v>text</v>
      </c>
      <c r="H19" s="26"/>
      <c r="I19" s="10"/>
      <c r="J19" s="11"/>
      <c r="M19" s="4"/>
      <c r="N19" s="78"/>
      <c r="O19" s="78"/>
      <c r="P19" s="78" t="str">
        <f t="shared" si="4"/>
        <v>,comment_sentence_kanji_name</v>
      </c>
      <c r="Q19" s="78" t="str">
        <f t="shared" si="5"/>
        <v>TEXT</v>
      </c>
      <c r="R19" s="78" t="str">
        <f t="shared" si="6"/>
        <v/>
      </c>
      <c r="S19" s="78" t="str">
        <f t="shared" si="7"/>
        <v/>
      </c>
      <c r="T19" s="78" t="str">
        <f t="shared" si="8"/>
        <v>-- コメント文漢字名称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milscm_2023_009.sny_202310_backup_mt_comment.comment_sentence_kanji_name IS 'コメント文漢字名称';</v>
      </c>
    </row>
    <row r="20" spans="1:45" s="25" customFormat="1" ht="30">
      <c r="A20" s="4"/>
      <c r="B20" s="21">
        <f t="shared" si="2"/>
        <v>8</v>
      </c>
      <c r="C20" s="6" t="s">
        <v>2013</v>
      </c>
      <c r="D20" s="6" t="s">
        <v>2014</v>
      </c>
      <c r="E20" s="8"/>
      <c r="F20" s="7" t="s">
        <v>2010</v>
      </c>
      <c r="G20" s="7" t="str">
        <f t="shared" si="3"/>
        <v>integer</v>
      </c>
      <c r="H20" s="26"/>
      <c r="I20" s="10"/>
      <c r="J20" s="11"/>
      <c r="M20" s="4"/>
      <c r="N20" s="78"/>
      <c r="O20" s="78"/>
      <c r="P20" s="78" t="str">
        <f t="shared" si="4"/>
        <v>,comment_sentence_kana_ketasu</v>
      </c>
      <c r="Q20" s="78" t="str">
        <f t="shared" si="5"/>
        <v>INTEGER</v>
      </c>
      <c r="R20" s="78" t="str">
        <f t="shared" si="6"/>
        <v/>
      </c>
      <c r="S20" s="78" t="str">
        <f t="shared" si="7"/>
        <v/>
      </c>
      <c r="T20" s="78" t="str">
        <f t="shared" si="8"/>
        <v>-- コメント文カナ有効桁数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milscm_2023_009.sny_202310_backup_mt_comment.comment_sentence_kana_ketasu IS 'コメント文カナ有効桁数';</v>
      </c>
    </row>
    <row r="21" spans="1:45" s="25" customFormat="1" ht="30">
      <c r="A21" s="4"/>
      <c r="B21" s="21">
        <f t="shared" si="2"/>
        <v>9</v>
      </c>
      <c r="C21" s="6" t="s">
        <v>2015</v>
      </c>
      <c r="D21" s="6" t="s">
        <v>2016</v>
      </c>
      <c r="E21" s="8"/>
      <c r="F21" s="7" t="s">
        <v>739</v>
      </c>
      <c r="G21" s="7" t="str">
        <f t="shared" si="3"/>
        <v>text</v>
      </c>
      <c r="H21" s="26"/>
      <c r="I21" s="10"/>
      <c r="J21" s="11"/>
      <c r="M21" s="4"/>
      <c r="N21" s="78"/>
      <c r="O21" s="78"/>
      <c r="P21" s="78" t="str">
        <f t="shared" si="4"/>
        <v>,comment_sentence_kana_name</v>
      </c>
      <c r="Q21" s="78" t="str">
        <f t="shared" si="5"/>
        <v>TEXT</v>
      </c>
      <c r="R21" s="78" t="str">
        <f t="shared" si="6"/>
        <v/>
      </c>
      <c r="S21" s="78" t="str">
        <f t="shared" si="7"/>
        <v/>
      </c>
      <c r="T21" s="78" t="str">
        <f t="shared" si="8"/>
        <v>-- コメント文カナ名称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milscm_2023_009.sny_202310_backup_mt_comment.comment_sentence_kana_name IS 'コメント文カナ名称';</v>
      </c>
    </row>
    <row r="22" spans="1:45" s="25" customFormat="1" ht="30">
      <c r="A22" s="4"/>
      <c r="B22" s="21">
        <f t="shared" si="2"/>
        <v>10</v>
      </c>
      <c r="C22" s="6" t="s">
        <v>2017</v>
      </c>
      <c r="D22" s="6" t="s">
        <v>2018</v>
      </c>
      <c r="E22" s="8"/>
      <c r="F22" s="7" t="s">
        <v>2010</v>
      </c>
      <c r="G22" s="7" t="str">
        <f t="shared" si="3"/>
        <v>integer</v>
      </c>
      <c r="H22" s="26"/>
      <c r="I22" s="10"/>
      <c r="J22" s="11"/>
      <c r="M22" s="4"/>
      <c r="N22" s="78"/>
      <c r="O22" s="78"/>
      <c r="P22" s="78" t="str">
        <f t="shared" si="4"/>
        <v>,recept_hensyu_info1_column_position</v>
      </c>
      <c r="Q22" s="78" t="str">
        <f t="shared" si="5"/>
        <v>INTEGER</v>
      </c>
      <c r="R22" s="78" t="str">
        <f t="shared" si="6"/>
        <v/>
      </c>
      <c r="S22" s="78" t="str">
        <f t="shared" si="7"/>
        <v/>
      </c>
      <c r="T22" s="78" t="str">
        <f t="shared" si="8"/>
        <v>-- レセプト編集情報1カラム位置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milscm_2023_009.sny_202310_backup_mt_comment.recept_hensyu_info1_column_position IS 'レセプト編集情報1カラム位置';</v>
      </c>
    </row>
    <row r="23" spans="1:45" s="25" customFormat="1" ht="30">
      <c r="A23" s="4"/>
      <c r="B23" s="21">
        <f t="shared" si="2"/>
        <v>11</v>
      </c>
      <c r="C23" s="6" t="s">
        <v>2019</v>
      </c>
      <c r="D23" s="6" t="s">
        <v>2020</v>
      </c>
      <c r="E23" s="8"/>
      <c r="F23" s="7" t="s">
        <v>2010</v>
      </c>
      <c r="G23" s="7" t="str">
        <f t="shared" si="3"/>
        <v>integer</v>
      </c>
      <c r="H23" s="26"/>
      <c r="I23" s="10"/>
      <c r="J23" s="11"/>
      <c r="M23" s="4"/>
      <c r="N23" s="78"/>
      <c r="O23" s="78"/>
      <c r="P23" s="78" t="str">
        <f t="shared" si="4"/>
        <v>,recept_hensyu_info1_ketasu</v>
      </c>
      <c r="Q23" s="78" t="str">
        <f t="shared" si="5"/>
        <v>INTEGER</v>
      </c>
      <c r="R23" s="78" t="str">
        <f t="shared" si="6"/>
        <v/>
      </c>
      <c r="S23" s="78" t="str">
        <f t="shared" si="7"/>
        <v/>
      </c>
      <c r="T23" s="78" t="str">
        <f t="shared" si="8"/>
        <v>-- レセプト編集情報1桁数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milscm_2023_009.sny_202310_backup_mt_comment.recept_hensyu_info1_ketasu IS 'レセプト編集情報1桁数';</v>
      </c>
    </row>
    <row r="24" spans="1:45" s="25" customFormat="1" ht="30">
      <c r="A24" s="4"/>
      <c r="B24" s="21">
        <f t="shared" ref="B24:B42" si="9">ROW()-12</f>
        <v>12</v>
      </c>
      <c r="C24" s="6" t="s">
        <v>2021</v>
      </c>
      <c r="D24" s="6" t="s">
        <v>2022</v>
      </c>
      <c r="E24" s="8"/>
      <c r="F24" s="7" t="s">
        <v>2010</v>
      </c>
      <c r="G24" s="7" t="str">
        <f t="shared" ref="G24:G43" si="10">IF(F24="フラグ","boolean",IF(F24="文字列","text",IF(F24="整数","integer",IF(F24="実数","numeric",""))))</f>
        <v>integer</v>
      </c>
      <c r="H24" s="26"/>
      <c r="I24" s="10"/>
      <c r="J24" s="11"/>
      <c r="M24" s="4"/>
      <c r="N24" s="78"/>
      <c r="O24" s="78"/>
      <c r="P24" s="78" t="str">
        <f t="shared" ref="P24:P43" si="11">IF(B24&lt;&gt;1,","&amp;D24,D24)</f>
        <v>,recept_hensyu_info2_column_position</v>
      </c>
      <c r="Q24" s="78" t="str">
        <f t="shared" si="0"/>
        <v>INTEGER</v>
      </c>
      <c r="R24" s="78" t="str">
        <f t="shared" si="1"/>
        <v/>
      </c>
      <c r="S24" s="78" t="str">
        <f t="shared" ref="S24:S43" si="12">IF(I24="○","NOT NULL","")</f>
        <v/>
      </c>
      <c r="T24" s="78" t="str">
        <f t="shared" ref="T24:T43" si="13">"-- "&amp;C24</f>
        <v>-- レセプト編集情報2カラム位置</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milscm_2023_009.sny_202310_backup_mt_comment.recept_hensyu_info2_column_position IS 'レセプト編集情報2カラム位置';</v>
      </c>
    </row>
    <row r="25" spans="1:45" s="25" customFormat="1" ht="30">
      <c r="A25" s="4"/>
      <c r="B25" s="21">
        <f t="shared" si="9"/>
        <v>13</v>
      </c>
      <c r="C25" s="6" t="s">
        <v>2023</v>
      </c>
      <c r="D25" s="6" t="s">
        <v>2024</v>
      </c>
      <c r="E25" s="8"/>
      <c r="F25" s="7" t="s">
        <v>2010</v>
      </c>
      <c r="G25" s="7" t="str">
        <f t="shared" si="10"/>
        <v>integer</v>
      </c>
      <c r="H25" s="26"/>
      <c r="I25" s="10"/>
      <c r="J25" s="11"/>
      <c r="M25" s="4"/>
      <c r="N25" s="78"/>
      <c r="O25" s="78"/>
      <c r="P25" s="78" t="str">
        <f t="shared" si="11"/>
        <v>,recept_hensyu_info2_ketasu</v>
      </c>
      <c r="Q25" s="78" t="str">
        <f t="shared" si="0"/>
        <v>INTEGER</v>
      </c>
      <c r="R25" s="78" t="str">
        <f t="shared" si="1"/>
        <v/>
      </c>
      <c r="S25" s="78" t="str">
        <f t="shared" si="12"/>
        <v/>
      </c>
      <c r="T25" s="78" t="str">
        <f t="shared" si="13"/>
        <v>-- レセプト編集情報2桁数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milscm_2023_009.sny_202310_backup_mt_comment.recept_hensyu_info2_ketasu IS 'レセプト編集情報2桁数';</v>
      </c>
    </row>
    <row r="26" spans="1:45" s="25" customFormat="1" ht="30">
      <c r="A26" s="4"/>
      <c r="B26" s="21">
        <f t="shared" si="9"/>
        <v>14</v>
      </c>
      <c r="C26" s="6" t="s">
        <v>2025</v>
      </c>
      <c r="D26" s="6" t="s">
        <v>2026</v>
      </c>
      <c r="E26" s="8"/>
      <c r="F26" s="7" t="s">
        <v>2010</v>
      </c>
      <c r="G26" s="7" t="str">
        <f t="shared" si="10"/>
        <v>integer</v>
      </c>
      <c r="H26" s="26"/>
      <c r="I26" s="10"/>
      <c r="J26" s="11"/>
      <c r="M26" s="4"/>
      <c r="N26" s="78"/>
      <c r="O26" s="78"/>
      <c r="P26" s="78" t="str">
        <f t="shared" si="11"/>
        <v>,recept_hensyu_info3_column_position</v>
      </c>
      <c r="Q26" s="78" t="str">
        <f t="shared" si="0"/>
        <v>INTEGER</v>
      </c>
      <c r="R26" s="78" t="str">
        <f t="shared" si="1"/>
        <v/>
      </c>
      <c r="S26" s="78" t="str">
        <f t="shared" si="12"/>
        <v/>
      </c>
      <c r="T26" s="78" t="str">
        <f t="shared" si="13"/>
        <v>-- レセプト編集情報3カラム位置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milscm_2023_009.sny_202310_backup_mt_comment.recept_hensyu_info3_column_position IS 'レセプト編集情報3カラム位置';</v>
      </c>
    </row>
    <row r="27" spans="1:45" s="25" customFormat="1" ht="30">
      <c r="A27" s="4"/>
      <c r="B27" s="21">
        <f t="shared" si="9"/>
        <v>15</v>
      </c>
      <c r="C27" s="6" t="s">
        <v>2027</v>
      </c>
      <c r="D27" s="6" t="s">
        <v>2028</v>
      </c>
      <c r="E27" s="8"/>
      <c r="F27" s="7" t="s">
        <v>2010</v>
      </c>
      <c r="G27" s="7" t="str">
        <f t="shared" si="10"/>
        <v>integer</v>
      </c>
      <c r="H27" s="26"/>
      <c r="I27" s="10"/>
      <c r="J27" s="11"/>
      <c r="M27" s="4"/>
      <c r="N27" s="78"/>
      <c r="O27" s="78"/>
      <c r="P27" s="78" t="str">
        <f t="shared" si="11"/>
        <v>,recept_hensyu_info3_ketasu</v>
      </c>
      <c r="Q27" s="78" t="str">
        <f t="shared" si="0"/>
        <v>INTEGER</v>
      </c>
      <c r="R27" s="78" t="str">
        <f t="shared" si="1"/>
        <v/>
      </c>
      <c r="S27" s="78" t="str">
        <f t="shared" si="12"/>
        <v/>
      </c>
      <c r="T27" s="78" t="str">
        <f t="shared" si="13"/>
        <v>-- レセプト編集情報3桁数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milscm_2023_009.sny_202310_backup_mt_comment.recept_hensyu_info3_ketasu IS 'レセプト編集情報3桁数';</v>
      </c>
    </row>
    <row r="28" spans="1:45" s="25" customFormat="1" ht="30">
      <c r="A28" s="4"/>
      <c r="B28" s="21">
        <f t="shared" si="9"/>
        <v>16</v>
      </c>
      <c r="C28" s="6" t="s">
        <v>2029</v>
      </c>
      <c r="D28" s="6" t="s">
        <v>2030</v>
      </c>
      <c r="E28" s="8"/>
      <c r="F28" s="7" t="s">
        <v>2010</v>
      </c>
      <c r="G28" s="7" t="str">
        <f t="shared" si="10"/>
        <v>integer</v>
      </c>
      <c r="H28" s="26"/>
      <c r="I28" s="10"/>
      <c r="J28" s="11"/>
      <c r="M28" s="4"/>
      <c r="N28" s="78"/>
      <c r="O28" s="78"/>
      <c r="P28" s="78" t="str">
        <f t="shared" si="11"/>
        <v>,recept_hensyu_info4_column_position</v>
      </c>
      <c r="Q28" s="78" t="str">
        <f t="shared" si="0"/>
        <v>INTEGER</v>
      </c>
      <c r="R28" s="78" t="str">
        <f t="shared" si="1"/>
        <v/>
      </c>
      <c r="S28" s="78" t="str">
        <f t="shared" si="12"/>
        <v/>
      </c>
      <c r="T28" s="78" t="str">
        <f t="shared" si="13"/>
        <v>-- レセプト編集情報4カラム位置</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milscm_2023_009.sny_202310_backup_mt_comment.recept_hensyu_info4_column_position IS 'レセプト編集情報4カラム位置';</v>
      </c>
    </row>
    <row r="29" spans="1:45" s="25" customFormat="1" ht="30">
      <c r="A29" s="4"/>
      <c r="B29" s="21">
        <f t="shared" si="9"/>
        <v>17</v>
      </c>
      <c r="C29" s="6" t="s">
        <v>2031</v>
      </c>
      <c r="D29" s="6" t="s">
        <v>2032</v>
      </c>
      <c r="E29" s="8"/>
      <c r="F29" s="7" t="s">
        <v>2010</v>
      </c>
      <c r="G29" s="7" t="str">
        <f t="shared" si="10"/>
        <v>integer</v>
      </c>
      <c r="H29" s="26"/>
      <c r="I29" s="10"/>
      <c r="J29" s="11"/>
      <c r="M29" s="4"/>
      <c r="N29" s="78"/>
      <c r="O29" s="78"/>
      <c r="P29" s="78" t="str">
        <f t="shared" si="11"/>
        <v>,recept_hensyu_info4_ketasu</v>
      </c>
      <c r="Q29" s="78" t="str">
        <f t="shared" si="0"/>
        <v>INTEGER</v>
      </c>
      <c r="R29" s="78" t="str">
        <f t="shared" si="1"/>
        <v/>
      </c>
      <c r="S29" s="78" t="str">
        <f t="shared" si="12"/>
        <v/>
      </c>
      <c r="T29" s="78" t="str">
        <f t="shared" si="13"/>
        <v>-- レセプト編集情報4桁数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1968</v>
      </c>
      <c r="D30" s="6" t="s">
        <v>943</v>
      </c>
      <c r="E30" s="8"/>
      <c r="F30" s="7" t="s">
        <v>739</v>
      </c>
      <c r="G30" s="7" t="str">
        <f t="shared" si="10"/>
        <v>text</v>
      </c>
      <c r="H30" s="26"/>
      <c r="I30" s="10"/>
      <c r="J30" s="11" t="s">
        <v>1999</v>
      </c>
      <c r="M30" s="4"/>
      <c r="N30" s="78"/>
      <c r="O30" s="78"/>
      <c r="P30" s="78" t="str">
        <f t="shared" si="11"/>
        <v>,reserve1</v>
      </c>
      <c r="Q30" s="78" t="str">
        <f t="shared" si="0"/>
        <v>TEXT</v>
      </c>
      <c r="R30" s="78" t="str">
        <f t="shared" si="1"/>
        <v/>
      </c>
      <c r="S30" s="78" t="str">
        <f t="shared" si="12"/>
        <v/>
      </c>
      <c r="T30" s="78" t="str">
        <f t="shared" si="13"/>
        <v>-- 予備1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milscm_2023_009.sny_202310_backup_mt_comment.reserve1 IS '予備1';</v>
      </c>
    </row>
    <row r="31" spans="1:45" s="25" customFormat="1">
      <c r="A31" s="4"/>
      <c r="B31" s="21">
        <f t="shared" si="9"/>
        <v>19</v>
      </c>
      <c r="C31" s="6" t="s">
        <v>1969</v>
      </c>
      <c r="D31" s="6" t="s">
        <v>994</v>
      </c>
      <c r="E31" s="8"/>
      <c r="F31" s="7" t="s">
        <v>2007</v>
      </c>
      <c r="G31" s="7" t="str">
        <f t="shared" si="10"/>
        <v>text</v>
      </c>
      <c r="H31" s="26"/>
      <c r="I31" s="10"/>
      <c r="J31" s="11" t="s">
        <v>1999</v>
      </c>
      <c r="M31" s="4"/>
      <c r="N31" s="78"/>
      <c r="O31" s="78"/>
      <c r="P31" s="78" t="str">
        <f t="shared" si="11"/>
        <v>,reserve2</v>
      </c>
      <c r="Q31" s="78" t="str">
        <f t="shared" si="0"/>
        <v>TEXT</v>
      </c>
      <c r="R31" s="78" t="str">
        <f t="shared" si="1"/>
        <v/>
      </c>
      <c r="S31" s="78" t="str">
        <f t="shared" si="12"/>
        <v/>
      </c>
      <c r="T31" s="78" t="str">
        <f t="shared" si="13"/>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milscm_2023_009.sny_202310_backup_mt_comment.reserve2 IS '予備2';</v>
      </c>
    </row>
    <row r="32" spans="1:45" s="25" customFormat="1" ht="30">
      <c r="A32" s="4"/>
      <c r="B32" s="21">
        <f t="shared" si="9"/>
        <v>20</v>
      </c>
      <c r="C32" s="6" t="s">
        <v>2033</v>
      </c>
      <c r="D32" s="6" t="s">
        <v>2034</v>
      </c>
      <c r="E32" s="8"/>
      <c r="F32" s="7" t="s">
        <v>2010</v>
      </c>
      <c r="G32" s="7" t="str">
        <f t="shared" si="10"/>
        <v>integer</v>
      </c>
      <c r="H32" s="26"/>
      <c r="I32" s="10"/>
      <c r="J32" s="11"/>
      <c r="M32" s="4"/>
      <c r="N32" s="78"/>
      <c r="O32" s="78"/>
      <c r="P32" s="78" t="str">
        <f t="shared" si="11"/>
        <v>,selective_comment_identification</v>
      </c>
      <c r="Q32" s="78" t="str">
        <f t="shared" si="0"/>
        <v>INTEGER</v>
      </c>
      <c r="R32" s="78" t="str">
        <f t="shared" si="1"/>
        <v/>
      </c>
      <c r="S32" s="78" t="str">
        <f t="shared" si="12"/>
        <v/>
      </c>
      <c r="T32" s="78" t="str">
        <f t="shared" si="13"/>
        <v>-- 選択式コメント識別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1987</v>
      </c>
      <c r="D33" s="6" t="s">
        <v>1988</v>
      </c>
      <c r="E33" s="8"/>
      <c r="F33" s="7" t="s">
        <v>739</v>
      </c>
      <c r="G33" s="7" t="str">
        <f t="shared" si="10"/>
        <v>text</v>
      </c>
      <c r="H33" s="26"/>
      <c r="I33" s="10"/>
      <c r="J33" s="11" t="s">
        <v>1814</v>
      </c>
      <c r="M33" s="4"/>
      <c r="N33" s="78"/>
      <c r="O33" s="78"/>
      <c r="P33" s="78" t="str">
        <f t="shared" si="11"/>
        <v>,henko_ymd</v>
      </c>
      <c r="Q33" s="78" t="str">
        <f t="shared" si="0"/>
        <v>TEXT</v>
      </c>
      <c r="R33" s="78" t="str">
        <f t="shared" si="1"/>
        <v/>
      </c>
      <c r="S33" s="78" t="str">
        <f t="shared" si="12"/>
        <v/>
      </c>
      <c r="T33" s="78" t="str">
        <f t="shared" si="13"/>
        <v>-- 変更年月日</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1927</v>
      </c>
      <c r="D34" s="6" t="s">
        <v>1989</v>
      </c>
      <c r="E34" s="8"/>
      <c r="F34" s="7" t="s">
        <v>739</v>
      </c>
      <c r="G34" s="7" t="str">
        <f t="shared" si="10"/>
        <v>text</v>
      </c>
      <c r="H34" s="26"/>
      <c r="I34" s="10"/>
      <c r="J34" s="11" t="s">
        <v>1814</v>
      </c>
      <c r="M34" s="4"/>
      <c r="N34" s="78"/>
      <c r="O34" s="78"/>
      <c r="P34" s="78" t="str">
        <f t="shared" si="11"/>
        <v>,haishi_ymd</v>
      </c>
      <c r="Q34" s="78" t="str">
        <f t="shared" si="0"/>
        <v>TEXT</v>
      </c>
      <c r="R34" s="78" t="str">
        <f t="shared" si="1"/>
        <v/>
      </c>
      <c r="S34" s="78" t="str">
        <f t="shared" si="12"/>
        <v/>
      </c>
      <c r="T34" s="78" t="str">
        <f t="shared" si="13"/>
        <v>-- 廃止年月日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milscm_2023_009.sny_202310_backup_mt_comment.haishi_ymd IS '廃止年月日';</v>
      </c>
    </row>
    <row r="35" spans="1:52" s="25" customFormat="1" ht="52.2">
      <c r="A35" s="4"/>
      <c r="B35" s="21">
        <f t="shared" si="9"/>
        <v>23</v>
      </c>
      <c r="C35" s="6" t="s">
        <v>2035</v>
      </c>
      <c r="D35" s="6" t="s">
        <v>2036</v>
      </c>
      <c r="E35" s="8"/>
      <c r="F35" s="7" t="s">
        <v>2007</v>
      </c>
      <c r="G35" s="7" t="str">
        <f t="shared" si="10"/>
        <v>text</v>
      </c>
      <c r="H35" s="26"/>
      <c r="I35" s="10"/>
      <c r="J35" s="11" t="s">
        <v>2046</v>
      </c>
      <c r="M35" s="4"/>
      <c r="N35" s="78"/>
      <c r="O35" s="78"/>
      <c r="P35" s="78" t="str">
        <f t="shared" si="11"/>
        <v>,comment_code</v>
      </c>
      <c r="Q35" s="78" t="str">
        <f t="shared" si="0"/>
        <v>TEXT</v>
      </c>
      <c r="R35" s="78" t="str">
        <f t="shared" si="1"/>
        <v/>
      </c>
      <c r="S35" s="78" t="str">
        <f t="shared" si="12"/>
        <v/>
      </c>
      <c r="T35" s="78" t="str">
        <f t="shared" si="13"/>
        <v>-- コメントコード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2037</v>
      </c>
      <c r="D36" s="6" t="s">
        <v>2038</v>
      </c>
      <c r="E36" s="8"/>
      <c r="F36" s="7" t="s">
        <v>2007</v>
      </c>
      <c r="G36" s="7" t="str">
        <f t="shared" si="10"/>
        <v>text</v>
      </c>
      <c r="H36" s="26"/>
      <c r="I36" s="10"/>
      <c r="J36" s="11"/>
      <c r="M36" s="4"/>
      <c r="N36" s="78"/>
      <c r="O36" s="78"/>
      <c r="P36" s="78" t="str">
        <f t="shared" si="11"/>
        <v>,kouhyoujunjo_no</v>
      </c>
      <c r="Q36" s="78" t="str">
        <f t="shared" si="0"/>
        <v>TEXT</v>
      </c>
      <c r="R36" s="78" t="str">
        <f t="shared" si="1"/>
        <v/>
      </c>
      <c r="S36" s="78" t="str">
        <f t="shared" si="12"/>
        <v/>
      </c>
      <c r="T36" s="78" t="str">
        <f t="shared" si="13"/>
        <v>-- 公表順序番号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1975</v>
      </c>
      <c r="D37" s="6" t="s">
        <v>996</v>
      </c>
      <c r="E37" s="8"/>
      <c r="F37" s="7" t="s">
        <v>2007</v>
      </c>
      <c r="G37" s="7" t="str">
        <f t="shared" si="10"/>
        <v>text</v>
      </c>
      <c r="H37" s="26"/>
      <c r="I37" s="10"/>
      <c r="J37" s="11" t="s">
        <v>1999</v>
      </c>
      <c r="M37" s="4"/>
      <c r="N37" s="78"/>
      <c r="O37" s="78"/>
      <c r="P37" s="78" t="str">
        <f t="shared" si="11"/>
        <v>,reserve3</v>
      </c>
      <c r="Q37" s="78" t="str">
        <f t="shared" si="0"/>
        <v>TEXT</v>
      </c>
      <c r="R37" s="78" t="str">
        <f t="shared" si="1"/>
        <v/>
      </c>
      <c r="S37" s="78" t="str">
        <f t="shared" si="12"/>
        <v/>
      </c>
      <c r="T37" s="78" t="str">
        <f t="shared" si="13"/>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milscm_2023_009.sny_202310_backup_mt_comment.reserve3 IS '予備3';</v>
      </c>
    </row>
    <row r="38" spans="1:52" s="25" customFormat="1">
      <c r="A38" s="4"/>
      <c r="B38" s="21">
        <f t="shared" si="9"/>
        <v>26</v>
      </c>
      <c r="C38" s="6" t="s">
        <v>1980</v>
      </c>
      <c r="D38" s="6" t="s">
        <v>1203</v>
      </c>
      <c r="E38" s="8"/>
      <c r="F38" s="7" t="s">
        <v>739</v>
      </c>
      <c r="G38" s="7" t="str">
        <f t="shared" si="10"/>
        <v>text</v>
      </c>
      <c r="H38" s="26"/>
      <c r="I38" s="10"/>
      <c r="J38" s="11" t="s">
        <v>1999</v>
      </c>
      <c r="M38" s="4"/>
      <c r="N38" s="78"/>
      <c r="O38" s="78"/>
      <c r="P38" s="78" t="str">
        <f t="shared" si="11"/>
        <v>,reserve4</v>
      </c>
      <c r="Q38" s="78" t="str">
        <f t="shared" si="0"/>
        <v>TEXT</v>
      </c>
      <c r="R38" s="78" t="str">
        <f t="shared" si="1"/>
        <v/>
      </c>
      <c r="S38" s="78" t="str">
        <f t="shared" si="12"/>
        <v/>
      </c>
      <c r="T38" s="78" t="str">
        <f t="shared" si="13"/>
        <v>-- 予備4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milscm_2023_009.sny_202310_backup_mt_comment.reserve4 IS '予備4';</v>
      </c>
    </row>
    <row r="39" spans="1:52" s="25" customFormat="1">
      <c r="A39" s="4"/>
      <c r="B39" s="21">
        <f t="shared" si="9"/>
        <v>27</v>
      </c>
      <c r="C39" s="6" t="s">
        <v>2039</v>
      </c>
      <c r="D39" s="6" t="s">
        <v>1208</v>
      </c>
      <c r="E39" s="8"/>
      <c r="F39" s="7" t="s">
        <v>739</v>
      </c>
      <c r="G39" s="7" t="str">
        <f t="shared" si="10"/>
        <v>text</v>
      </c>
      <c r="H39" s="26"/>
      <c r="I39" s="10"/>
      <c r="J39" s="11" t="s">
        <v>1999</v>
      </c>
      <c r="M39" s="4"/>
      <c r="N39" s="78"/>
      <c r="O39" s="78"/>
      <c r="P39" s="78" t="str">
        <f t="shared" si="11"/>
        <v>,reserve5</v>
      </c>
      <c r="Q39" s="78" t="str">
        <f t="shared" si="0"/>
        <v>TEXT</v>
      </c>
      <c r="R39" s="78" t="str">
        <f t="shared" si="1"/>
        <v/>
      </c>
      <c r="S39" s="78" t="str">
        <f t="shared" si="12"/>
        <v/>
      </c>
      <c r="T39" s="78" t="str">
        <f t="shared" si="13"/>
        <v>-- 予備5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milscm_2023_009.sny_202310_backup_mt_comment.reserve5 IS '予備5';</v>
      </c>
    </row>
    <row r="40" spans="1:52" s="25" customFormat="1">
      <c r="A40" s="4"/>
      <c r="B40" s="21">
        <f t="shared" si="9"/>
        <v>28</v>
      </c>
      <c r="C40" s="6" t="s">
        <v>2040</v>
      </c>
      <c r="D40" s="6" t="s">
        <v>1210</v>
      </c>
      <c r="E40" s="8"/>
      <c r="F40" s="7" t="s">
        <v>739</v>
      </c>
      <c r="G40" s="7" t="str">
        <f t="shared" si="10"/>
        <v>text</v>
      </c>
      <c r="H40" s="26"/>
      <c r="I40" s="10"/>
      <c r="J40" s="11" t="s">
        <v>1999</v>
      </c>
      <c r="M40" s="4"/>
      <c r="N40" s="78"/>
      <c r="O40" s="78"/>
      <c r="P40" s="78" t="str">
        <f t="shared" si="11"/>
        <v>,reserve6</v>
      </c>
      <c r="Q40" s="78" t="str">
        <f t="shared" si="0"/>
        <v>TEXT</v>
      </c>
      <c r="R40" s="78" t="str">
        <f t="shared" si="1"/>
        <v/>
      </c>
      <c r="S40" s="78" t="str">
        <f t="shared" si="12"/>
        <v/>
      </c>
      <c r="T40" s="78" t="str">
        <f t="shared" si="13"/>
        <v>-- 予備6</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milscm_2023_009.sny_202310_backup_mt_comment.reserve6 IS '予備6';</v>
      </c>
    </row>
    <row r="41" spans="1:52" s="25" customFormat="1">
      <c r="A41" s="4"/>
      <c r="B41" s="21">
        <f t="shared" si="9"/>
        <v>29</v>
      </c>
      <c r="C41" s="6" t="s">
        <v>2041</v>
      </c>
      <c r="D41" s="6" t="s">
        <v>1212</v>
      </c>
      <c r="E41" s="8"/>
      <c r="F41" s="7" t="s">
        <v>2007</v>
      </c>
      <c r="G41" s="7" t="str">
        <f t="shared" ref="G41" si="14">IF(F41="フラグ","boolean",IF(F41="文字列","text",IF(F41="整数","integer",IF(F41="実数","numeric",""))))</f>
        <v>text</v>
      </c>
      <c r="H41" s="26"/>
      <c r="I41" s="10"/>
      <c r="J41" s="11" t="s">
        <v>1999</v>
      </c>
      <c r="M41" s="4"/>
      <c r="N41" s="78"/>
      <c r="O41" s="78"/>
      <c r="P41" s="78" t="str">
        <f t="shared" ref="P41" si="15">IF(B41&lt;&gt;1,","&amp;D41,D41)</f>
        <v>,reserve7</v>
      </c>
      <c r="Q41" s="78" t="str">
        <f t="shared" ref="Q41" si="16">UPPER(G41)</f>
        <v>TEXT</v>
      </c>
      <c r="R41" s="78" t="str">
        <f t="shared" ref="R41" si="17">IF(H41&lt;&gt;"","default "&amp;IF(G41="text","'"&amp;H41&amp;"'",H41),"")</f>
        <v/>
      </c>
      <c r="S41" s="78" t="str">
        <f t="shared" ref="S41" si="18">IF(I41="○","NOT NULL","")</f>
        <v/>
      </c>
      <c r="T41" s="78" t="str">
        <f t="shared" ref="T41" si="19">"-- "&amp;C41</f>
        <v>-- 予備7</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milscm_2023_009.sny_202310_backup_mt_comment.reserve7 IS '予備7';</v>
      </c>
    </row>
    <row r="42" spans="1:52" s="25" customFormat="1">
      <c r="A42" s="4"/>
      <c r="B42" s="21">
        <f t="shared" si="9"/>
        <v>30</v>
      </c>
      <c r="C42" s="6" t="s">
        <v>2042</v>
      </c>
      <c r="D42" s="6" t="s">
        <v>2043</v>
      </c>
      <c r="E42" s="8"/>
      <c r="F42" s="7" t="s">
        <v>739</v>
      </c>
      <c r="G42" s="7" t="str">
        <f t="shared" si="10"/>
        <v>text</v>
      </c>
      <c r="H42" s="26"/>
      <c r="I42" s="10"/>
      <c r="J42" s="11" t="s">
        <v>1999</v>
      </c>
      <c r="M42" s="4"/>
      <c r="N42" s="78"/>
      <c r="O42" s="78"/>
      <c r="P42" s="78" t="str">
        <f t="shared" si="11"/>
        <v>,reserve8</v>
      </c>
      <c r="Q42" s="78" t="str">
        <f t="shared" si="0"/>
        <v>TEXT</v>
      </c>
      <c r="R42" s="78" t="str">
        <f t="shared" si="1"/>
        <v/>
      </c>
      <c r="S42" s="78" t="str">
        <f t="shared" si="12"/>
        <v/>
      </c>
      <c r="T42" s="78" t="str">
        <f t="shared" si="13"/>
        <v>-- 予備8</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milscm_2023_009.sny_202310_backup_mt_comment.reserve8 IS '予備8';</v>
      </c>
    </row>
    <row r="43" spans="1:52" s="25" customFormat="1" ht="18" thickBot="1">
      <c r="A43" s="4"/>
      <c r="B43" s="27">
        <f>ROW()-12</f>
        <v>31</v>
      </c>
      <c r="C43" s="57" t="s">
        <v>1996</v>
      </c>
      <c r="D43" s="57" t="s">
        <v>1901</v>
      </c>
      <c r="E43" s="56" t="s">
        <v>127</v>
      </c>
      <c r="F43" s="56" t="s">
        <v>739</v>
      </c>
      <c r="G43" s="56" t="str">
        <f t="shared" si="10"/>
        <v>text</v>
      </c>
      <c r="H43" s="59"/>
      <c r="I43" s="60" t="s">
        <v>127</v>
      </c>
      <c r="J43" s="64" t="s">
        <v>1814</v>
      </c>
      <c r="N43" s="78"/>
      <c r="O43" s="78"/>
      <c r="P43" s="78" t="str">
        <f t="shared" si="11"/>
        <v>,update_ymd</v>
      </c>
      <c r="Q43" s="78" t="str">
        <f t="shared" si="0"/>
        <v>TEXT</v>
      </c>
      <c r="R43" s="78" t="str">
        <f t="shared" si="1"/>
        <v/>
      </c>
      <c r="S43" s="78" t="str">
        <f t="shared" si="12"/>
        <v>NOT NULL</v>
      </c>
      <c r="T43" s="78" t="str">
        <f t="shared" si="13"/>
        <v>-- データ登録日</v>
      </c>
      <c r="U43" s="4"/>
      <c r="AA43" s="4"/>
      <c r="AB43" s="4"/>
      <c r="AC43" s="4"/>
      <c r="AD43" s="4"/>
      <c r="AE43" s="4"/>
      <c r="AF43" s="4"/>
      <c r="AG43" s="4"/>
      <c r="AH43" s="4"/>
      <c r="AI43" s="4"/>
      <c r="AJ43" s="78" t="str">
        <f>IF(E43="○",IF(COUNTA(E$13:E43)=1,"",",")&amp;D43,"")</f>
        <v>,update_ymd</v>
      </c>
      <c r="AK43" s="4"/>
      <c r="AL43" s="4"/>
      <c r="AM43" s="4"/>
      <c r="AN43" s="4"/>
      <c r="AO43" s="4"/>
      <c r="AP43" s="4"/>
      <c r="AQ43" s="4"/>
      <c r="AR43" s="4"/>
      <c r="AS43" s="78" t="str">
        <f>"COMMENT ON COLUMN "&amp;エンティティ一覧!$O$2&amp;"."&amp;D$8&amp;"."&amp;D43&amp;" IS '"&amp;C43&amp;"';"</f>
        <v>COMMENT ON COLUMN milscm_2023_009.sny_202310_backup_mt_comment.update_ymd IS 'データ登録日';</v>
      </c>
    </row>
    <row r="44" spans="1:52">
      <c r="L44" s="25"/>
      <c r="M44" s="25"/>
      <c r="N44" s="78" t="s">
        <v>142</v>
      </c>
      <c r="O44" s="78"/>
      <c r="P44" s="78"/>
      <c r="Q44" s="78"/>
      <c r="R44" s="78"/>
      <c r="S44" s="78"/>
      <c r="T44" s="78"/>
      <c r="V44" s="25"/>
      <c r="W44" s="25"/>
      <c r="X44" s="25"/>
      <c r="Y44" s="25"/>
      <c r="Z44" s="25"/>
      <c r="AJ44" s="78"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ENT_01_A3-08</v>
      </c>
      <c r="E6" s="251"/>
      <c r="F6" s="251"/>
      <c r="G6" s="251"/>
      <c r="H6" s="251"/>
      <c r="I6" s="251"/>
      <c r="J6" s="252"/>
    </row>
    <row r="7" spans="1:45">
      <c r="B7" s="240" t="s">
        <v>115</v>
      </c>
      <c r="C7" s="241"/>
      <c r="D7" s="242" t="s">
        <v>2047</v>
      </c>
      <c r="E7" s="243"/>
      <c r="F7" s="243"/>
      <c r="G7" s="243"/>
      <c r="H7" s="243"/>
      <c r="I7" s="243"/>
      <c r="J7" s="244"/>
    </row>
    <row r="8" spans="1:45">
      <c r="B8" s="240" t="s">
        <v>116</v>
      </c>
      <c r="C8" s="241"/>
      <c r="D8" s="242" t="str">
        <f>エンティティ一覧!AE2&amp;"_"&amp;D5&amp;"_mt_seibunryo"</f>
        <v>sny_202310_backup_mt_seibunryo</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milscm_2023_009.sny_202310_backup_mt_seibunryo;</v>
      </c>
      <c r="O10" s="78"/>
      <c r="P10" s="78"/>
      <c r="Q10" s="78"/>
      <c r="R10" s="78"/>
      <c r="S10" s="78"/>
      <c r="T10" s="78"/>
      <c r="AJ10" s="78" t="str">
        <f>"ALTER TABLE ONLY "&amp;エンティティ一覧!$O$2&amp;"."&amp;D$8</f>
        <v>ALTER TABLE ONLY milscm_2023_009.sny_202310_backup_mt_seibunryo</v>
      </c>
      <c r="AS10" s="78" t="str">
        <f>"ALTER TABLE "&amp;エンティティ一覧!$O$2&amp;"."&amp;D$8&amp;" OWNER TO pgmisgrp1;"</f>
        <v>ALTER TABLE milscm_2023_009.sny_202310_backup_mt_seibunryo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milscm_2023_009.sny_202310_backup_mt_seibunryo</v>
      </c>
      <c r="O11" s="78"/>
      <c r="P11" s="78"/>
      <c r="Q11" s="78"/>
      <c r="R11" s="78"/>
      <c r="S11" s="78"/>
      <c r="T11" s="78"/>
      <c r="AJ11" s="78" t="str">
        <f>"ADD CONSTRAINT "&amp;D$8&amp;"_pkey PRIMARY KEY"</f>
        <v>ADD CONSTRAINT sny_202310_backup_mt_seibunryo_pkey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t="s">
        <v>127</v>
      </c>
      <c r="J13" s="11"/>
      <c r="M13" s="4"/>
      <c r="N13" s="78"/>
      <c r="O13" s="78"/>
      <c r="P13" s="78" t="str">
        <f>IF(B13&lt;&gt;1,","&amp;D13,D13)</f>
        <v>yj_code</v>
      </c>
      <c r="Q13" s="78" t="str">
        <f t="shared" ref="Q13:Q23" si="0">UPPER(G13)</f>
        <v>TEXT</v>
      </c>
      <c r="R13" s="78" t="str">
        <f t="shared" ref="R13:R23"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milscm_2023_009.sny_202310_backup_mt_seibunryo.yj_code IS 'ＹＪコード';</v>
      </c>
    </row>
    <row r="14" spans="1:45" s="25" customFormat="1" ht="34.799999999999997">
      <c r="A14" s="4"/>
      <c r="B14" s="21">
        <f t="shared" ref="B14:B22" si="2">ROW()-12</f>
        <v>2</v>
      </c>
      <c r="C14" s="6" t="s">
        <v>2050</v>
      </c>
      <c r="D14" s="6" t="s">
        <v>2051</v>
      </c>
      <c r="E14" s="8"/>
      <c r="F14" s="7" t="s">
        <v>1757</v>
      </c>
      <c r="G14" s="7" t="str">
        <f t="shared" ref="G14:G23" si="3">IF(F14="フラグ","boolean",IF(F14="文字列","text",IF(F14="整数","integer",IF(F14="実数","numeric",""))))</f>
        <v>text</v>
      </c>
      <c r="H14" s="26"/>
      <c r="I14" s="10" t="s">
        <v>127</v>
      </c>
      <c r="J14" s="11" t="s">
        <v>2069</v>
      </c>
      <c r="M14" s="4"/>
      <c r="N14" s="78"/>
      <c r="O14" s="78"/>
      <c r="P14" s="78" t="str">
        <f t="shared" ref="P14:P23" si="4">IF(B14&lt;&gt;1,","&amp;D14,D14)</f>
        <v>,haigozai_f</v>
      </c>
      <c r="Q14" s="78" t="str">
        <f t="shared" si="0"/>
        <v>TEXT</v>
      </c>
      <c r="R14" s="78" t="str">
        <f t="shared" si="1"/>
        <v/>
      </c>
      <c r="S14" s="78" t="str">
        <f t="shared" ref="S14:S23" si="5">IF(I14="○","NOT NULL","")</f>
        <v>NOT NULL</v>
      </c>
      <c r="T14" s="78" t="str">
        <f t="shared" ref="T14:T23" si="6">"-- "&amp;C14</f>
        <v>-- 配合剤フラグ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2052</v>
      </c>
      <c r="D15" s="6" t="s">
        <v>2053</v>
      </c>
      <c r="E15" s="8"/>
      <c r="F15" s="7" t="s">
        <v>1757</v>
      </c>
      <c r="G15" s="7" t="str">
        <f t="shared" si="3"/>
        <v>text</v>
      </c>
      <c r="H15" s="26"/>
      <c r="I15" s="10" t="s">
        <v>127</v>
      </c>
      <c r="J15" s="11"/>
      <c r="M15" s="4"/>
      <c r="N15" s="78"/>
      <c r="O15" s="78"/>
      <c r="P15" s="78" t="str">
        <f t="shared" si="4"/>
        <v>,seibun_group_code</v>
      </c>
      <c r="Q15" s="78" t="str">
        <f t="shared" si="0"/>
        <v>TEXT</v>
      </c>
      <c r="R15" s="78" t="str">
        <f t="shared" si="1"/>
        <v/>
      </c>
      <c r="S15" s="78" t="str">
        <f t="shared" si="5"/>
        <v>NOT NULL</v>
      </c>
      <c r="T15" s="78" t="str">
        <f t="shared" si="6"/>
        <v>-- 成分グループコード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2056</v>
      </c>
      <c r="D17" s="6" t="s">
        <v>2057</v>
      </c>
      <c r="E17" s="8"/>
      <c r="F17" s="7" t="s">
        <v>1764</v>
      </c>
      <c r="G17" s="7" t="str">
        <f t="shared" si="3"/>
        <v>numeric</v>
      </c>
      <c r="H17" s="26"/>
      <c r="I17" s="10"/>
      <c r="J17" s="11"/>
      <c r="M17" s="4"/>
      <c r="N17" s="78"/>
      <c r="O17" s="78"/>
      <c r="P17" s="78" t="str">
        <f t="shared" si="4"/>
        <v>,seibunryo</v>
      </c>
      <c r="Q17" s="78" t="str">
        <f t="shared" si="0"/>
        <v>NUMERIC</v>
      </c>
      <c r="R17" s="78" t="str">
        <f t="shared" si="1"/>
        <v/>
      </c>
      <c r="S17" s="78" t="str">
        <f t="shared" si="5"/>
        <v/>
      </c>
      <c r="T17" s="78" t="str">
        <f t="shared" si="6"/>
        <v>-- 成分量</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milscm_2023_009.sny_202310_backup_mt_seibunryo.seibunryo IS '成分量';</v>
      </c>
    </row>
    <row r="18" spans="1:52" s="25" customFormat="1">
      <c r="A18" s="4"/>
      <c r="B18" s="21">
        <f t="shared" si="2"/>
        <v>6</v>
      </c>
      <c r="C18" s="6" t="s">
        <v>2058</v>
      </c>
      <c r="D18" s="6" t="s">
        <v>2059</v>
      </c>
      <c r="E18" s="8"/>
      <c r="F18" s="7" t="s">
        <v>1757</v>
      </c>
      <c r="G18" s="7" t="str">
        <f t="shared" si="3"/>
        <v>text</v>
      </c>
      <c r="H18" s="26"/>
      <c r="I18" s="10"/>
      <c r="J18" s="11"/>
      <c r="M18" s="4"/>
      <c r="N18" s="78"/>
      <c r="O18" s="78"/>
      <c r="P18" s="78" t="str">
        <f t="shared" si="4"/>
        <v>,seibun_unit_code</v>
      </c>
      <c r="Q18" s="78" t="str">
        <f t="shared" si="0"/>
        <v>TEXT</v>
      </c>
      <c r="R18" s="78" t="str">
        <f t="shared" si="1"/>
        <v/>
      </c>
      <c r="S18" s="78" t="str">
        <f t="shared" si="5"/>
        <v/>
      </c>
      <c r="T18" s="78" t="str">
        <f t="shared" si="6"/>
        <v>-- 成分単位コード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2060</v>
      </c>
      <c r="D19" s="6" t="s">
        <v>2061</v>
      </c>
      <c r="E19" s="8"/>
      <c r="F19" s="7" t="s">
        <v>1764</v>
      </c>
      <c r="G19" s="7" t="str">
        <f t="shared" si="3"/>
        <v>numeric</v>
      </c>
      <c r="H19" s="26"/>
      <c r="I19" s="10"/>
      <c r="J19" s="11"/>
      <c r="M19" s="4"/>
      <c r="N19" s="78"/>
      <c r="O19" s="78"/>
      <c r="P19" s="78" t="str">
        <f t="shared" si="4"/>
        <v>,kokuji_kikakuryo</v>
      </c>
      <c r="Q19" s="78" t="str">
        <f t="shared" si="0"/>
        <v>NUMERIC</v>
      </c>
      <c r="R19" s="78" t="str">
        <f t="shared" si="1"/>
        <v/>
      </c>
      <c r="S19" s="78" t="str">
        <f t="shared" si="5"/>
        <v/>
      </c>
      <c r="T19" s="78" t="str">
        <f t="shared" si="6"/>
        <v>-- 告示規格量</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milscm_2023_009.sny_202310_backup_mt_seibunryo.kokuji_kikakuryo IS '告示規格量';</v>
      </c>
    </row>
    <row r="20" spans="1:52" s="25" customFormat="1" ht="31.95" customHeight="1">
      <c r="A20" s="4"/>
      <c r="B20" s="21">
        <f t="shared" si="2"/>
        <v>8</v>
      </c>
      <c r="C20" s="6" t="s">
        <v>2062</v>
      </c>
      <c r="D20" s="6" t="s">
        <v>2063</v>
      </c>
      <c r="E20" s="8"/>
      <c r="F20" s="7" t="s">
        <v>1757</v>
      </c>
      <c r="G20" s="7" t="str">
        <f t="shared" si="3"/>
        <v>text</v>
      </c>
      <c r="H20" s="26"/>
      <c r="I20" s="10"/>
      <c r="J20" s="11"/>
      <c r="M20" s="4"/>
      <c r="N20" s="78"/>
      <c r="O20" s="78"/>
      <c r="P20" s="78" t="str">
        <f t="shared" si="4"/>
        <v>,kokuji_kikaku_unit_code</v>
      </c>
      <c r="Q20" s="78" t="str">
        <f t="shared" si="0"/>
        <v>TEXT</v>
      </c>
      <c r="R20" s="78" t="str">
        <f t="shared" si="1"/>
        <v/>
      </c>
      <c r="S20" s="78" t="str">
        <f t="shared" si="5"/>
        <v/>
      </c>
      <c r="T20" s="78" t="str">
        <f t="shared" si="6"/>
        <v>-- 告示規格単位コード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2064</v>
      </c>
      <c r="D21" s="6" t="s">
        <v>2065</v>
      </c>
      <c r="E21" s="8"/>
      <c r="F21" s="7" t="s">
        <v>1757</v>
      </c>
      <c r="G21" s="7" t="str">
        <f t="shared" si="3"/>
        <v>text</v>
      </c>
      <c r="H21" s="26"/>
      <c r="I21" s="10"/>
      <c r="J21" s="11"/>
      <c r="M21" s="4"/>
      <c r="N21" s="78"/>
      <c r="O21" s="78"/>
      <c r="P21" s="78" t="str">
        <f t="shared" si="4"/>
        <v>,bikou</v>
      </c>
      <c r="Q21" s="78" t="str">
        <f t="shared" si="0"/>
        <v>TEXT</v>
      </c>
      <c r="R21" s="78" t="str">
        <f t="shared" si="1"/>
        <v/>
      </c>
      <c r="S21" s="78" t="str">
        <f t="shared" si="5"/>
        <v/>
      </c>
      <c r="T21" s="78" t="str">
        <f t="shared" si="6"/>
        <v>-- 備考</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milscm_2023_009.sny_202310_backup_mt_seibunryo.bikou IS '備考';</v>
      </c>
    </row>
    <row r="22" spans="1:52" s="25" customFormat="1" ht="52.2">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milscm_2023_009.sny_202310_backup_mt_seibunryo.koshin_kubun IS '更新区分';</v>
      </c>
    </row>
    <row r="23" spans="1:52" s="25" customFormat="1" ht="18" thickBot="1">
      <c r="A23" s="4"/>
      <c r="B23" s="27">
        <f>ROW()-12</f>
        <v>11</v>
      </c>
      <c r="C23" s="57" t="s">
        <v>2068</v>
      </c>
      <c r="D23" s="57" t="s">
        <v>1901</v>
      </c>
      <c r="E23" s="56" t="s">
        <v>127</v>
      </c>
      <c r="F23" s="56" t="s">
        <v>1757</v>
      </c>
      <c r="G23" s="56" t="str">
        <f t="shared" si="3"/>
        <v>text</v>
      </c>
      <c r="H23" s="59"/>
      <c r="I23" s="60" t="s">
        <v>127</v>
      </c>
      <c r="J23" s="64" t="s">
        <v>2071</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milscm_2023_009.sny_202310_backup_mt_seibunryo.update_ymd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ENT_01_A3-09</v>
      </c>
      <c r="E6" s="251"/>
      <c r="F6" s="251"/>
      <c r="G6" s="251"/>
      <c r="H6" s="251"/>
      <c r="I6" s="251"/>
      <c r="J6" s="252"/>
    </row>
    <row r="7" spans="1:45">
      <c r="B7" s="240" t="s">
        <v>115</v>
      </c>
      <c r="C7" s="241"/>
      <c r="D7" s="242" t="s">
        <v>2072</v>
      </c>
      <c r="E7" s="243"/>
      <c r="F7" s="243"/>
      <c r="G7" s="243"/>
      <c r="H7" s="243"/>
      <c r="I7" s="243"/>
      <c r="J7" s="244"/>
    </row>
    <row r="8" spans="1:45">
      <c r="B8" s="240" t="s">
        <v>116</v>
      </c>
      <c r="C8" s="241"/>
      <c r="D8" s="242" t="str">
        <f>エンティティ一覧!AE2&amp;"_"&amp;D5&amp;"_mt_seibun_name"</f>
        <v>sny_202310_backup_mt_seibun_name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milscm_2023_009.sny_202310_backup_mt_seibun_name;</v>
      </c>
      <c r="O10" s="78"/>
      <c r="P10" s="78"/>
      <c r="Q10" s="78"/>
      <c r="R10" s="78"/>
      <c r="S10" s="78"/>
      <c r="T10" s="78"/>
      <c r="AJ10" s="78" t="str">
        <f>"ALTER TABLE ONLY "&amp;エンティティ一覧!$O$2&amp;"."&amp;D$8</f>
        <v>ALTER TABLE ONLY milscm_2023_009.sny_202310_backup_mt_seibun_name</v>
      </c>
      <c r="AS10" s="78" t="str">
        <f>"ALTER TABLE "&amp;エンティティ一覧!$O$2&amp;"."&amp;D$8&amp;" OWNER TO pgmisgrp1;"</f>
        <v>ALTER TABLE milscm_2023_009.sny_202310_backup_mt_seibun_name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milscm_2023_009.sny_202310_backup_mt_seibun_name</v>
      </c>
      <c r="O11" s="78"/>
      <c r="P11" s="78"/>
      <c r="Q11" s="78"/>
      <c r="R11" s="78"/>
      <c r="S11" s="78"/>
      <c r="T11" s="78"/>
      <c r="AJ11" s="78" t="str">
        <f>"ADD CONSTRAINT "&amp;D$8&amp;"_pkey PRIMARY KEY"</f>
        <v>ADD CONSTRAINT sny_202310_backup_mt_seibun_name_pkey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2073</v>
      </c>
      <c r="D13" s="6" t="s">
        <v>2074</v>
      </c>
      <c r="E13" s="8"/>
      <c r="F13" s="8" t="s">
        <v>1757</v>
      </c>
      <c r="G13" s="7" t="str">
        <f>IF(F13="フラグ","boolean",IF(F13="文字列","text",IF(F13="整数","integer",IF(F13="実数","numeric",""))))</f>
        <v>text</v>
      </c>
      <c r="H13" s="9"/>
      <c r="I13" s="10" t="s">
        <v>127</v>
      </c>
      <c r="J13" s="11"/>
      <c r="M13" s="4"/>
      <c r="N13" s="78"/>
      <c r="O13" s="78"/>
      <c r="P13" s="78" t="str">
        <f>IF(B13&lt;&gt;1,","&amp;D13,D13)</f>
        <v>management_id</v>
      </c>
      <c r="Q13" s="78" t="str">
        <f t="shared" ref="Q13:Q22" si="0">UPPER(G13)</f>
        <v>TEXT</v>
      </c>
      <c r="R13" s="78" t="str">
        <f t="shared" ref="R13:R22" si="1">IF(H13&lt;&gt;"","default "&amp;IF(G13="text","'"&amp;H13&amp;"'",H13),"")</f>
        <v/>
      </c>
      <c r="S13" s="78" t="str">
        <f>IF(I13="○","NOT NULL","")</f>
        <v>NOT NULL</v>
      </c>
      <c r="T13" s="78" t="str">
        <f>"-- "&amp;C13</f>
        <v>-- 管理ID</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2075</v>
      </c>
      <c r="D14" s="6" t="s">
        <v>2076</v>
      </c>
      <c r="E14" s="8"/>
      <c r="F14" s="7" t="s">
        <v>1757</v>
      </c>
      <c r="G14" s="7" t="str">
        <f t="shared" ref="G14:G22" si="3">IF(F14="フラグ","boolean",IF(F14="文字列","text",IF(F14="整数","integer",IF(F14="実数","numeric",""))))</f>
        <v>text</v>
      </c>
      <c r="H14" s="26"/>
      <c r="I14" s="10"/>
      <c r="J14" s="11" t="s">
        <v>2087</v>
      </c>
      <c r="M14" s="4"/>
      <c r="N14" s="78"/>
      <c r="O14" s="78"/>
      <c r="P14" s="78" t="str">
        <f t="shared" ref="P14:P22" si="4">IF(B14&lt;&gt;1,","&amp;D14,D14)</f>
        <v>,seibun_oya_level</v>
      </c>
      <c r="Q14" s="78" t="str">
        <f t="shared" si="0"/>
        <v>TEXT</v>
      </c>
      <c r="R14" s="78" t="str">
        <f t="shared" si="1"/>
        <v/>
      </c>
      <c r="S14" s="78" t="str">
        <f t="shared" ref="S14:S22" si="5">IF(I14="○","NOT NULL","")</f>
        <v/>
      </c>
      <c r="T14" s="78" t="str">
        <f t="shared" ref="T14:T22" si="6">"-- "&amp;C14</f>
        <v>-- 成分親レベル</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2077</v>
      </c>
      <c r="D15" s="6" t="s">
        <v>2078</v>
      </c>
      <c r="E15" s="8" t="s">
        <v>127</v>
      </c>
      <c r="F15" s="7" t="s">
        <v>1757</v>
      </c>
      <c r="G15" s="7" t="str">
        <f t="shared" si="3"/>
        <v>text</v>
      </c>
      <c r="H15" s="26"/>
      <c r="I15" s="10" t="s">
        <v>127</v>
      </c>
      <c r="J15" s="11" t="s">
        <v>2088</v>
      </c>
      <c r="M15" s="4"/>
      <c r="N15" s="78"/>
      <c r="O15" s="78"/>
      <c r="P15" s="78" t="str">
        <f t="shared" si="4"/>
        <v>,seibun_oya_code</v>
      </c>
      <c r="Q15" s="78" t="str">
        <f t="shared" si="0"/>
        <v>TEXT</v>
      </c>
      <c r="R15" s="78" t="str">
        <f t="shared" si="1"/>
        <v/>
      </c>
      <c r="S15" s="78" t="str">
        <f t="shared" si="5"/>
        <v>NOT NULL</v>
      </c>
      <c r="T15" s="78" t="str">
        <f t="shared" si="6"/>
        <v>-- 成分親コード</v>
      </c>
      <c r="U15" s="4"/>
      <c r="AA15" s="4"/>
      <c r="AB15" s="4"/>
      <c r="AC15" s="4"/>
      <c r="AD15" s="4"/>
      <c r="AE15" s="4"/>
      <c r="AF15" s="4"/>
      <c r="AG15" s="4"/>
      <c r="AH15" s="4"/>
      <c r="AI15" s="4"/>
      <c r="AJ15" s="78" t="str">
        <f>IF(E15="○",IF(COUNTA(E$13:E15)=1,"",",")&amp;D15,"")</f>
        <v>seibun_oya_code</v>
      </c>
      <c r="AK15" s="4"/>
      <c r="AL15" s="4"/>
      <c r="AM15" s="4"/>
      <c r="AN15" s="4"/>
      <c r="AO15" s="4"/>
      <c r="AP15" s="4"/>
      <c r="AQ15" s="4"/>
      <c r="AR15" s="4"/>
      <c r="AS15" s="78"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2079</v>
      </c>
      <c r="D17" s="6" t="s">
        <v>2080</v>
      </c>
      <c r="E17" s="8"/>
      <c r="F17" s="7" t="s">
        <v>1757</v>
      </c>
      <c r="G17" s="7" t="str">
        <f t="shared" si="3"/>
        <v>text</v>
      </c>
      <c r="H17" s="26"/>
      <c r="I17" s="10" t="s">
        <v>127</v>
      </c>
      <c r="J17" s="11" t="s">
        <v>2079</v>
      </c>
      <c r="M17" s="4"/>
      <c r="N17" s="78"/>
      <c r="O17" s="78"/>
      <c r="P17" s="78" t="str">
        <f t="shared" si="4"/>
        <v>,seibun_name</v>
      </c>
      <c r="Q17" s="78" t="str">
        <f t="shared" si="0"/>
        <v>TEXT</v>
      </c>
      <c r="R17" s="78" t="str">
        <f t="shared" si="1"/>
        <v/>
      </c>
      <c r="S17" s="78" t="str">
        <f t="shared" si="5"/>
        <v>NOT NULL</v>
      </c>
      <c r="T17" s="78" t="str">
        <f t="shared" si="6"/>
        <v>-- 成分名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milscm_2023_009.sny_202310_backup_mt_seibun_name.seibun_name IS '成分名';</v>
      </c>
    </row>
    <row r="18" spans="1:52" s="25" customFormat="1" ht="34.799999999999997">
      <c r="A18" s="4"/>
      <c r="B18" s="21">
        <f t="shared" si="2"/>
        <v>6</v>
      </c>
      <c r="C18" s="6" t="s">
        <v>2081</v>
      </c>
      <c r="D18" s="6" t="s">
        <v>2082</v>
      </c>
      <c r="E18" s="8"/>
      <c r="F18" s="7" t="s">
        <v>1757</v>
      </c>
      <c r="G18" s="7" t="str">
        <f t="shared" si="3"/>
        <v>text</v>
      </c>
      <c r="H18" s="26"/>
      <c r="I18" s="10"/>
      <c r="J18" s="11" t="s">
        <v>2089</v>
      </c>
      <c r="M18" s="4"/>
      <c r="N18" s="78"/>
      <c r="O18" s="78"/>
      <c r="P18" s="78" t="str">
        <f t="shared" si="4"/>
        <v>,tanmi_f</v>
      </c>
      <c r="Q18" s="78" t="str">
        <f t="shared" si="0"/>
        <v>TEXT</v>
      </c>
      <c r="R18" s="78" t="str">
        <f t="shared" si="1"/>
        <v/>
      </c>
      <c r="S18" s="78" t="str">
        <f t="shared" si="5"/>
        <v/>
      </c>
      <c r="T18" s="78" t="str">
        <f t="shared" si="6"/>
        <v>-- 単味フラグ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milscm_2023_009.sny_202310_backup_mt_seibun_name.tanmi_f IS '単味フラグ';</v>
      </c>
    </row>
    <row r="19" spans="1:52" s="25" customFormat="1" ht="34.799999999999997">
      <c r="A19" s="4"/>
      <c r="B19" s="21">
        <f t="shared" si="2"/>
        <v>7</v>
      </c>
      <c r="C19" s="6" t="s">
        <v>2083</v>
      </c>
      <c r="D19" s="6" t="s">
        <v>2084</v>
      </c>
      <c r="E19" s="8"/>
      <c r="F19" s="7" t="s">
        <v>1757</v>
      </c>
      <c r="G19" s="7" t="str">
        <f t="shared" si="3"/>
        <v>text</v>
      </c>
      <c r="H19" s="26"/>
      <c r="I19" s="10"/>
      <c r="J19" s="11" t="s">
        <v>2090</v>
      </c>
      <c r="M19" s="4"/>
      <c r="N19" s="78"/>
      <c r="O19" s="78"/>
      <c r="P19" s="78" t="str">
        <f t="shared" si="4"/>
        <v>,haigo_f</v>
      </c>
      <c r="Q19" s="78" t="str">
        <f t="shared" si="0"/>
        <v>TEXT</v>
      </c>
      <c r="R19" s="78" t="str">
        <f t="shared" si="1"/>
        <v/>
      </c>
      <c r="S19" s="78" t="str">
        <f t="shared" si="5"/>
        <v/>
      </c>
      <c r="T19" s="78" t="str">
        <f t="shared" si="6"/>
        <v>-- 配合フラグ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milscm_2023_009.sny_202310_backup_mt_seibun_name.haigo_f IS '配合フラグ';</v>
      </c>
    </row>
    <row r="20" spans="1:52" s="25" customFormat="1" ht="31.95" customHeight="1">
      <c r="A20" s="4"/>
      <c r="B20" s="21">
        <f t="shared" si="2"/>
        <v>8</v>
      </c>
      <c r="C20" s="6" t="s">
        <v>2085</v>
      </c>
      <c r="D20" s="6" t="s">
        <v>2086</v>
      </c>
      <c r="E20" s="8"/>
      <c r="F20" s="7" t="s">
        <v>1757</v>
      </c>
      <c r="G20" s="7" t="str">
        <f t="shared" si="3"/>
        <v>text</v>
      </c>
      <c r="H20" s="26"/>
      <c r="I20" s="10"/>
      <c r="J20" s="11" t="s">
        <v>2091</v>
      </c>
      <c r="M20" s="4"/>
      <c r="N20" s="78"/>
      <c r="O20" s="78"/>
      <c r="P20" s="78" t="str">
        <f t="shared" si="4"/>
        <v>,time_stamp</v>
      </c>
      <c r="Q20" s="78" t="str">
        <f t="shared" si="0"/>
        <v>TEXT</v>
      </c>
      <c r="R20" s="78" t="str">
        <f t="shared" si="1"/>
        <v/>
      </c>
      <c r="S20" s="78" t="str">
        <f t="shared" si="5"/>
        <v/>
      </c>
      <c r="T20" s="78" t="str">
        <f t="shared" si="6"/>
        <v>-- タイムスタンプ</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milscm_2023_009.sny_202310_backup_mt_seibun_name.time_stamp IS 'タイムスタンプ';</v>
      </c>
    </row>
    <row r="21" spans="1:52" s="25" customFormat="1" ht="52.2">
      <c r="A21" s="4"/>
      <c r="B21" s="21">
        <f t="shared" si="2"/>
        <v>9</v>
      </c>
      <c r="C21" s="6" t="s">
        <v>2066</v>
      </c>
      <c r="D21" s="6" t="s">
        <v>2067</v>
      </c>
      <c r="E21" s="8" t="s">
        <v>127</v>
      </c>
      <c r="F21" s="7" t="s">
        <v>1757</v>
      </c>
      <c r="G21" s="7" t="str">
        <f t="shared" si="3"/>
        <v>text</v>
      </c>
      <c r="H21" s="26"/>
      <c r="I21" s="10" t="s">
        <v>127</v>
      </c>
      <c r="J21" s="11" t="s">
        <v>2070</v>
      </c>
      <c r="M21" s="4"/>
      <c r="N21" s="78"/>
      <c r="O21" s="78"/>
      <c r="P21" s="78" t="str">
        <f t="shared" si="4"/>
        <v>,koshin_kubun</v>
      </c>
      <c r="Q21" s="78" t="str">
        <f t="shared" si="0"/>
        <v>TEXT</v>
      </c>
      <c r="R21" s="78" t="str">
        <f t="shared" si="1"/>
        <v/>
      </c>
      <c r="S21" s="78" t="str">
        <f t="shared" si="5"/>
        <v>NOT NULL</v>
      </c>
      <c r="T21" s="78" t="str">
        <f t="shared" si="6"/>
        <v>-- 更新区分</v>
      </c>
      <c r="U21" s="4"/>
      <c r="AA21" s="4"/>
      <c r="AB21" s="4"/>
      <c r="AC21" s="4"/>
      <c r="AD21" s="4"/>
      <c r="AE21" s="4"/>
      <c r="AF21" s="4"/>
      <c r="AG21" s="4"/>
      <c r="AH21" s="4"/>
      <c r="AI21" s="4"/>
      <c r="AJ21" s="78" t="str">
        <f>IF(E21="○",IF(COUNTA(E$13:E21)=1,"",",")&amp;D21,"")</f>
        <v>,koshin_kubun</v>
      </c>
      <c r="AK21" s="4"/>
      <c r="AL21" s="4"/>
      <c r="AM21" s="4"/>
      <c r="AN21" s="4"/>
      <c r="AO21" s="4"/>
      <c r="AP21" s="4"/>
      <c r="AQ21" s="4"/>
      <c r="AR21" s="4"/>
      <c r="AS21" s="78" t="str">
        <f>"COMMENT ON COLUMN "&amp;エンティティ一覧!$O$2&amp;"."&amp;D$8&amp;"."&amp;D21&amp;" IS '"&amp;C21&amp;"';"</f>
        <v>COMMENT ON COLUMN milscm_2023_009.sny_202310_backup_mt_seibun_name.koshin_kubun IS '更新区分';</v>
      </c>
    </row>
    <row r="22" spans="1:52" s="25" customFormat="1" ht="18" thickBot="1">
      <c r="A22" s="4"/>
      <c r="B22" s="27">
        <f>ROW()-12</f>
        <v>10</v>
      </c>
      <c r="C22" s="57" t="s">
        <v>2068</v>
      </c>
      <c r="D22" s="57" t="s">
        <v>1901</v>
      </c>
      <c r="E22" s="56" t="s">
        <v>127</v>
      </c>
      <c r="F22" s="56" t="s">
        <v>1757</v>
      </c>
      <c r="G22" s="56" t="str">
        <f t="shared" si="3"/>
        <v>text</v>
      </c>
      <c r="H22" s="59"/>
      <c r="I22" s="60" t="s">
        <v>127</v>
      </c>
      <c r="J22" s="64" t="s">
        <v>2092</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milscm_2023_009.sny_202310_backup_mt_seibun_name.update_ymd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ENT_01_A3-10</v>
      </c>
      <c r="E6" s="251"/>
      <c r="F6" s="251"/>
      <c r="G6" s="251"/>
      <c r="H6" s="251"/>
      <c r="I6" s="251"/>
      <c r="J6" s="252"/>
    </row>
    <row r="7" spans="1:45">
      <c r="B7" s="240" t="s">
        <v>115</v>
      </c>
      <c r="C7" s="241"/>
      <c r="D7" s="242" t="s">
        <v>2093</v>
      </c>
      <c r="E7" s="243"/>
      <c r="F7" s="243"/>
      <c r="G7" s="243"/>
      <c r="H7" s="243"/>
      <c r="I7" s="243"/>
      <c r="J7" s="244"/>
    </row>
    <row r="8" spans="1:45">
      <c r="B8" s="240" t="s">
        <v>116</v>
      </c>
      <c r="C8" s="241"/>
      <c r="D8" s="242" t="str">
        <f>エンティティ一覧!AE2&amp;"_"&amp;D5&amp;"_mt_unit"</f>
        <v>sny_202310_backup_mt_unit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単位マスタ取込用テーブルから組入れ条件の第一条件で絞り込んだ結果を格納するテーブル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milscm_2023_009.sny_202310_backup_mt_unit;</v>
      </c>
      <c r="O10" s="78"/>
      <c r="P10" s="78"/>
      <c r="Q10" s="78"/>
      <c r="R10" s="78"/>
      <c r="S10" s="78"/>
      <c r="T10" s="78"/>
      <c r="AJ10" s="78" t="str">
        <f>"ALTER TABLE ONLY "&amp;エンティティ一覧!$O$2&amp;"."&amp;D$8</f>
        <v>ALTER TABLE ONLY milscm_2023_009.sny_202310_backup_mt_unit</v>
      </c>
      <c r="AS10" s="78" t="str">
        <f>"ALTER TABLE "&amp;エンティティ一覧!$O$2&amp;"."&amp;D$8&amp;" OWNER TO pgmisgrp1;"</f>
        <v>ALTER TABLE milscm_2023_009.sny_202310_backup_mt_unit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milscm_2023_009.sny_202310_backup_mt_unit</v>
      </c>
      <c r="O11" s="78"/>
      <c r="P11" s="78"/>
      <c r="Q11" s="78"/>
      <c r="R11" s="78"/>
      <c r="S11" s="78"/>
      <c r="T11" s="78"/>
      <c r="AJ11" s="78" t="str">
        <f>"ADD CONSTRAINT "&amp;D$8&amp;"_pkey PRIMARY KEY"</f>
        <v>ADD CONSTRAINT sny_202310_backup_mt_unit_pkey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milscm_2023_009.sny_202310_backup_mt_unit IS 'バックアップ_単位マスタ取込用';</v>
      </c>
    </row>
    <row r="13" spans="1:45" s="25" customFormat="1">
      <c r="A13" s="4"/>
      <c r="B13" s="21">
        <f>ROW()-12</f>
        <v>1</v>
      </c>
      <c r="C13" s="6" t="s">
        <v>1672</v>
      </c>
      <c r="D13" s="6" t="s">
        <v>1673</v>
      </c>
      <c r="E13" s="8" t="s">
        <v>127</v>
      </c>
      <c r="F13" s="8" t="s">
        <v>1757</v>
      </c>
      <c r="G13" s="7" t="str">
        <f>IF(F13="フラグ","boolean",IF(F13="文字列","text",IF(F13="整数","integer",IF(F13="実数","numeric",""))))</f>
        <v>text</v>
      </c>
      <c r="H13" s="9"/>
      <c r="I13" s="10" t="s">
        <v>127</v>
      </c>
      <c r="J13" s="11"/>
      <c r="M13" s="4"/>
      <c r="N13" s="78"/>
      <c r="O13" s="78"/>
      <c r="P13" s="78" t="str">
        <f>IF(B13&lt;&gt;1,","&amp;D13,D13)</f>
        <v>unit_code</v>
      </c>
      <c r="Q13" s="78" t="str">
        <f t="shared" ref="Q13:Q17" si="0">UPPER(G13)</f>
        <v>TEXT</v>
      </c>
      <c r="R13" s="78" t="str">
        <f t="shared" ref="R13:R17" si="1">IF(H13&lt;&gt;"","default "&amp;IF(G13="text","'"&amp;H13&amp;"'",H13),"")</f>
        <v/>
      </c>
      <c r="S13" s="78" t="str">
        <f>IF(I13="○","NOT NULL","")</f>
        <v>NOT NULL</v>
      </c>
      <c r="T13" s="78" t="str">
        <f>"-- "&amp;C13</f>
        <v>-- 単位コード</v>
      </c>
      <c r="U13" s="4"/>
      <c r="AA13" s="4"/>
      <c r="AB13" s="4"/>
      <c r="AC13" s="4"/>
      <c r="AD13" s="4"/>
      <c r="AE13" s="4"/>
      <c r="AF13" s="4"/>
      <c r="AG13" s="4"/>
      <c r="AH13" s="4"/>
      <c r="AI13" s="4"/>
      <c r="AJ13" s="78" t="str">
        <f>IF(E13="○",IF(COUNTA(E$13:E13)=1,"",",")&amp;D13,"")</f>
        <v>unit_code</v>
      </c>
      <c r="AK13" s="4"/>
      <c r="AL13" s="4"/>
      <c r="AM13" s="4"/>
      <c r="AN13" s="4"/>
      <c r="AO13" s="4"/>
      <c r="AP13" s="4"/>
      <c r="AQ13" s="4"/>
      <c r="AR13" s="4"/>
      <c r="AS13" s="78"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2094</v>
      </c>
      <c r="D14" s="6" t="s">
        <v>2095</v>
      </c>
      <c r="E14" s="8"/>
      <c r="F14" s="7" t="s">
        <v>1757</v>
      </c>
      <c r="G14" s="7" t="str">
        <f t="shared" ref="G14:G17" si="3">IF(F14="フラグ","boolean",IF(F14="文字列","text",IF(F14="整数","integer",IF(F14="実数","numeric",""))))</f>
        <v>text</v>
      </c>
      <c r="H14" s="26"/>
      <c r="I14" s="10"/>
      <c r="J14" s="11" t="s">
        <v>2098</v>
      </c>
      <c r="M14" s="4"/>
      <c r="N14" s="78"/>
      <c r="O14" s="78"/>
      <c r="P14" s="78" t="str">
        <f t="shared" ref="P14:P17" si="4">IF(B14&lt;&gt;1,","&amp;D14,D14)</f>
        <v>,unit_name</v>
      </c>
      <c r="Q14" s="78" t="str">
        <f t="shared" si="0"/>
        <v>TEXT</v>
      </c>
      <c r="R14" s="78" t="str">
        <f t="shared" si="1"/>
        <v/>
      </c>
      <c r="S14" s="78" t="str">
        <f t="shared" ref="S14:S17" si="5">IF(I14="○","NOT NULL","")</f>
        <v/>
      </c>
      <c r="T14" s="78" t="str">
        <f t="shared" ref="T14:T17" si="6">"-- "&amp;C14</f>
        <v>-- 単位名称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milscm_2023_009.sny_202310_backup_mt_unit.unit_name IS '単位名称';</v>
      </c>
    </row>
    <row r="15" spans="1:45" s="25" customFormat="1">
      <c r="A15" s="4"/>
      <c r="B15" s="21">
        <f t="shared" si="2"/>
        <v>3</v>
      </c>
      <c r="C15" s="6" t="s">
        <v>2096</v>
      </c>
      <c r="D15" s="6" t="s">
        <v>2097</v>
      </c>
      <c r="E15" s="8"/>
      <c r="F15" s="7" t="s">
        <v>1757</v>
      </c>
      <c r="G15" s="7" t="str">
        <f t="shared" si="3"/>
        <v>text</v>
      </c>
      <c r="H15" s="26"/>
      <c r="I15" s="10"/>
      <c r="J15" s="11" t="s">
        <v>2099</v>
      </c>
      <c r="M15" s="4"/>
      <c r="N15" s="78"/>
      <c r="O15" s="78"/>
      <c r="P15" s="78" t="str">
        <f t="shared" si="4"/>
        <v>,unit_kansan_keisu</v>
      </c>
      <c r="Q15" s="78" t="str">
        <f t="shared" si="0"/>
        <v>TEXT</v>
      </c>
      <c r="R15" s="78" t="str">
        <f t="shared" si="1"/>
        <v/>
      </c>
      <c r="S15" s="78" t="str">
        <f t="shared" si="5"/>
        <v/>
      </c>
      <c r="T15" s="78" t="str">
        <f t="shared" si="6"/>
        <v>-- 単位換算係数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milscm_2023_009.sny_202310_backup_mt_unit.unit_kansan_keisu IS '単位換算係数';</v>
      </c>
    </row>
    <row r="16" spans="1:45" s="25" customFormat="1" ht="52.2">
      <c r="A16" s="4"/>
      <c r="B16" s="21">
        <f t="shared" si="2"/>
        <v>4</v>
      </c>
      <c r="C16" s="6" t="s">
        <v>2066</v>
      </c>
      <c r="D16" s="6" t="s">
        <v>2067</v>
      </c>
      <c r="E16" s="8" t="s">
        <v>127</v>
      </c>
      <c r="F16" s="7" t="s">
        <v>1757</v>
      </c>
      <c r="G16" s="7" t="str">
        <f t="shared" si="3"/>
        <v>text</v>
      </c>
      <c r="H16" s="26"/>
      <c r="I16" s="10" t="s">
        <v>127</v>
      </c>
      <c r="J16" s="11" t="s">
        <v>2070</v>
      </c>
      <c r="M16" s="4"/>
      <c r="N16" s="78"/>
      <c r="O16" s="78"/>
      <c r="P16" s="78" t="str">
        <f t="shared" si="4"/>
        <v>,koshin_kubun</v>
      </c>
      <c r="Q16" s="78" t="str">
        <f t="shared" si="0"/>
        <v>TEXT</v>
      </c>
      <c r="R16" s="78" t="str">
        <f t="shared" si="1"/>
        <v/>
      </c>
      <c r="S16" s="78" t="str">
        <f t="shared" si="5"/>
        <v>NOT NULL</v>
      </c>
      <c r="T16" s="78" t="str">
        <f t="shared" si="6"/>
        <v>-- 更新区分</v>
      </c>
      <c r="U16" s="4"/>
      <c r="AA16" s="4"/>
      <c r="AB16" s="4"/>
      <c r="AC16" s="4"/>
      <c r="AD16" s="4"/>
      <c r="AE16" s="4"/>
      <c r="AF16" s="4"/>
      <c r="AG16" s="4"/>
      <c r="AH16" s="4"/>
      <c r="AI16" s="4"/>
      <c r="AJ16" s="78" t="str">
        <f>IF(E16="○",IF(COUNTA(E$13:E16)=1,"",",")&amp;D16,"")</f>
        <v>,koshin_kubun</v>
      </c>
      <c r="AK16" s="4"/>
      <c r="AL16" s="4"/>
      <c r="AM16" s="4"/>
      <c r="AN16" s="4"/>
      <c r="AO16" s="4"/>
      <c r="AP16" s="4"/>
      <c r="AQ16" s="4"/>
      <c r="AR16" s="4"/>
      <c r="AS16" s="78" t="str">
        <f>"COMMENT ON COLUMN "&amp;エンティティ一覧!$O$2&amp;"."&amp;D$8&amp;"."&amp;D16&amp;" IS '"&amp;C16&amp;"';"</f>
        <v>COMMENT ON COLUMN milscm_2023_009.sny_202310_backup_mt_unit.koshin_kubun IS '更新区分';</v>
      </c>
    </row>
    <row r="17" spans="1:52" s="25" customFormat="1" ht="18" thickBot="1">
      <c r="A17" s="4"/>
      <c r="B17" s="27">
        <f>ROW()-12</f>
        <v>5</v>
      </c>
      <c r="C17" s="57" t="s">
        <v>2068</v>
      </c>
      <c r="D17" s="57" t="s">
        <v>1901</v>
      </c>
      <c r="E17" s="56" t="s">
        <v>127</v>
      </c>
      <c r="F17" s="56" t="s">
        <v>1757</v>
      </c>
      <c r="G17" s="56" t="str">
        <f t="shared" si="3"/>
        <v>text</v>
      </c>
      <c r="H17" s="59"/>
      <c r="I17" s="60" t="s">
        <v>127</v>
      </c>
      <c r="J17" s="64" t="s">
        <v>2092</v>
      </c>
      <c r="N17" s="78"/>
      <c r="O17" s="78"/>
      <c r="P17" s="78" t="str">
        <f t="shared" si="4"/>
        <v>,update_ymd</v>
      </c>
      <c r="Q17" s="78" t="str">
        <f t="shared" si="0"/>
        <v>TEXT</v>
      </c>
      <c r="R17" s="78" t="str">
        <f t="shared" si="1"/>
        <v/>
      </c>
      <c r="S17" s="78" t="str">
        <f t="shared" si="5"/>
        <v>NOT NULL</v>
      </c>
      <c r="T17" s="78" t="str">
        <f t="shared" si="6"/>
        <v>-- データ登録日</v>
      </c>
      <c r="U17" s="4"/>
      <c r="AA17" s="4"/>
      <c r="AB17" s="4"/>
      <c r="AC17" s="4"/>
      <c r="AD17" s="4"/>
      <c r="AE17" s="4"/>
      <c r="AF17" s="4"/>
      <c r="AG17" s="4"/>
      <c r="AH17" s="4"/>
      <c r="AI17" s="4"/>
      <c r="AJ17" s="78" t="str">
        <f>IF(E17="○",IF(COUNTA(E$13:E17)=1,"",",")&amp;D17,"")</f>
        <v>,update_ymd</v>
      </c>
      <c r="AK17" s="4"/>
      <c r="AL17" s="4"/>
      <c r="AM17" s="4"/>
      <c r="AN17" s="4"/>
      <c r="AO17" s="4"/>
      <c r="AP17" s="4"/>
      <c r="AQ17" s="4"/>
      <c r="AR17" s="4"/>
      <c r="AS17" s="78" t="str">
        <f>"COMMENT ON COLUMN "&amp;エンティティ一覧!$O$2&amp;"."&amp;D$8&amp;"."&amp;D17&amp;" IS '"&amp;C17&amp;"';"</f>
        <v>COMMENT ON COLUMN milscm_2023_009.sny_202310_backup_mt_unit.update_ymd IS 'データ登録日';</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ENT_01_A3-11</v>
      </c>
      <c r="E6" s="251"/>
      <c r="F6" s="251"/>
      <c r="G6" s="251"/>
      <c r="H6" s="251"/>
      <c r="I6" s="251"/>
      <c r="J6" s="252"/>
    </row>
    <row r="7" spans="1:45">
      <c r="B7" s="240" t="s">
        <v>115</v>
      </c>
      <c r="C7" s="241"/>
      <c r="D7" s="242" t="s">
        <v>2100</v>
      </c>
      <c r="E7" s="243"/>
      <c r="F7" s="243"/>
      <c r="G7" s="243"/>
      <c r="H7" s="243"/>
      <c r="I7" s="243"/>
      <c r="J7" s="244"/>
    </row>
    <row r="8" spans="1:45">
      <c r="B8" s="240" t="s">
        <v>116</v>
      </c>
      <c r="C8" s="241"/>
      <c r="D8" s="242" t="str">
        <f>エンティティ一覧!AE2&amp;"_"&amp;D5&amp;"_mt_tekiyou_recept_combi_link"</f>
        <v>sny_202310_backup_mt_tekiyou_recept_combi_link</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milscm_2023_009.sny_202310_backup_mt_tekiyou_recept_combi_link;</v>
      </c>
      <c r="O10" s="78"/>
      <c r="P10" s="78"/>
      <c r="Q10" s="78"/>
      <c r="R10" s="78"/>
      <c r="S10" s="78"/>
      <c r="T10" s="78"/>
      <c r="AJ10" s="78" t="str">
        <f>"ALTER TABLE ONLY "&amp;エンティティ一覧!$O$2&amp;"."&amp;D$8</f>
        <v>ALTER TABLE ONLY milscm_2023_009.sny_202310_backup_mt_tekiyou_recept_combi_link</v>
      </c>
      <c r="AS10" s="78" t="str">
        <f>"ALTER TABLE "&amp;エンティティ一覧!$O$2&amp;"."&amp;D$8&amp;" OWNER TO pgmisgrp1;"</f>
        <v>ALTER TABLE milscm_2023_009.sny_202310_backup_mt_tekiyou_recept_combi_link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milscm_2023_009.sny_202310_backup_mt_tekiyou_recept_combi_link</v>
      </c>
      <c r="O11" s="78"/>
      <c r="P11" s="78"/>
      <c r="Q11" s="78"/>
      <c r="R11" s="78"/>
      <c r="S11" s="78"/>
      <c r="T11" s="78"/>
      <c r="AJ11" s="78" t="str">
        <f>"ADD CONSTRAINT "&amp;D$8&amp;"_pkey PRIMARY KEY"</f>
        <v>ADD CONSTRAINT sny_202310_backup_mt_tekiyou_recept_combi_link_pkey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0">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23" si="0">UPPER(G13)</f>
        <v>TEXT</v>
      </c>
      <c r="R13" s="78" t="str">
        <f t="shared" ref="R13:R23"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2103</v>
      </c>
      <c r="D14" s="6" t="s">
        <v>2104</v>
      </c>
      <c r="E14" s="8" t="s">
        <v>127</v>
      </c>
      <c r="F14" s="7" t="s">
        <v>1757</v>
      </c>
      <c r="G14" s="7" t="str">
        <f t="shared" ref="G14:G23" si="3">IF(F14="フラグ","boolean",IF(F14="文字列","text",IF(F14="整数","integer",IF(F14="実数","numeric",""))))</f>
        <v>text</v>
      </c>
      <c r="H14" s="26"/>
      <c r="I14" s="10" t="s">
        <v>127</v>
      </c>
      <c r="J14" s="11"/>
      <c r="M14" s="4"/>
      <c r="N14" s="78"/>
      <c r="O14" s="78"/>
      <c r="P14" s="78" t="str">
        <f t="shared" ref="P14:P23" si="4">IF(B14&lt;&gt;1,","&amp;D14,D14)</f>
        <v>,tekiyou_byoumei_code</v>
      </c>
      <c r="Q14" s="78" t="str">
        <f t="shared" si="0"/>
        <v>TEXT</v>
      </c>
      <c r="R14" s="78" t="str">
        <f t="shared" si="1"/>
        <v/>
      </c>
      <c r="S14" s="78" t="str">
        <f t="shared" ref="S14:S23" si="5">IF(I14="○","NOT NULL","")</f>
        <v>NOT NULL</v>
      </c>
      <c r="T14" s="78" t="str">
        <f t="shared" ref="T14:T23" si="6">"-- "&amp;C14</f>
        <v>-- 適用病名コード</v>
      </c>
      <c r="U14" s="4"/>
      <c r="AA14" s="4"/>
      <c r="AB14" s="4"/>
      <c r="AC14" s="4"/>
      <c r="AD14" s="4"/>
      <c r="AE14" s="4"/>
      <c r="AF14" s="4"/>
      <c r="AG14" s="4"/>
      <c r="AH14" s="4"/>
      <c r="AI14" s="4"/>
      <c r="AJ14" s="78" t="str">
        <f>IF(E14="○",IF(COUNTA(E$13:E14)=1,"",",")&amp;D14,"")</f>
        <v>,tekiyou_byoumei_code</v>
      </c>
      <c r="AK14" s="4"/>
      <c r="AL14" s="4"/>
      <c r="AM14" s="4"/>
      <c r="AN14" s="4"/>
      <c r="AO14" s="4"/>
      <c r="AP14" s="4"/>
      <c r="AQ14" s="4"/>
      <c r="AR14" s="4"/>
      <c r="AS14" s="78" t="str">
        <f>"COMMENT ON COLUMN "&amp;エンティティ一覧!$O$2&amp;"."&amp;D$8&amp;"."&amp;D14&amp;" IS '"&amp;C14&amp;"';"</f>
        <v>COMMENT ON COLUMN milscm_2023_009.sny_202310_backup_mt_tekiyou_recept_combi_link.tekiyou_byoumei_code IS '適用病名コード';</v>
      </c>
    </row>
    <row r="15" spans="1:45" s="25" customFormat="1" ht="34.799999999999997">
      <c r="A15" s="4"/>
      <c r="B15" s="21">
        <f t="shared" si="2"/>
        <v>3</v>
      </c>
      <c r="C15" s="6" t="s">
        <v>2105</v>
      </c>
      <c r="D15" s="6" t="s">
        <v>2106</v>
      </c>
      <c r="E15" s="8" t="s">
        <v>127</v>
      </c>
      <c r="F15" s="7" t="s">
        <v>1757</v>
      </c>
      <c r="G15" s="7" t="str">
        <f t="shared" si="3"/>
        <v>text</v>
      </c>
      <c r="H15" s="26"/>
      <c r="I15" s="10" t="s">
        <v>127</v>
      </c>
      <c r="J15" s="11" t="s">
        <v>2116</v>
      </c>
      <c r="M15" s="4"/>
      <c r="N15" s="78"/>
      <c r="O15" s="78"/>
      <c r="P15" s="78" t="str">
        <f t="shared" si="4"/>
        <v>,shikkan_code</v>
      </c>
      <c r="Q15" s="78" t="str">
        <f t="shared" si="0"/>
        <v>TEXT</v>
      </c>
      <c r="R15" s="78" t="str">
        <f t="shared" si="1"/>
        <v/>
      </c>
      <c r="S15" s="78" t="str">
        <f t="shared" si="5"/>
        <v>NOT NULL</v>
      </c>
      <c r="T15" s="78" t="str">
        <f t="shared" si="6"/>
        <v>-- 疾患コード</v>
      </c>
      <c r="U15" s="4"/>
      <c r="AA15" s="4"/>
      <c r="AB15" s="4"/>
      <c r="AC15" s="4"/>
      <c r="AD15" s="4"/>
      <c r="AE15" s="4"/>
      <c r="AF15" s="4"/>
      <c r="AG15" s="4"/>
      <c r="AH15" s="4"/>
      <c r="AI15" s="4"/>
      <c r="AJ15" s="78" t="str">
        <f>IF(E15="○",IF(COUNTA(E$13:E15)=1,"",",")&amp;D15,"")</f>
        <v>,shikkan_code</v>
      </c>
      <c r="AK15" s="4"/>
      <c r="AL15" s="4"/>
      <c r="AM15" s="4"/>
      <c r="AN15" s="4"/>
      <c r="AO15" s="4"/>
      <c r="AP15" s="4"/>
      <c r="AQ15" s="4"/>
      <c r="AR15" s="4"/>
      <c r="AS15" s="78"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2107</v>
      </c>
      <c r="D16" s="6" t="s">
        <v>2108</v>
      </c>
      <c r="E16" s="8"/>
      <c r="F16" s="7" t="s">
        <v>1757</v>
      </c>
      <c r="G16" s="7" t="str">
        <f t="shared" ref="G16:G21" si="7">IF(F16="フラグ","boolean",IF(F16="文字列","text",IF(F16="整数","integer",IF(F16="実数","numeric",""))))</f>
        <v>text</v>
      </c>
      <c r="H16" s="26"/>
      <c r="I16" s="10"/>
      <c r="J16" s="11"/>
      <c r="M16" s="4"/>
      <c r="N16" s="78"/>
      <c r="O16" s="78"/>
      <c r="P16" s="78" t="str">
        <f t="shared" ref="P16:P21" si="8">IF(B16&lt;&gt;1,","&amp;D16,D16)</f>
        <v>,shikkan_name</v>
      </c>
      <c r="Q16" s="78" t="str">
        <f t="shared" ref="Q16:Q21" si="9">UPPER(G16)</f>
        <v>TEXT</v>
      </c>
      <c r="R16" s="78" t="str">
        <f t="shared" ref="R16:R21" si="10">IF(H16&lt;&gt;"","default "&amp;IF(G16="text","'"&amp;H16&amp;"'",H16),"")</f>
        <v/>
      </c>
      <c r="S16" s="78" t="str">
        <f t="shared" ref="S16:S21" si="11">IF(I16="○","NOT NULL","")</f>
        <v/>
      </c>
      <c r="T16" s="78" t="str">
        <f t="shared" ref="T16:T21" si="12">"-- "&amp;C16</f>
        <v>-- 疾患名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milscm_2023_009.sny_202310_backup_mt_tekiyou_recept_combi_link.shikkan_name IS '疾患名';</v>
      </c>
    </row>
    <row r="17" spans="1:52" s="25" customFormat="1" ht="34.799999999999997">
      <c r="A17" s="4"/>
      <c r="B17" s="21">
        <f t="shared" si="2"/>
        <v>5</v>
      </c>
      <c r="C17" s="6" t="s">
        <v>1927</v>
      </c>
      <c r="D17" s="6" t="s">
        <v>1989</v>
      </c>
      <c r="E17" s="8"/>
      <c r="F17" s="7" t="s">
        <v>1757</v>
      </c>
      <c r="G17" s="7" t="str">
        <f t="shared" si="7"/>
        <v>text</v>
      </c>
      <c r="H17" s="26"/>
      <c r="I17" s="10"/>
      <c r="J17" s="11" t="s">
        <v>2117</v>
      </c>
      <c r="M17" s="4"/>
      <c r="N17" s="78"/>
      <c r="O17" s="78"/>
      <c r="P17" s="78" t="str">
        <f t="shared" si="8"/>
        <v>,haishi_ymd</v>
      </c>
      <c r="Q17" s="78" t="str">
        <f t="shared" si="9"/>
        <v>TEXT</v>
      </c>
      <c r="R17" s="78" t="str">
        <f t="shared" si="10"/>
        <v/>
      </c>
      <c r="S17" s="78" t="str">
        <f t="shared" si="11"/>
        <v/>
      </c>
      <c r="T17" s="78" t="str">
        <f t="shared" si="12"/>
        <v>-- 廃止年月日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milscm_2023_009.sny_202310_backup_mt_tekiyou_recept_combi_link.haishi_ymd IS '廃止年月日';</v>
      </c>
    </row>
    <row r="18" spans="1:52" s="25" customFormat="1" ht="34.799999999999997">
      <c r="A18" s="4"/>
      <c r="B18" s="21">
        <f t="shared" si="2"/>
        <v>6</v>
      </c>
      <c r="C18" s="6" t="s">
        <v>2109</v>
      </c>
      <c r="D18" s="6" t="s">
        <v>2110</v>
      </c>
      <c r="E18" s="8"/>
      <c r="F18" s="7" t="s">
        <v>1757</v>
      </c>
      <c r="G18" s="7" t="str">
        <f t="shared" si="7"/>
        <v>text</v>
      </c>
      <c r="H18" s="26"/>
      <c r="I18" s="10"/>
      <c r="J18" s="11" t="s">
        <v>2118</v>
      </c>
      <c r="M18" s="4"/>
      <c r="N18" s="78"/>
      <c r="O18" s="78"/>
      <c r="P18" s="78" t="str">
        <f t="shared" si="8"/>
        <v>,hoken_tekiyougai_f</v>
      </c>
      <c r="Q18" s="78" t="str">
        <f t="shared" si="9"/>
        <v>TEXT</v>
      </c>
      <c r="R18" s="78" t="str">
        <f t="shared" si="10"/>
        <v/>
      </c>
      <c r="S18" s="78" t="str">
        <f t="shared" si="11"/>
        <v/>
      </c>
      <c r="T18" s="78" t="str">
        <f t="shared" si="12"/>
        <v xml:space="preserve">-- 保険適用外フラグ </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2111</v>
      </c>
      <c r="D19" s="6" t="s">
        <v>873</v>
      </c>
      <c r="E19" s="8"/>
      <c r="F19" s="7" t="s">
        <v>1757</v>
      </c>
      <c r="G19" s="7" t="str">
        <f t="shared" si="7"/>
        <v>text</v>
      </c>
      <c r="H19" s="26"/>
      <c r="I19" s="10"/>
      <c r="J19" s="11"/>
      <c r="M19" s="4"/>
      <c r="N19" s="78"/>
      <c r="O19" s="78"/>
      <c r="P19" s="78" t="str">
        <f t="shared" si="8"/>
        <v>,icd10_code</v>
      </c>
      <c r="Q19" s="78" t="str">
        <f t="shared" si="9"/>
        <v>TEXT</v>
      </c>
      <c r="R19" s="78" t="str">
        <f t="shared" si="10"/>
        <v/>
      </c>
      <c r="S19" s="78" t="str">
        <f t="shared" si="11"/>
        <v/>
      </c>
      <c r="T19" s="78" t="str">
        <f t="shared" si="12"/>
        <v>-- ICD10</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2112</v>
      </c>
      <c r="D20" s="6" t="s">
        <v>2113</v>
      </c>
      <c r="E20" s="8"/>
      <c r="F20" s="7" t="s">
        <v>1757</v>
      </c>
      <c r="G20" s="7" t="str">
        <f t="shared" si="7"/>
        <v>text</v>
      </c>
      <c r="H20" s="26"/>
      <c r="I20" s="10"/>
      <c r="J20" s="11"/>
      <c r="M20" s="4"/>
      <c r="N20" s="78"/>
      <c r="O20" s="78"/>
      <c r="P20" s="78" t="str">
        <f t="shared" si="8"/>
        <v>,kumiawase_code</v>
      </c>
      <c r="Q20" s="78" t="str">
        <f t="shared" si="9"/>
        <v>TEXT</v>
      </c>
      <c r="R20" s="78" t="str">
        <f t="shared" si="10"/>
        <v/>
      </c>
      <c r="S20" s="78" t="str">
        <f t="shared" si="11"/>
        <v/>
      </c>
      <c r="T20" s="78" t="str">
        <f t="shared" si="12"/>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2114</v>
      </c>
      <c r="D21" s="6" t="s">
        <v>2115</v>
      </c>
      <c r="E21" s="8"/>
      <c r="F21" s="7" t="s">
        <v>1757</v>
      </c>
      <c r="G21" s="7" t="str">
        <f t="shared" si="7"/>
        <v>text</v>
      </c>
      <c r="H21" s="26"/>
      <c r="I21" s="10"/>
      <c r="J21" s="11"/>
      <c r="M21" s="4"/>
      <c r="N21" s="78"/>
      <c r="O21" s="78"/>
      <c r="P21" s="78" t="str">
        <f t="shared" si="8"/>
        <v>,kankeisei_code</v>
      </c>
      <c r="Q21" s="78" t="str">
        <f t="shared" si="9"/>
        <v>TEXT</v>
      </c>
      <c r="R21" s="78" t="str">
        <f t="shared" si="10"/>
        <v/>
      </c>
      <c r="S21" s="78" t="str">
        <f t="shared" si="11"/>
        <v/>
      </c>
      <c r="T21" s="78" t="str">
        <f t="shared" si="12"/>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milscm_2023_009.sny_202310_backup_mt_tekiyou_recept_combi_link.kankeisei_code IS '関係性レベルコード';</v>
      </c>
    </row>
    <row r="22" spans="1:52" s="25" customFormat="1" ht="52.2">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milscm_2023_009.sny_202310_backup_mt_tekiyou_recept_combi_link.koshin_kubun IS '更新区分';</v>
      </c>
    </row>
    <row r="23" spans="1:52" s="25" customFormat="1" ht="18" thickBot="1">
      <c r="A23" s="4"/>
      <c r="B23" s="27">
        <f>ROW()-12</f>
        <v>11</v>
      </c>
      <c r="C23" s="57" t="s">
        <v>2068</v>
      </c>
      <c r="D23" s="57" t="s">
        <v>1901</v>
      </c>
      <c r="E23" s="56" t="s">
        <v>127</v>
      </c>
      <c r="F23" s="56" t="s">
        <v>1757</v>
      </c>
      <c r="G23" s="56" t="str">
        <f t="shared" si="3"/>
        <v>text</v>
      </c>
      <c r="H23" s="59"/>
      <c r="I23" s="60" t="s">
        <v>127</v>
      </c>
      <c r="J23" s="64" t="s">
        <v>2092</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milscm_2023_009.sny_202310_backup_mt_tekiyou_recept_combi_link.update_ymd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ENT_01_A3-12</v>
      </c>
      <c r="E6" s="251"/>
      <c r="F6" s="251"/>
      <c r="G6" s="251"/>
      <c r="H6" s="251"/>
      <c r="I6" s="251"/>
      <c r="J6" s="252"/>
    </row>
    <row r="7" spans="1:45">
      <c r="B7" s="240" t="s">
        <v>115</v>
      </c>
      <c r="C7" s="241"/>
      <c r="D7" s="242" t="s">
        <v>2119</v>
      </c>
      <c r="E7" s="243"/>
      <c r="F7" s="243"/>
      <c r="G7" s="243"/>
      <c r="H7" s="243"/>
      <c r="I7" s="243"/>
      <c r="J7" s="244"/>
    </row>
    <row r="8" spans="1:45">
      <c r="B8" s="240" t="s">
        <v>116</v>
      </c>
      <c r="C8" s="241"/>
      <c r="D8" s="242" t="str">
        <f>エンティティ一覧!AE2&amp;"_"&amp;D5&amp;"_mt_tekiyou_recept_combi_link_oyako"</f>
        <v>sny_202310_backup_mt_tekiyou_recept_combi_link_oyako</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milscm_2023_009.sny_202310_backup_mt_tekiyou_recept_combi_link_oyako;</v>
      </c>
      <c r="O10" s="78"/>
      <c r="P10" s="78"/>
      <c r="Q10" s="78"/>
      <c r="R10" s="78"/>
      <c r="S10" s="78"/>
      <c r="T10" s="78"/>
      <c r="AJ10" s="78" t="str">
        <f>"ALTER TABLE ONLY "&amp;エンティティ一覧!$O$2&amp;"."&amp;D$8</f>
        <v>ALTER TABLE ONLY milscm_2023_009.sny_202310_backup_mt_tekiyou_recept_combi_link_oyako</v>
      </c>
      <c r="AS10" s="78" t="str">
        <f>"ALTER TABLE "&amp;エンティティ一覧!$O$2&amp;"."&amp;D$8&amp;" OWNER TO pgmisgrp1;"</f>
        <v>ALTER TABLE milscm_2023_009.sny_202310_backup_mt_tekiyou_recept_combi_link_oyako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milscm_2023_009.sny_202310_backup_mt_tekiyou_recept_combi_link_oyako</v>
      </c>
      <c r="O11" s="78"/>
      <c r="P11" s="78"/>
      <c r="Q11" s="78"/>
      <c r="R11" s="78"/>
      <c r="S11" s="78"/>
      <c r="T11" s="78"/>
      <c r="AJ11" s="78" t="str">
        <f>"ADD CONSTRAINT "&amp;D$8&amp;"_pkey PRIMARY KEY"</f>
        <v>ADD CONSTRAINT sny_202310_backup_mt_tekiyou_recept_combi_link_oyako_pkey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0">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16" si="0">UPPER(G13)</f>
        <v>TEXT</v>
      </c>
      <c r="R13" s="78" t="str">
        <f t="shared" ref="R13:R16"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2048</v>
      </c>
      <c r="D14" s="6" t="s">
        <v>2049</v>
      </c>
      <c r="E14" s="8" t="s">
        <v>127</v>
      </c>
      <c r="F14" s="7" t="s">
        <v>1757</v>
      </c>
      <c r="G14" s="7" t="str">
        <f t="shared" ref="G14:G16" si="3">IF(F14="フラグ","boolean",IF(F14="文字列","text",IF(F14="整数","integer",IF(F14="実数","numeric",""))))</f>
        <v>text</v>
      </c>
      <c r="H14" s="26"/>
      <c r="I14" s="10" t="s">
        <v>127</v>
      </c>
      <c r="J14" s="11"/>
      <c r="M14" s="4"/>
      <c r="N14" s="78"/>
      <c r="O14" s="78"/>
      <c r="P14" s="78" t="str">
        <f t="shared" ref="P14:P16" si="4">IF(B14&lt;&gt;1,","&amp;D14,D14)</f>
        <v>,yj_code</v>
      </c>
      <c r="Q14" s="78" t="str">
        <f t="shared" si="0"/>
        <v>TEXT</v>
      </c>
      <c r="R14" s="78" t="str">
        <f t="shared" si="1"/>
        <v/>
      </c>
      <c r="S14" s="78" t="str">
        <f t="shared" ref="S14:S16" si="5">IF(I14="○","NOT NULL","")</f>
        <v>NOT NULL</v>
      </c>
      <c r="T14" s="78" t="str">
        <f t="shared" ref="T14:T16" si="6">"-- "&amp;C14</f>
        <v>-- ＹＪコード</v>
      </c>
      <c r="U14" s="4"/>
      <c r="AA14" s="4"/>
      <c r="AB14" s="4"/>
      <c r="AC14" s="4"/>
      <c r="AD14" s="4"/>
      <c r="AE14" s="4"/>
      <c r="AF14" s="4"/>
      <c r="AG14" s="4"/>
      <c r="AH14" s="4"/>
      <c r="AI14" s="4"/>
      <c r="AJ14" s="78" t="str">
        <f>IF(E14="○",IF(COUNTA(E$13:E14)=1,"",",")&amp;D14,"")</f>
        <v>,yj_code</v>
      </c>
      <c r="AK14" s="4"/>
      <c r="AL14" s="4"/>
      <c r="AM14" s="4"/>
      <c r="AN14" s="4"/>
      <c r="AO14" s="4"/>
      <c r="AP14" s="4"/>
      <c r="AQ14" s="4"/>
      <c r="AR14" s="4"/>
      <c r="AS14" s="78" t="str">
        <f>"COMMENT ON COLUMN "&amp;エンティティ一覧!$O$2&amp;"."&amp;D$8&amp;"."&amp;D14&amp;" IS '"&amp;C14&amp;"';"</f>
        <v>COMMENT ON COLUMN milscm_2023_009.sny_202310_backup_mt_tekiyou_recept_combi_link_oyako.yj_code IS 'ＹＪコード';</v>
      </c>
    </row>
    <row r="15" spans="1:45" s="25" customFormat="1" ht="52.2">
      <c r="A15" s="4"/>
      <c r="B15" s="21">
        <f t="shared" si="2"/>
        <v>3</v>
      </c>
      <c r="C15" s="6" t="s">
        <v>2066</v>
      </c>
      <c r="D15" s="6" t="s">
        <v>2067</v>
      </c>
      <c r="E15" s="8" t="s">
        <v>127</v>
      </c>
      <c r="F15" s="7" t="s">
        <v>1757</v>
      </c>
      <c r="G15" s="7" t="str">
        <f t="shared" si="3"/>
        <v>text</v>
      </c>
      <c r="H15" s="26"/>
      <c r="I15" s="10" t="s">
        <v>127</v>
      </c>
      <c r="J15" s="11" t="s">
        <v>2070</v>
      </c>
      <c r="M15" s="4"/>
      <c r="N15" s="78"/>
      <c r="O15" s="78"/>
      <c r="P15" s="78" t="str">
        <f t="shared" si="4"/>
        <v>,koshin_kubun</v>
      </c>
      <c r="Q15" s="78" t="str">
        <f t="shared" si="0"/>
        <v>TEXT</v>
      </c>
      <c r="R15" s="78" t="str">
        <f t="shared" si="1"/>
        <v/>
      </c>
      <c r="S15" s="78" t="str">
        <f t="shared" si="5"/>
        <v>NOT NULL</v>
      </c>
      <c r="T15" s="78" t="str">
        <f t="shared" si="6"/>
        <v>-- 更新区分</v>
      </c>
      <c r="U15" s="4"/>
      <c r="AA15" s="4"/>
      <c r="AB15" s="4"/>
      <c r="AC15" s="4"/>
      <c r="AD15" s="4"/>
      <c r="AE15" s="4"/>
      <c r="AF15" s="4"/>
      <c r="AG15" s="4"/>
      <c r="AH15" s="4"/>
      <c r="AI15" s="4"/>
      <c r="AJ15" s="78" t="str">
        <f>IF(E15="○",IF(COUNTA(E$13:E15)=1,"",",")&amp;D15,"")</f>
        <v>,koshin_kubun</v>
      </c>
      <c r="AK15" s="4"/>
      <c r="AL15" s="4"/>
      <c r="AM15" s="4"/>
      <c r="AN15" s="4"/>
      <c r="AO15" s="4"/>
      <c r="AP15" s="4"/>
      <c r="AQ15" s="4"/>
      <c r="AR15" s="4"/>
      <c r="AS15" s="78" t="str">
        <f>"COMMENT ON COLUMN "&amp;エンティティ一覧!$O$2&amp;"."&amp;D$8&amp;"."&amp;D15&amp;" IS '"&amp;C15&amp;"';"</f>
        <v>COMMENT ON COLUMN milscm_2023_009.sny_202310_backup_mt_tekiyou_recept_combi_link_oyako.koshin_kubun IS '更新区分';</v>
      </c>
    </row>
    <row r="16" spans="1:45" s="25" customFormat="1" ht="18" thickBot="1">
      <c r="A16" s="4"/>
      <c r="B16" s="27">
        <f>ROW()-12</f>
        <v>4</v>
      </c>
      <c r="C16" s="57" t="s">
        <v>2068</v>
      </c>
      <c r="D16" s="57" t="s">
        <v>1901</v>
      </c>
      <c r="E16" s="56" t="s">
        <v>127</v>
      </c>
      <c r="F16" s="56" t="s">
        <v>1757</v>
      </c>
      <c r="G16" s="56" t="str">
        <f t="shared" si="3"/>
        <v>text</v>
      </c>
      <c r="H16" s="59"/>
      <c r="I16" s="60" t="s">
        <v>127</v>
      </c>
      <c r="J16" s="64" t="s">
        <v>2092</v>
      </c>
      <c r="N16" s="78"/>
      <c r="O16" s="78"/>
      <c r="P16" s="78" t="str">
        <f t="shared" si="4"/>
        <v>,update_ymd</v>
      </c>
      <c r="Q16" s="78" t="str">
        <f t="shared" si="0"/>
        <v>TEXT</v>
      </c>
      <c r="R16" s="78" t="str">
        <f t="shared" si="1"/>
        <v/>
      </c>
      <c r="S16" s="78" t="str">
        <f t="shared" si="5"/>
        <v>NOT NULL</v>
      </c>
      <c r="T16" s="78" t="str">
        <f t="shared" si="6"/>
        <v>-- データ登録日</v>
      </c>
      <c r="U16" s="4"/>
      <c r="AA16" s="4"/>
      <c r="AB16" s="4"/>
      <c r="AC16" s="4"/>
      <c r="AD16" s="4"/>
      <c r="AE16" s="4"/>
      <c r="AF16" s="4"/>
      <c r="AG16" s="4"/>
      <c r="AH16" s="4"/>
      <c r="AI16" s="4"/>
      <c r="AJ16" s="78" t="str">
        <f>IF(E16="○",IF(COUNTA(E$13:E16)=1,"",",")&amp;D16,"")</f>
        <v>,update_ymd</v>
      </c>
      <c r="AK16" s="4"/>
      <c r="AL16" s="4"/>
      <c r="AM16" s="4"/>
      <c r="AN16" s="4"/>
      <c r="AO16" s="4"/>
      <c r="AP16" s="4"/>
      <c r="AQ16" s="4"/>
      <c r="AR16" s="4"/>
      <c r="AS16" s="78" t="str">
        <f>"COMMENT ON COLUMN "&amp;エンティティ一覧!$O$2&amp;"."&amp;D$8&amp;"."&amp;D16&amp;" IS '"&amp;C16&amp;"';"</f>
        <v>COMMENT ON COLUMN milscm_2023_009.sny_202310_backup_mt_tekiyou_recept_combi_link_oyako.update_ymd IS 'データ登録日';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ENT_01_A3-13</v>
      </c>
      <c r="E6" s="251"/>
      <c r="F6" s="251"/>
      <c r="G6" s="251"/>
      <c r="H6" s="251"/>
      <c r="I6" s="251"/>
      <c r="J6" s="252"/>
    </row>
    <row r="7" spans="1:45">
      <c r="B7" s="240" t="s">
        <v>115</v>
      </c>
      <c r="C7" s="241"/>
      <c r="D7" s="242" t="s">
        <v>2120</v>
      </c>
      <c r="E7" s="243"/>
      <c r="F7" s="243"/>
      <c r="G7" s="243"/>
      <c r="H7" s="243"/>
      <c r="I7" s="243"/>
      <c r="J7" s="244"/>
    </row>
    <row r="8" spans="1:45">
      <c r="B8" s="240" t="s">
        <v>116</v>
      </c>
      <c r="C8" s="241"/>
      <c r="D8" s="242" t="str">
        <f>エンティティ一覧!AE2&amp;"_"&amp;D5&amp;"_mt_tekiyou_byoumei"</f>
        <v>sny_202310_backup_mt_tekiyou_byoumei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milscm_2023_009.sny_202310_backup_mt_tekiyou_byoumei;</v>
      </c>
      <c r="O10" s="78"/>
      <c r="P10" s="78"/>
      <c r="Q10" s="78"/>
      <c r="R10" s="78"/>
      <c r="S10" s="78"/>
      <c r="T10" s="78"/>
      <c r="AJ10" s="78" t="str">
        <f>"ALTER TABLE ONLY "&amp;エンティティ一覧!$O$2&amp;"."&amp;D$8</f>
        <v>ALTER TABLE ONLY milscm_2023_009.sny_202310_backup_mt_tekiyou_byoumei</v>
      </c>
      <c r="AS10" s="78" t="str">
        <f>"ALTER TABLE "&amp;エンティティ一覧!$O$2&amp;"."&amp;D$8&amp;" OWNER TO pgmisgrp1;"</f>
        <v>ALTER TABLE milscm_2023_009.sny_202310_backup_mt_tekiyou_byoumei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milscm_2023_009.sny_202310_backup_mt_tekiyou_byoumei</v>
      </c>
      <c r="O11" s="78"/>
      <c r="P11" s="78"/>
      <c r="Q11" s="78"/>
      <c r="R11" s="78"/>
      <c r="S11" s="78"/>
      <c r="T11" s="78"/>
      <c r="AJ11" s="78" t="str">
        <f>"ADD CONSTRAINT "&amp;D$8&amp;"_pkey PRIMARY KEY"</f>
        <v>ADD CONSTRAINT sny_202310_backup_mt_tekiyou_byoumei_pkey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2121</v>
      </c>
      <c r="D13" s="6" t="s">
        <v>2122</v>
      </c>
      <c r="E13" s="8"/>
      <c r="F13" s="8" t="s">
        <v>1757</v>
      </c>
      <c r="G13" s="7" t="str">
        <f>IF(F13="フラグ","boolean",IF(F13="文字列","text",IF(F13="整数","integer",IF(F13="実数","numeric",""))))</f>
        <v>text</v>
      </c>
      <c r="H13" s="9"/>
      <c r="I13" s="10"/>
      <c r="J13" s="11"/>
      <c r="M13" s="4"/>
      <c r="N13" s="78"/>
      <c r="O13" s="78"/>
      <c r="P13" s="78" t="str">
        <f>IF(B13&lt;&gt;1,","&amp;D13,D13)</f>
        <v>yougo_code1</v>
      </c>
      <c r="Q13" s="78" t="str">
        <f t="shared" ref="Q13:Q19" si="0">UPPER(G13)</f>
        <v>TEXT</v>
      </c>
      <c r="R13" s="78" t="str">
        <f t="shared" ref="R13:R19" si="1">IF(H13&lt;&gt;"","default "&amp;IF(G13="text","'"&amp;H13&amp;"'",H13),"")</f>
        <v/>
      </c>
      <c r="S13" s="78" t="str">
        <f>IF(I13="○","NOT NULL","")</f>
        <v/>
      </c>
      <c r="T13" s="78" t="str">
        <f>"-- "&amp;C13</f>
        <v>-- 用語コード１</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2123</v>
      </c>
      <c r="D14" s="6" t="s">
        <v>2124</v>
      </c>
      <c r="E14" s="8"/>
      <c r="F14" s="7" t="s">
        <v>1757</v>
      </c>
      <c r="G14" s="7" t="str">
        <f t="shared" ref="G14:G19" si="3">IF(F14="フラグ","boolean",IF(F14="文字列","text",IF(F14="整数","integer",IF(F14="実数","numeric",""))))</f>
        <v>text</v>
      </c>
      <c r="H14" s="26"/>
      <c r="I14" s="10"/>
      <c r="J14" s="11"/>
      <c r="M14" s="4"/>
      <c r="N14" s="78"/>
      <c r="O14" s="78"/>
      <c r="P14" s="78" t="str">
        <f t="shared" ref="P14:P19" si="4">IF(B14&lt;&gt;1,","&amp;D14,D14)</f>
        <v>,yougo_code2</v>
      </c>
      <c r="Q14" s="78" t="str">
        <f t="shared" si="0"/>
        <v>TEXT</v>
      </c>
      <c r="R14" s="78" t="str">
        <f t="shared" si="1"/>
        <v/>
      </c>
      <c r="S14" s="78" t="str">
        <f t="shared" ref="S14:S19" si="5">IF(I14="○","NOT NULL","")</f>
        <v/>
      </c>
      <c r="T14" s="78" t="str">
        <f t="shared" ref="T14:T19" si="6">"-- "&amp;C14</f>
        <v>-- 用語コード２</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2125</v>
      </c>
      <c r="D15" s="6" t="s">
        <v>2126</v>
      </c>
      <c r="E15" s="8"/>
      <c r="F15" s="7" t="s">
        <v>1757</v>
      </c>
      <c r="G15" s="7" t="str">
        <f t="shared" ref="G15:G17" si="7">IF(F15="フラグ","boolean",IF(F15="文字列","text",IF(F15="整数","integer",IF(F15="実数","numeric",""))))</f>
        <v>text</v>
      </c>
      <c r="H15" s="26"/>
      <c r="I15" s="10"/>
      <c r="J15" s="11"/>
      <c r="M15" s="4"/>
      <c r="N15" s="78"/>
      <c r="O15" s="78"/>
      <c r="P15" s="78" t="str">
        <f t="shared" ref="P15:P17" si="8">IF(B15&lt;&gt;1,","&amp;D15,D15)</f>
        <v>,yougo_code3</v>
      </c>
      <c r="Q15" s="78" t="str">
        <f t="shared" ref="Q15:Q17" si="9">UPPER(G15)</f>
        <v>TEXT</v>
      </c>
      <c r="R15" s="78" t="str">
        <f t="shared" ref="R15:R17" si="10">IF(H15&lt;&gt;"","default "&amp;IF(G15="text","'"&amp;H15&amp;"'",H15),"")</f>
        <v/>
      </c>
      <c r="S15" s="78" t="str">
        <f t="shared" ref="S15:S17" si="11">IF(I15="○","NOT NULL","")</f>
        <v/>
      </c>
      <c r="T15" s="78" t="str">
        <f t="shared" ref="T15:T17" si="12">"-- "&amp;C15</f>
        <v>-- 用語コード３</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2103</v>
      </c>
      <c r="D16" s="6" t="s">
        <v>2104</v>
      </c>
      <c r="E16" s="8" t="s">
        <v>127</v>
      </c>
      <c r="F16" s="7" t="s">
        <v>1757</v>
      </c>
      <c r="G16" s="7" t="str">
        <f t="shared" si="7"/>
        <v>text</v>
      </c>
      <c r="H16" s="26"/>
      <c r="I16" s="10" t="s">
        <v>127</v>
      </c>
      <c r="J16" s="11"/>
      <c r="M16" s="4"/>
      <c r="N16" s="78"/>
      <c r="O16" s="78"/>
      <c r="P16" s="78" t="str">
        <f t="shared" si="8"/>
        <v>,tekiyou_byoumei_code</v>
      </c>
      <c r="Q16" s="78" t="str">
        <f t="shared" si="9"/>
        <v>TEXT</v>
      </c>
      <c r="R16" s="78" t="str">
        <f t="shared" si="10"/>
        <v/>
      </c>
      <c r="S16" s="78" t="str">
        <f t="shared" si="11"/>
        <v>NOT NULL</v>
      </c>
      <c r="T16" s="78" t="str">
        <f t="shared" si="12"/>
        <v>-- 適用病名コード</v>
      </c>
      <c r="U16" s="4"/>
      <c r="AA16" s="4"/>
      <c r="AB16" s="4"/>
      <c r="AC16" s="4"/>
      <c r="AD16" s="4"/>
      <c r="AE16" s="4"/>
      <c r="AF16" s="4"/>
      <c r="AG16" s="4"/>
      <c r="AH16" s="4"/>
      <c r="AI16" s="4"/>
      <c r="AJ16" s="78" t="str">
        <f>IF(E16="○",IF(COUNTA(E$13:E16)=1,"",",")&amp;D16,"")</f>
        <v>tekiyou_byoumei_code</v>
      </c>
      <c r="AK16" s="4"/>
      <c r="AL16" s="4"/>
      <c r="AM16" s="4"/>
      <c r="AN16" s="4"/>
      <c r="AO16" s="4"/>
      <c r="AP16" s="4"/>
      <c r="AQ16" s="4"/>
      <c r="AR16" s="4"/>
      <c r="AS16" s="78"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2127</v>
      </c>
      <c r="D17" s="6" t="s">
        <v>2128</v>
      </c>
      <c r="E17" s="8"/>
      <c r="F17" s="7" t="s">
        <v>1757</v>
      </c>
      <c r="G17" s="7" t="str">
        <f t="shared" si="7"/>
        <v>text</v>
      </c>
      <c r="H17" s="26"/>
      <c r="I17" s="10" t="s">
        <v>127</v>
      </c>
      <c r="J17" s="11"/>
      <c r="M17" s="4"/>
      <c r="N17" s="78"/>
      <c r="O17" s="78"/>
      <c r="P17" s="78" t="str">
        <f t="shared" si="8"/>
        <v>,tekiyou_byoumei_name</v>
      </c>
      <c r="Q17" s="78" t="str">
        <f t="shared" si="9"/>
        <v>TEXT</v>
      </c>
      <c r="R17" s="78" t="str">
        <f t="shared" si="10"/>
        <v/>
      </c>
      <c r="S17" s="78" t="str">
        <f t="shared" si="11"/>
        <v>NOT NULL</v>
      </c>
      <c r="T17" s="78" t="str">
        <f t="shared" si="12"/>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milscm_2023_009.sny_202310_backup_mt_tekiyou_byoumei.tekiyou_byoumei_name IS '適用病名';</v>
      </c>
    </row>
    <row r="18" spans="1:52" s="25" customFormat="1" ht="52.2">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milscm_2023_009.sny_202310_backup_mt_tekiyou_byoumei.koshin_kubun IS '更新区分';</v>
      </c>
    </row>
    <row r="19" spans="1:52" s="25" customFormat="1" ht="18" thickBot="1">
      <c r="A19" s="4"/>
      <c r="B19" s="27">
        <f>ROW()-12</f>
        <v>7</v>
      </c>
      <c r="C19" s="57" t="s">
        <v>1996</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milscm_2023_009.sny_202310_backup_mt_tekiyou_byoumei.update_ymd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ENT_01_A3-14</v>
      </c>
      <c r="E6" s="251"/>
      <c r="F6" s="251"/>
      <c r="G6" s="251"/>
      <c r="H6" s="251"/>
      <c r="I6" s="251"/>
      <c r="J6" s="252"/>
    </row>
    <row r="7" spans="1:45">
      <c r="B7" s="240" t="s">
        <v>115</v>
      </c>
      <c r="C7" s="241"/>
      <c r="D7" s="242" t="s">
        <v>2129</v>
      </c>
      <c r="E7" s="243"/>
      <c r="F7" s="243"/>
      <c r="G7" s="243"/>
      <c r="H7" s="243"/>
      <c r="I7" s="243"/>
      <c r="J7" s="244"/>
    </row>
    <row r="8" spans="1:45">
      <c r="B8" s="240" t="s">
        <v>116</v>
      </c>
      <c r="C8" s="241"/>
      <c r="D8" s="242" t="str">
        <f>エンティティ一覧!AE2&amp;"_"&amp;D5&amp;"_mt_yjcode_receptdensancode_link"</f>
        <v>sny_202310_backup_mt_yjcode_receptdensancode_link</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milscm_2023_009.sny_202310_backup_mt_yjcode_receptdensancode_link;</v>
      </c>
      <c r="O10" s="78"/>
      <c r="P10" s="78"/>
      <c r="Q10" s="78"/>
      <c r="R10" s="78"/>
      <c r="S10" s="78"/>
      <c r="T10" s="78"/>
      <c r="AJ10" s="78" t="str">
        <f>"ALTER TABLE ONLY "&amp;エンティティ一覧!$O$2&amp;"."&amp;D$8</f>
        <v>ALTER TABLE ONLY milscm_2023_009.sny_202310_backup_mt_yjcode_receptdensancode_link</v>
      </c>
      <c r="AS10" s="78" t="str">
        <f>"ALTER TABLE "&amp;エンティティ一覧!$O$2&amp;"."&amp;D$8&amp;" OWNER TO pgmisgrp1;"</f>
        <v>ALTER TABLE milscm_2023_009.sny_202310_backup_mt_yjcode_receptdensancode_link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milscm_2023_009.sny_202310_backup_mt_yjcode_receptdensancode_link</v>
      </c>
      <c r="O11" s="78"/>
      <c r="P11" s="78"/>
      <c r="Q11" s="78"/>
      <c r="R11" s="78"/>
      <c r="S11" s="78"/>
      <c r="T11" s="78"/>
      <c r="AJ11" s="78" t="str">
        <f>"ADD CONSTRAINT "&amp;D$8&amp;"_pkey PRIMARY KEY"</f>
        <v>ADD CONSTRAINT sny_202310_backup_mt_yjcode_receptdensancode_link_pkey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c r="J13" s="11" t="s">
        <v>2137</v>
      </c>
      <c r="M13" s="4"/>
      <c r="N13" s="78"/>
      <c r="O13" s="78"/>
      <c r="P13" s="78" t="str">
        <f>IF(B13&lt;&gt;1,","&amp;D13,D13)</f>
        <v>yj_code</v>
      </c>
      <c r="Q13" s="78" t="str">
        <f t="shared" ref="Q13:Q19" si="0">UPPER(G13)</f>
        <v>TEXT</v>
      </c>
      <c r="R13" s="78" t="str">
        <f t="shared" ref="R13:R19" si="1">IF(H13&lt;&gt;"","default "&amp;IF(G13="text","'"&amp;H13&amp;"'",H13),"")</f>
        <v/>
      </c>
      <c r="S13" s="78" t="str">
        <f>IF(I13="○","NOT NULL","")</f>
        <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2130</v>
      </c>
      <c r="D14" s="6" t="s">
        <v>1178</v>
      </c>
      <c r="E14" s="8"/>
      <c r="F14" s="7" t="s">
        <v>1757</v>
      </c>
      <c r="G14" s="7" t="str">
        <f t="shared" ref="G14:G19" si="3">IF(F14="フラグ","boolean",IF(F14="文字列","text",IF(F14="整数","integer",IF(F14="実数","numeric",""))))</f>
        <v>text</v>
      </c>
      <c r="H14" s="26"/>
      <c r="I14" s="10"/>
      <c r="J14" s="11" t="s">
        <v>2138</v>
      </c>
      <c r="M14" s="4"/>
      <c r="N14" s="78"/>
      <c r="O14" s="78"/>
      <c r="P14" s="78" t="str">
        <f t="shared" ref="P14:P19" si="4">IF(B14&lt;&gt;1,","&amp;D14,D14)</f>
        <v>,iyakuhin_code</v>
      </c>
      <c r="Q14" s="78" t="str">
        <f t="shared" si="0"/>
        <v>TEXT</v>
      </c>
      <c r="R14" s="78" t="str">
        <f t="shared" si="1"/>
        <v/>
      </c>
      <c r="S14" s="78" t="str">
        <f t="shared" ref="S14:S19" si="5">IF(I14="○","NOT NULL","")</f>
        <v/>
      </c>
      <c r="T14" s="78" t="str">
        <f t="shared" ref="T14:T19"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2131</v>
      </c>
      <c r="D15" s="6" t="s">
        <v>2132</v>
      </c>
      <c r="E15" s="8"/>
      <c r="F15" s="7" t="s">
        <v>1757</v>
      </c>
      <c r="G15" s="7" t="str">
        <f t="shared" si="3"/>
        <v>text</v>
      </c>
      <c r="H15" s="26"/>
      <c r="I15" s="10"/>
      <c r="J15" s="11"/>
      <c r="M15" s="4"/>
      <c r="N15" s="78"/>
      <c r="O15" s="78"/>
      <c r="P15" s="78" t="str">
        <f t="shared" si="4"/>
        <v>,iyakuhin_ippan_name</v>
      </c>
      <c r="Q15" s="78" t="str">
        <f t="shared" si="0"/>
        <v>TEXT</v>
      </c>
      <c r="R15" s="78" t="str">
        <f t="shared" si="1"/>
        <v/>
      </c>
      <c r="S15" s="78" t="str">
        <f t="shared" si="5"/>
        <v/>
      </c>
      <c r="T15" s="78" t="str">
        <f t="shared" si="6"/>
        <v>-- 医薬品一般名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2133</v>
      </c>
      <c r="D16" s="6" t="s">
        <v>2134</v>
      </c>
      <c r="E16" s="8"/>
      <c r="F16" s="7" t="s">
        <v>1757</v>
      </c>
      <c r="G16" s="7" t="str">
        <f t="shared" si="3"/>
        <v>text</v>
      </c>
      <c r="H16" s="26"/>
      <c r="I16" s="10"/>
      <c r="J16" s="11"/>
      <c r="M16" s="4"/>
      <c r="N16" s="78"/>
      <c r="O16" s="78"/>
      <c r="P16" s="78" t="str">
        <f t="shared" si="4"/>
        <v>,iyakuhin_name</v>
      </c>
      <c r="Q16" s="78" t="str">
        <f t="shared" si="0"/>
        <v>TEXT</v>
      </c>
      <c r="R16" s="78" t="str">
        <f t="shared" si="1"/>
        <v/>
      </c>
      <c r="S16" s="78" t="str">
        <f t="shared" si="5"/>
        <v/>
      </c>
      <c r="T16" s="78" t="str">
        <f t="shared" si="6"/>
        <v>-- 医薬品名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2135</v>
      </c>
      <c r="D17" s="6" t="s">
        <v>2136</v>
      </c>
      <c r="E17" s="8"/>
      <c r="F17" s="7" t="s">
        <v>1757</v>
      </c>
      <c r="G17" s="7" t="str">
        <f t="shared" si="3"/>
        <v>text</v>
      </c>
      <c r="H17" s="26"/>
      <c r="I17" s="10"/>
      <c r="J17" s="11"/>
      <c r="M17" s="4"/>
      <c r="N17" s="78"/>
      <c r="O17" s="78"/>
      <c r="P17" s="78" t="str">
        <f t="shared" si="4"/>
        <v>,kikaku_naiyou</v>
      </c>
      <c r="Q17" s="78" t="str">
        <f t="shared" si="0"/>
        <v>TEXT</v>
      </c>
      <c r="R17" s="78" t="str">
        <f t="shared" si="1"/>
        <v/>
      </c>
      <c r="S17" s="78" t="str">
        <f t="shared" si="5"/>
        <v/>
      </c>
      <c r="T17" s="78" t="str">
        <f t="shared" si="6"/>
        <v>-- 規格内容</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milscm_2023_009.sny_202310_backup_mt_yjcode_receptdensancode_link.kikaku_naiyou IS '規格内容';</v>
      </c>
    </row>
    <row r="18" spans="1:52" s="25" customFormat="1" ht="52.2">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milscm_2023_009.sny_202310_backup_mt_yjcode_receptdensancode_link.koshin_kubun IS '更新区分';</v>
      </c>
    </row>
    <row r="19" spans="1:52" s="25" customFormat="1" ht="18" thickBot="1">
      <c r="A19" s="4"/>
      <c r="B19" s="27">
        <f>ROW()-12</f>
        <v>7</v>
      </c>
      <c r="C19" s="57" t="s">
        <v>2068</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milscm_2023_009.sny_202310_backup_mt_yjcode_receptdensancode_link.update_ymd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ENT_01_A3-15</v>
      </c>
      <c r="E6" s="251"/>
      <c r="F6" s="251"/>
      <c r="G6" s="251"/>
      <c r="H6" s="251"/>
      <c r="I6" s="251"/>
      <c r="J6" s="252"/>
    </row>
    <row r="7" spans="1:45">
      <c r="B7" s="240" t="s">
        <v>115</v>
      </c>
      <c r="C7" s="241"/>
      <c r="D7" s="242" t="s">
        <v>2139</v>
      </c>
      <c r="E7" s="243"/>
      <c r="F7" s="243"/>
      <c r="G7" s="243"/>
      <c r="H7" s="243"/>
      <c r="I7" s="243"/>
      <c r="J7" s="244"/>
    </row>
    <row r="8" spans="1:45">
      <c r="B8" s="240" t="s">
        <v>116</v>
      </c>
      <c r="C8" s="241"/>
      <c r="D8" s="242" t="str">
        <f>エンティティ一覧!AE2&amp;"_"&amp;D5&amp;"_mt_shinryo_koi_fuka"</f>
        <v>sny_202310_backup_mt_shinryo_koi_fuka</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milscm_2023_009.sny_202310_backup_mt_shinryo_koi_fuka;</v>
      </c>
      <c r="O10" s="78"/>
      <c r="P10" s="78"/>
      <c r="Q10" s="78"/>
      <c r="R10" s="78"/>
      <c r="S10" s="78"/>
      <c r="T10" s="78"/>
      <c r="AJ10" s="78" t="str">
        <f>"ALTER TABLE ONLY "&amp;エンティティ一覧!$O$2&amp;"."&amp;D$8</f>
        <v>ALTER TABLE ONLY milscm_2023_009.sny_202310_backup_mt_shinryo_koi_fuka</v>
      </c>
      <c r="AS10" s="78" t="str">
        <f>"ALTER TABLE "&amp;エンティティ一覧!$O$2&amp;"."&amp;D$8&amp;" OWNER TO pgmisgrp1;"</f>
        <v>ALTER TABLE milscm_2023_009.sny_202310_backup_mt_shinryo_koi_fuka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milscm_2023_009.sny_202310_backup_mt_shinryo_koi_fuka</v>
      </c>
      <c r="O11" s="78"/>
      <c r="P11" s="78"/>
      <c r="Q11" s="78"/>
      <c r="R11" s="78"/>
      <c r="S11" s="78"/>
      <c r="T11" s="78"/>
      <c r="AJ11" s="78" t="str">
        <f>"ADD CONSTRAINT "&amp;D$8&amp;"_pkey PRIMARY KEY"</f>
        <v>ADD CONSTRAINT sny_202310_backup_mt_shinryo_koi_fuka_pkey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milscm_2023_009.sny_202310_backup_mt_shinryo_koi_fuka IS 'バックアップ_診療行為付加情報マスタ取込用';</v>
      </c>
    </row>
    <row r="13" spans="1:45" s="25" customFormat="1" ht="69.599999999999994">
      <c r="A13" s="4"/>
      <c r="B13" s="21">
        <f>ROW()-12</f>
        <v>1</v>
      </c>
      <c r="C13" s="6" t="s">
        <v>2140</v>
      </c>
      <c r="D13" s="6" t="s">
        <v>2067</v>
      </c>
      <c r="E13" s="8" t="s">
        <v>127</v>
      </c>
      <c r="F13" s="8" t="s">
        <v>1757</v>
      </c>
      <c r="G13" s="7" t="str">
        <f>IF(F13="フラグ","boolean",IF(F13="文字列","text",IF(F13="整数","integer",IF(F13="実数","numeric",""))))</f>
        <v>text</v>
      </c>
      <c r="H13" s="9"/>
      <c r="I13" s="10" t="s">
        <v>127</v>
      </c>
      <c r="J13" s="11" t="s">
        <v>1997</v>
      </c>
      <c r="M13" s="4"/>
      <c r="N13" s="78"/>
      <c r="O13" s="78"/>
      <c r="P13" s="78" t="str">
        <f>IF(B13&lt;&gt;1,","&amp;D13,D13)</f>
        <v>koshin_kubun</v>
      </c>
      <c r="Q13" s="78" t="str">
        <f t="shared" ref="Q13:Q163" si="0">UPPER(G13)</f>
        <v>TEXT</v>
      </c>
      <c r="R13" s="78" t="str">
        <f t="shared" ref="R13:R163" si="1">IF(H13&lt;&gt;"","default "&amp;IF(G13="text","'"&amp;H13&amp;"'",H13),"")</f>
        <v/>
      </c>
      <c r="S13" s="78" t="str">
        <f>IF(I13="○","NOT NULL","")</f>
        <v>NOT NULL</v>
      </c>
      <c r="T13" s="78" t="str">
        <f>"-- "&amp;C13</f>
        <v>-- 更新区分</v>
      </c>
      <c r="U13" s="4"/>
      <c r="AA13" s="4"/>
      <c r="AB13" s="4"/>
      <c r="AC13" s="4"/>
      <c r="AD13" s="4"/>
      <c r="AE13" s="4"/>
      <c r="AF13" s="4"/>
      <c r="AG13" s="4"/>
      <c r="AH13" s="4"/>
      <c r="AI13" s="4"/>
      <c r="AJ13" s="78" t="str">
        <f>IF(E13="○",IF(COUNTA(E$13:E13)=1,"",",")&amp;D13,"")</f>
        <v>koshin_kubun</v>
      </c>
      <c r="AK13" s="4"/>
      <c r="AL13" s="4"/>
      <c r="AM13" s="4"/>
      <c r="AN13" s="4"/>
      <c r="AO13" s="4"/>
      <c r="AP13" s="4"/>
      <c r="AQ13" s="4"/>
      <c r="AR13" s="4"/>
      <c r="AS13" s="78"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1964</v>
      </c>
      <c r="D14" s="6" t="s">
        <v>1965</v>
      </c>
      <c r="E14" s="8"/>
      <c r="F14" s="7" t="s">
        <v>1757</v>
      </c>
      <c r="G14" s="7" t="str">
        <f t="shared" ref="G14:G163" si="3">IF(F14="フラグ","boolean",IF(F14="文字列","text",IF(F14="整数","integer",IF(F14="実数","numeric",""))))</f>
        <v>text</v>
      </c>
      <c r="H14" s="26"/>
      <c r="I14" s="10" t="s">
        <v>127</v>
      </c>
      <c r="J14" s="11" t="s">
        <v>2414</v>
      </c>
      <c r="M14" s="4"/>
      <c r="N14" s="78"/>
      <c r="O14" s="78"/>
      <c r="P14" s="78" t="str">
        <f t="shared" ref="P14:P163" si="4">IF(B14&lt;&gt;1,","&amp;D14,D14)</f>
        <v>,master_type</v>
      </c>
      <c r="Q14" s="78" t="str">
        <f t="shared" si="0"/>
        <v>TEXT</v>
      </c>
      <c r="R14" s="78" t="str">
        <f t="shared" si="1"/>
        <v/>
      </c>
      <c r="S14" s="78" t="str">
        <f t="shared" ref="S14:S163" si="5">IF(I14="○","NOT NULL","")</f>
        <v>NOT NULL</v>
      </c>
      <c r="T14" s="78" t="str">
        <f t="shared" ref="T14:T163" si="6">"--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1145</v>
      </c>
      <c r="D15" s="6" t="s">
        <v>1146</v>
      </c>
      <c r="E15" s="8" t="s">
        <v>127</v>
      </c>
      <c r="F15" s="7" t="s">
        <v>1757</v>
      </c>
      <c r="G15" s="7" t="str">
        <f t="shared" si="3"/>
        <v>text</v>
      </c>
      <c r="H15" s="26"/>
      <c r="I15" s="10" t="s">
        <v>127</v>
      </c>
      <c r="J15" s="11"/>
      <c r="M15" s="4"/>
      <c r="N15" s="78"/>
      <c r="O15" s="78"/>
      <c r="P15" s="78" t="str">
        <f t="shared" si="4"/>
        <v>,shinryo_koi_code</v>
      </c>
      <c r="Q15" s="78" t="str">
        <f t="shared" si="0"/>
        <v>TEXT</v>
      </c>
      <c r="R15" s="78" t="str">
        <f t="shared" si="1"/>
        <v/>
      </c>
      <c r="S15" s="78" t="str">
        <f t="shared" si="5"/>
        <v>NOT NULL</v>
      </c>
      <c r="T15" s="78" t="str">
        <f t="shared" si="6"/>
        <v>-- 診療行為コード</v>
      </c>
      <c r="U15" s="4"/>
      <c r="AA15" s="4"/>
      <c r="AB15" s="4"/>
      <c r="AC15" s="4"/>
      <c r="AD15" s="4"/>
      <c r="AE15" s="4"/>
      <c r="AF15" s="4"/>
      <c r="AG15" s="4"/>
      <c r="AH15" s="4"/>
      <c r="AI15" s="4"/>
      <c r="AJ15" s="78" t="str">
        <f>IF(E15="○",IF(COUNTA(E$13:E15)=1,"",",")&amp;D15,"")</f>
        <v>,shinryo_koi_code</v>
      </c>
      <c r="AK15" s="4"/>
      <c r="AL15" s="4"/>
      <c r="AM15" s="4"/>
      <c r="AN15" s="4"/>
      <c r="AO15" s="4"/>
      <c r="AP15" s="4"/>
      <c r="AQ15" s="4"/>
      <c r="AR15" s="4"/>
      <c r="AS15" s="78" t="str">
        <f>"COMMENT ON COLUMN "&amp;エンティティ一覧!$O$2&amp;"."&amp;D$8&amp;"."&amp;D15&amp;" IS '"&amp;C15&amp;"';"</f>
        <v>COMMENT ON COLUMN milscm_2023_009.sny_202310_backup_mt_shinryo_koi_fuka.shinryo_koi_code IS '診療行為コード';</v>
      </c>
    </row>
    <row r="16" spans="1:45" s="25" customFormat="1" ht="30">
      <c r="A16" s="4"/>
      <c r="B16" s="21">
        <f t="shared" si="2"/>
        <v>4</v>
      </c>
      <c r="C16" s="6" t="s">
        <v>2141</v>
      </c>
      <c r="D16" s="6" t="s">
        <v>2142</v>
      </c>
      <c r="E16" s="8"/>
      <c r="F16" s="7" t="s">
        <v>1867</v>
      </c>
      <c r="G16" s="7" t="str">
        <f t="shared" si="3"/>
        <v>integer</v>
      </c>
      <c r="H16" s="26"/>
      <c r="I16" s="10"/>
      <c r="J16" s="11"/>
      <c r="M16" s="4"/>
      <c r="N16" s="78"/>
      <c r="O16" s="78"/>
      <c r="P16" s="78" t="str">
        <f t="shared" si="4"/>
        <v>,shinryo_koi_kanji_name_ketasu</v>
      </c>
      <c r="Q16" s="78" t="str">
        <f t="shared" si="0"/>
        <v>INTEGER</v>
      </c>
      <c r="R16" s="78" t="str">
        <f t="shared" si="1"/>
        <v/>
      </c>
      <c r="S16" s="78" t="str">
        <f t="shared" si="5"/>
        <v/>
      </c>
      <c r="T16" s="78" t="str">
        <f t="shared" si="6"/>
        <v>-- 診療行為省略漢字有効桁数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2143</v>
      </c>
      <c r="D17" s="6" t="s">
        <v>2144</v>
      </c>
      <c r="E17" s="8"/>
      <c r="F17" s="7" t="s">
        <v>1757</v>
      </c>
      <c r="G17" s="7" t="str">
        <f t="shared" si="3"/>
        <v>text</v>
      </c>
      <c r="H17" s="26"/>
      <c r="I17" s="10"/>
      <c r="J17" s="11"/>
      <c r="M17" s="4"/>
      <c r="N17" s="78"/>
      <c r="O17" s="78"/>
      <c r="P17" s="78" t="str">
        <f t="shared" si="4"/>
        <v>,shinryo_koi_kanji_name</v>
      </c>
      <c r="Q17" s="78" t="str">
        <f t="shared" si="0"/>
        <v>TEXT</v>
      </c>
      <c r="R17" s="78" t="str">
        <f t="shared" si="1"/>
        <v/>
      </c>
      <c r="S17" s="78" t="str">
        <f t="shared" si="5"/>
        <v/>
      </c>
      <c r="T17" s="78" t="str">
        <f t="shared" si="6"/>
        <v>-- 診療行為省略漢字名称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milscm_2023_009.sny_202310_backup_mt_shinryo_koi_fuka.shinryo_koi_kanji_name IS '診療行為省略漢字名称';</v>
      </c>
    </row>
    <row r="18" spans="1:45" s="25" customFormat="1" ht="30">
      <c r="A18" s="4"/>
      <c r="B18" s="21">
        <f t="shared" si="2"/>
        <v>6</v>
      </c>
      <c r="C18" s="6" t="s">
        <v>2145</v>
      </c>
      <c r="D18" s="6" t="s">
        <v>2146</v>
      </c>
      <c r="E18" s="8"/>
      <c r="F18" s="7" t="s">
        <v>1867</v>
      </c>
      <c r="G18" s="7" t="str">
        <f t="shared" ref="G18:G81" si="7">IF(F18="フラグ","boolean",IF(F18="文字列","text",IF(F18="整数","integer",IF(F18="実数","numeric",""))))</f>
        <v>integer</v>
      </c>
      <c r="H18" s="26"/>
      <c r="I18" s="10"/>
      <c r="J18" s="11"/>
      <c r="M18" s="4"/>
      <c r="N18" s="78"/>
      <c r="O18" s="78"/>
      <c r="P18" s="78" t="str">
        <f t="shared" ref="P18:P81" si="8">IF(B18&lt;&gt;1,","&amp;D18,D18)</f>
        <v>,shinryo_koi_kana_name_ketasu</v>
      </c>
      <c r="Q18" s="78" t="str">
        <f t="shared" ref="Q18:Q81" si="9">UPPER(G18)</f>
        <v>INTEGER</v>
      </c>
      <c r="R18" s="78" t="str">
        <f t="shared" ref="R18:R81" si="10">IF(H18&lt;&gt;"","default "&amp;IF(G18="text","'"&amp;H18&amp;"'",H18),"")</f>
        <v/>
      </c>
      <c r="S18" s="78" t="str">
        <f t="shared" ref="S18:S81" si="11">IF(I18="○","NOT NULL","")</f>
        <v/>
      </c>
      <c r="T18" s="78" t="str">
        <f t="shared" ref="T18:T81" si="12">"-- "&amp;C18</f>
        <v>-- 診療行為省略カナ有効桁数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2147</v>
      </c>
      <c r="D19" s="6" t="s">
        <v>2148</v>
      </c>
      <c r="E19" s="8"/>
      <c r="F19" s="7" t="s">
        <v>1757</v>
      </c>
      <c r="G19" s="7" t="str">
        <f t="shared" si="7"/>
        <v>text</v>
      </c>
      <c r="H19" s="26"/>
      <c r="I19" s="10"/>
      <c r="J19" s="11"/>
      <c r="M19" s="4"/>
      <c r="N19" s="78"/>
      <c r="O19" s="78"/>
      <c r="P19" s="78" t="str">
        <f t="shared" si="8"/>
        <v>,shinryo_koi_kana_name</v>
      </c>
      <c r="Q19" s="78" t="str">
        <f t="shared" si="9"/>
        <v>TEXT</v>
      </c>
      <c r="R19" s="78" t="str">
        <f t="shared" si="10"/>
        <v/>
      </c>
      <c r="S19" s="78" t="str">
        <f t="shared" si="11"/>
        <v/>
      </c>
      <c r="T19" s="78" t="str">
        <f t="shared" si="12"/>
        <v>-- 診療行為省略カナ名称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2149</v>
      </c>
      <c r="D20" s="6" t="s">
        <v>2150</v>
      </c>
      <c r="E20" s="8"/>
      <c r="F20" s="7" t="s">
        <v>1757</v>
      </c>
      <c r="G20" s="7" t="str">
        <f t="shared" si="7"/>
        <v>text</v>
      </c>
      <c r="H20" s="26"/>
      <c r="I20" s="10"/>
      <c r="J20" s="11"/>
      <c r="M20" s="4"/>
      <c r="N20" s="78"/>
      <c r="O20" s="78"/>
      <c r="P20" s="78" t="str">
        <f t="shared" si="8"/>
        <v>,data_standard_code</v>
      </c>
      <c r="Q20" s="78" t="str">
        <f t="shared" si="9"/>
        <v>TEXT</v>
      </c>
      <c r="R20" s="78" t="str">
        <f t="shared" si="10"/>
        <v/>
      </c>
      <c r="S20" s="78" t="str">
        <f t="shared" si="11"/>
        <v/>
      </c>
      <c r="T20" s="78" t="str">
        <f t="shared" si="12"/>
        <v>-- データ規格コード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2151</v>
      </c>
      <c r="D21" s="6" t="s">
        <v>2152</v>
      </c>
      <c r="E21" s="8"/>
      <c r="F21" s="7" t="s">
        <v>1867</v>
      </c>
      <c r="G21" s="7" t="str">
        <f t="shared" si="7"/>
        <v>integer</v>
      </c>
      <c r="H21" s="26"/>
      <c r="I21" s="10"/>
      <c r="J21" s="11"/>
      <c r="M21" s="4"/>
      <c r="N21" s="78"/>
      <c r="O21" s="78"/>
      <c r="P21" s="78" t="str">
        <f t="shared" si="8"/>
        <v>,data_standard_ketasu</v>
      </c>
      <c r="Q21" s="78" t="str">
        <f t="shared" si="9"/>
        <v>INTEGER</v>
      </c>
      <c r="R21" s="78" t="str">
        <f t="shared" si="10"/>
        <v/>
      </c>
      <c r="S21" s="78" t="str">
        <f t="shared" si="11"/>
        <v/>
      </c>
      <c r="T21" s="78" t="str">
        <f t="shared" si="12"/>
        <v>-- データ規格漢字有効桁数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2153</v>
      </c>
      <c r="D22" s="6" t="s">
        <v>2154</v>
      </c>
      <c r="E22" s="8"/>
      <c r="F22" s="7" t="s">
        <v>1757</v>
      </c>
      <c r="G22" s="7" t="str">
        <f t="shared" si="7"/>
        <v>text</v>
      </c>
      <c r="H22" s="26"/>
      <c r="I22" s="10"/>
      <c r="J22" s="11"/>
      <c r="M22" s="4"/>
      <c r="N22" s="78"/>
      <c r="O22" s="78"/>
      <c r="P22" s="78" t="str">
        <f t="shared" si="8"/>
        <v>,data_standard_name</v>
      </c>
      <c r="Q22" s="78" t="str">
        <f t="shared" si="9"/>
        <v>TEXT</v>
      </c>
      <c r="R22" s="78" t="str">
        <f t="shared" si="10"/>
        <v/>
      </c>
      <c r="S22" s="78" t="str">
        <f t="shared" si="11"/>
        <v/>
      </c>
      <c r="T22" s="78" t="str">
        <f t="shared" si="12"/>
        <v>-- データ規格漢字名称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2155</v>
      </c>
      <c r="D23" s="6" t="s">
        <v>2156</v>
      </c>
      <c r="E23" s="8"/>
      <c r="F23" s="7" t="s">
        <v>1867</v>
      </c>
      <c r="G23" s="7" t="str">
        <f t="shared" si="7"/>
        <v>integer</v>
      </c>
      <c r="H23" s="26"/>
      <c r="I23" s="10"/>
      <c r="J23" s="11"/>
      <c r="M23" s="4"/>
      <c r="N23" s="78"/>
      <c r="O23" s="78"/>
      <c r="P23" s="78" t="str">
        <f t="shared" si="8"/>
        <v>,gen_tensu_shikibetsu</v>
      </c>
      <c r="Q23" s="78" t="str">
        <f t="shared" si="9"/>
        <v>INTEGER</v>
      </c>
      <c r="R23" s="78" t="str">
        <f t="shared" si="10"/>
        <v/>
      </c>
      <c r="S23" s="78" t="str">
        <f t="shared" si="11"/>
        <v/>
      </c>
      <c r="T23" s="78" t="str">
        <f t="shared" si="12"/>
        <v>-- 新又は現点数識別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milscm_2023_009.sny_202310_backup_mt_shinryo_koi_fuka.gen_tensu_shikibetsu IS '新又は現点数識別';</v>
      </c>
    </row>
    <row r="24" spans="1:45" s="25" customFormat="1" ht="34.799999999999997">
      <c r="A24" s="4"/>
      <c r="B24" s="21">
        <f t="shared" si="2"/>
        <v>12</v>
      </c>
      <c r="C24" s="6" t="s">
        <v>2157</v>
      </c>
      <c r="D24" s="6" t="s">
        <v>2158</v>
      </c>
      <c r="E24" s="8"/>
      <c r="F24" s="7" t="s">
        <v>1764</v>
      </c>
      <c r="G24" s="7" t="str">
        <f t="shared" si="7"/>
        <v>numeric</v>
      </c>
      <c r="H24" s="26"/>
      <c r="I24" s="10"/>
      <c r="J24" s="11" t="s">
        <v>2415</v>
      </c>
      <c r="M24" s="4"/>
      <c r="N24" s="78"/>
      <c r="O24" s="78"/>
      <c r="P24" s="78" t="str">
        <f t="shared" si="8"/>
        <v>,gen_tensu</v>
      </c>
      <c r="Q24" s="78" t="str">
        <f t="shared" si="9"/>
        <v>NUMERIC</v>
      </c>
      <c r="R24" s="78" t="str">
        <f t="shared" si="10"/>
        <v/>
      </c>
      <c r="S24" s="78" t="str">
        <f t="shared" si="11"/>
        <v/>
      </c>
      <c r="T24" s="78" t="str">
        <f t="shared" si="12"/>
        <v>-- 新又は現点数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2159</v>
      </c>
      <c r="D25" s="6" t="s">
        <v>2160</v>
      </c>
      <c r="E25" s="8"/>
      <c r="F25" s="7" t="s">
        <v>1757</v>
      </c>
      <c r="G25" s="7" t="str">
        <f t="shared" si="7"/>
        <v>text</v>
      </c>
      <c r="H25" s="26"/>
      <c r="I25" s="10"/>
      <c r="J25" s="11"/>
      <c r="M25" s="4"/>
      <c r="N25" s="78"/>
      <c r="O25" s="78"/>
      <c r="P25" s="78" t="str">
        <f t="shared" si="8"/>
        <v>,nyugai_tekiyo_kubun</v>
      </c>
      <c r="Q25" s="78" t="str">
        <f t="shared" si="9"/>
        <v>TEXT</v>
      </c>
      <c r="R25" s="78" t="str">
        <f t="shared" si="10"/>
        <v/>
      </c>
      <c r="S25" s="78" t="str">
        <f t="shared" si="11"/>
        <v/>
      </c>
      <c r="T25" s="78" t="str">
        <f t="shared" si="12"/>
        <v>-- 入外適用区分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2161</v>
      </c>
      <c r="D26" s="6" t="s">
        <v>2162</v>
      </c>
      <c r="E26" s="8"/>
      <c r="F26" s="7" t="s">
        <v>1757</v>
      </c>
      <c r="G26" s="7" t="str">
        <f t="shared" si="7"/>
        <v>text</v>
      </c>
      <c r="H26" s="26"/>
      <c r="I26" s="10"/>
      <c r="J26" s="11"/>
      <c r="M26" s="4"/>
      <c r="N26" s="78"/>
      <c r="O26" s="78"/>
      <c r="P26" s="78" t="str">
        <f t="shared" si="8"/>
        <v>,aged_tekiyo_kubun</v>
      </c>
      <c r="Q26" s="78" t="str">
        <f t="shared" si="9"/>
        <v>TEXT</v>
      </c>
      <c r="R26" s="78" t="str">
        <f t="shared" si="10"/>
        <v/>
      </c>
      <c r="S26" s="78" t="str">
        <f t="shared" si="11"/>
        <v/>
      </c>
      <c r="T26" s="78" t="str">
        <f t="shared" si="12"/>
        <v>-- 後期高齢者医療適用区分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milscm_2023_009.sny_202310_backup_mt_shinryo_koi_fuka.aged_tekiyo_kubun IS '後期高齢者医療適用区分';</v>
      </c>
    </row>
    <row r="27" spans="1:45" s="25" customFormat="1" ht="30">
      <c r="A27" s="4"/>
      <c r="B27" s="21">
        <f t="shared" si="2"/>
        <v>15</v>
      </c>
      <c r="C27" s="6" t="s">
        <v>2163</v>
      </c>
      <c r="D27" s="6" t="s">
        <v>2164</v>
      </c>
      <c r="E27" s="8"/>
      <c r="F27" s="7" t="s">
        <v>1757</v>
      </c>
      <c r="G27" s="7" t="str">
        <f t="shared" si="7"/>
        <v>text</v>
      </c>
      <c r="H27" s="26"/>
      <c r="I27" s="10"/>
      <c r="J27" s="11"/>
      <c r="M27" s="4"/>
      <c r="N27" s="78"/>
      <c r="O27" s="78"/>
      <c r="P27" s="78" t="str">
        <f t="shared" si="8"/>
        <v>,tensuran_shikibetsu_nyuingai</v>
      </c>
      <c r="Q27" s="78" t="str">
        <f t="shared" si="9"/>
        <v>TEXT</v>
      </c>
      <c r="R27" s="78" t="str">
        <f t="shared" si="10"/>
        <v/>
      </c>
      <c r="S27" s="78" t="str">
        <f t="shared" si="11"/>
        <v/>
      </c>
      <c r="T27" s="78" t="str">
        <f t="shared" si="12"/>
        <v>-- 点数欄集計先識別（入院外）</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2165</v>
      </c>
      <c r="D28" s="6" t="s">
        <v>2166</v>
      </c>
      <c r="E28" s="8"/>
      <c r="F28" s="7" t="s">
        <v>1757</v>
      </c>
      <c r="G28" s="7" t="str">
        <f t="shared" si="7"/>
        <v>text</v>
      </c>
      <c r="H28" s="26"/>
      <c r="I28" s="10"/>
      <c r="J28" s="11"/>
      <c r="M28" s="4"/>
      <c r="N28" s="78"/>
      <c r="O28" s="78"/>
      <c r="P28" s="78" t="str">
        <f t="shared" si="8"/>
        <v>,hokatsu_kensa</v>
      </c>
      <c r="Q28" s="78" t="str">
        <f t="shared" si="9"/>
        <v>TEXT</v>
      </c>
      <c r="R28" s="78" t="str">
        <f t="shared" si="10"/>
        <v/>
      </c>
      <c r="S28" s="78" t="str">
        <f t="shared" si="11"/>
        <v/>
      </c>
      <c r="T28" s="78" t="str">
        <f t="shared" si="12"/>
        <v>-- 包括対象検査</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1968</v>
      </c>
      <c r="D29" s="6" t="s">
        <v>943</v>
      </c>
      <c r="E29" s="8"/>
      <c r="F29" s="7" t="s">
        <v>1757</v>
      </c>
      <c r="G29" s="7" t="str">
        <f t="shared" si="7"/>
        <v>text</v>
      </c>
      <c r="H29" s="26"/>
      <c r="I29" s="10"/>
      <c r="J29" s="11" t="s">
        <v>2416</v>
      </c>
      <c r="M29" s="4"/>
      <c r="N29" s="78"/>
      <c r="O29" s="78"/>
      <c r="P29" s="78" t="str">
        <f t="shared" si="8"/>
        <v>,reserve1</v>
      </c>
      <c r="Q29" s="78" t="str">
        <f t="shared" si="9"/>
        <v>TEXT</v>
      </c>
      <c r="R29" s="78" t="str">
        <f t="shared" si="10"/>
        <v/>
      </c>
      <c r="S29" s="78" t="str">
        <f t="shared" si="11"/>
        <v/>
      </c>
      <c r="T29" s="78" t="str">
        <f t="shared" si="12"/>
        <v>-- 予備1</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2167</v>
      </c>
      <c r="D30" s="6" t="s">
        <v>2168</v>
      </c>
      <c r="E30" s="8"/>
      <c r="F30" s="7" t="s">
        <v>1757</v>
      </c>
      <c r="G30" s="7" t="str">
        <f t="shared" si="7"/>
        <v>text</v>
      </c>
      <c r="H30" s="26"/>
      <c r="I30" s="10"/>
      <c r="J30" s="11"/>
      <c r="M30" s="4"/>
      <c r="N30" s="78"/>
      <c r="O30" s="78"/>
      <c r="P30" s="78" t="str">
        <f t="shared" si="8"/>
        <v>,dpc_tekiyo_kubun</v>
      </c>
      <c r="Q30" s="78" t="str">
        <f t="shared" si="9"/>
        <v>TEXT</v>
      </c>
      <c r="R30" s="78" t="str">
        <f t="shared" si="10"/>
        <v/>
      </c>
      <c r="S30" s="78" t="str">
        <f t="shared" si="11"/>
        <v/>
      </c>
      <c r="T30" s="78" t="str">
        <f t="shared" si="12"/>
        <v>-- DPC適用区分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2169</v>
      </c>
      <c r="D31" s="6" t="s">
        <v>2170</v>
      </c>
      <c r="E31" s="8"/>
      <c r="F31" s="7" t="s">
        <v>1757</v>
      </c>
      <c r="G31" s="7" t="str">
        <f t="shared" si="7"/>
        <v>text</v>
      </c>
      <c r="H31" s="26"/>
      <c r="I31" s="10"/>
      <c r="J31" s="11"/>
      <c r="M31" s="4"/>
      <c r="N31" s="78"/>
      <c r="O31" s="78"/>
      <c r="P31" s="78" t="str">
        <f t="shared" si="8"/>
        <v>,clinic_kubun</v>
      </c>
      <c r="Q31" s="78" t="str">
        <f t="shared" si="9"/>
        <v>TEXT</v>
      </c>
      <c r="R31" s="78" t="str">
        <f t="shared" si="10"/>
        <v/>
      </c>
      <c r="S31" s="78" t="str">
        <f t="shared" si="11"/>
        <v/>
      </c>
      <c r="T31" s="78" t="str">
        <f t="shared" si="12"/>
        <v>-- 病院・診療所区分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2171</v>
      </c>
      <c r="D32" s="6" t="s">
        <v>2172</v>
      </c>
      <c r="E32" s="8"/>
      <c r="F32" s="7" t="s">
        <v>1757</v>
      </c>
      <c r="G32" s="7" t="str">
        <f t="shared" si="7"/>
        <v>text</v>
      </c>
      <c r="H32" s="26"/>
      <c r="I32" s="10"/>
      <c r="J32" s="11"/>
      <c r="M32" s="4"/>
      <c r="N32" s="78"/>
      <c r="O32" s="78"/>
      <c r="P32" s="78" t="str">
        <f t="shared" si="8"/>
        <v>,shujutsu_kasan_kubun</v>
      </c>
      <c r="Q32" s="78" t="str">
        <f t="shared" si="9"/>
        <v>TEXT</v>
      </c>
      <c r="R32" s="78" t="str">
        <f t="shared" si="10"/>
        <v/>
      </c>
      <c r="S32" s="78" t="str">
        <f t="shared" si="11"/>
        <v/>
      </c>
      <c r="T32" s="78" t="str">
        <f t="shared" si="12"/>
        <v>-- 画像等手術支援加算区分</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2173</v>
      </c>
      <c r="D33" s="6" t="s">
        <v>2174</v>
      </c>
      <c r="E33" s="8"/>
      <c r="F33" s="7" t="s">
        <v>1757</v>
      </c>
      <c r="G33" s="7" t="str">
        <f t="shared" si="7"/>
        <v>text</v>
      </c>
      <c r="H33" s="26"/>
      <c r="I33" s="10"/>
      <c r="J33" s="11"/>
      <c r="M33" s="4"/>
      <c r="N33" s="78"/>
      <c r="O33" s="78"/>
      <c r="P33" s="78" t="str">
        <f t="shared" si="8"/>
        <v>,iryo_kansatsu_kubun</v>
      </c>
      <c r="Q33" s="78" t="str">
        <f t="shared" si="9"/>
        <v>TEXT</v>
      </c>
      <c r="R33" s="78" t="str">
        <f t="shared" si="10"/>
        <v/>
      </c>
      <c r="S33" s="78" t="str">
        <f t="shared" si="11"/>
        <v/>
      </c>
      <c r="T33" s="78" t="str">
        <f t="shared" si="12"/>
        <v>-- 医療観察法対象区分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2175</v>
      </c>
      <c r="D34" s="6" t="s">
        <v>2176</v>
      </c>
      <c r="E34" s="8"/>
      <c r="F34" s="7" t="s">
        <v>1757</v>
      </c>
      <c r="G34" s="7" t="str">
        <f t="shared" si="7"/>
        <v>text</v>
      </c>
      <c r="H34" s="26"/>
      <c r="I34" s="10"/>
      <c r="J34" s="11"/>
      <c r="M34" s="4"/>
      <c r="N34" s="78"/>
      <c r="O34" s="78"/>
      <c r="P34" s="78" t="str">
        <f t="shared" si="8"/>
        <v>,kango_kasan</v>
      </c>
      <c r="Q34" s="78" t="str">
        <f t="shared" si="9"/>
        <v>TEXT</v>
      </c>
      <c r="R34" s="78" t="str">
        <f t="shared" si="10"/>
        <v/>
      </c>
      <c r="S34" s="78" t="str">
        <f t="shared" si="11"/>
        <v/>
      </c>
      <c r="T34" s="78" t="str">
        <f t="shared" si="12"/>
        <v>-- 看護加算</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2177</v>
      </c>
      <c r="D35" s="6" t="s">
        <v>2178</v>
      </c>
      <c r="E35" s="8"/>
      <c r="F35" s="7" t="s">
        <v>1757</v>
      </c>
      <c r="G35" s="7" t="str">
        <f t="shared" si="7"/>
        <v>text</v>
      </c>
      <c r="H35" s="26"/>
      <c r="I35" s="10"/>
      <c r="J35" s="11"/>
      <c r="M35" s="4"/>
      <c r="N35" s="78"/>
      <c r="O35" s="78"/>
      <c r="P35" s="78" t="str">
        <f t="shared" si="8"/>
        <v>,masui_shujutsu_kubun</v>
      </c>
      <c r="Q35" s="78" t="str">
        <f t="shared" si="9"/>
        <v>TEXT</v>
      </c>
      <c r="R35" s="78" t="str">
        <f t="shared" si="10"/>
        <v/>
      </c>
      <c r="S35" s="78" t="str">
        <f t="shared" si="11"/>
        <v/>
      </c>
      <c r="T35" s="78" t="str">
        <f t="shared" si="12"/>
        <v>-- 麻酔識別区分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1969</v>
      </c>
      <c r="D36" s="6" t="s">
        <v>994</v>
      </c>
      <c r="E36" s="8"/>
      <c r="F36" s="7" t="s">
        <v>1757</v>
      </c>
      <c r="G36" s="7" t="str">
        <f t="shared" si="7"/>
        <v>text</v>
      </c>
      <c r="H36" s="26"/>
      <c r="I36" s="10"/>
      <c r="J36" s="11"/>
      <c r="M36" s="4"/>
      <c r="N36" s="78"/>
      <c r="O36" s="78"/>
      <c r="P36" s="78" t="str">
        <f t="shared" si="8"/>
        <v>,reserve2</v>
      </c>
      <c r="Q36" s="78" t="str">
        <f t="shared" si="9"/>
        <v>TEXT</v>
      </c>
      <c r="R36" s="78" t="str">
        <f t="shared" si="10"/>
        <v/>
      </c>
      <c r="S36" s="78" t="str">
        <f t="shared" si="11"/>
        <v/>
      </c>
      <c r="T36" s="78" t="str">
        <f t="shared" si="12"/>
        <v>-- 予備2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2179</v>
      </c>
      <c r="D37" s="6" t="s">
        <v>2180</v>
      </c>
      <c r="E37" s="8"/>
      <c r="F37" s="7" t="s">
        <v>1757</v>
      </c>
      <c r="G37" s="7" t="str">
        <f t="shared" si="7"/>
        <v>text</v>
      </c>
      <c r="H37" s="26"/>
      <c r="I37" s="10"/>
      <c r="J37" s="11"/>
      <c r="M37" s="4"/>
      <c r="N37" s="78"/>
      <c r="O37" s="78"/>
      <c r="P37" s="78" t="str">
        <f t="shared" si="8"/>
        <v>,shobyo_kanren_kubun</v>
      </c>
      <c r="Q37" s="78" t="str">
        <f t="shared" si="9"/>
        <v>TEXT</v>
      </c>
      <c r="R37" s="78" t="str">
        <f t="shared" si="10"/>
        <v/>
      </c>
      <c r="S37" s="78" t="str">
        <f t="shared" si="11"/>
        <v/>
      </c>
      <c r="T37" s="78" t="str">
        <f t="shared" si="12"/>
        <v>-- 傷病名関連区分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1975</v>
      </c>
      <c r="D38" s="6" t="s">
        <v>996</v>
      </c>
      <c r="E38" s="8"/>
      <c r="F38" s="7" t="s">
        <v>1757</v>
      </c>
      <c r="G38" s="7" t="str">
        <f t="shared" si="7"/>
        <v>text</v>
      </c>
      <c r="H38" s="26"/>
      <c r="I38" s="10"/>
      <c r="J38" s="11"/>
      <c r="M38" s="4"/>
      <c r="N38" s="78"/>
      <c r="O38" s="78"/>
      <c r="P38" s="78" t="str">
        <f t="shared" si="8"/>
        <v>,reserve3</v>
      </c>
      <c r="Q38" s="78" t="str">
        <f t="shared" si="9"/>
        <v>TEXT</v>
      </c>
      <c r="R38" s="78" t="str">
        <f t="shared" si="10"/>
        <v/>
      </c>
      <c r="S38" s="78" t="str">
        <f t="shared" si="11"/>
        <v/>
      </c>
      <c r="T38" s="78" t="str">
        <f t="shared" si="12"/>
        <v>-- 予備3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2181</v>
      </c>
      <c r="D39" s="6" t="s">
        <v>2182</v>
      </c>
      <c r="E39" s="8"/>
      <c r="F39" s="7" t="s">
        <v>1867</v>
      </c>
      <c r="G39" s="7" t="str">
        <f t="shared" si="7"/>
        <v>integer</v>
      </c>
      <c r="H39" s="26"/>
      <c r="I39" s="10"/>
      <c r="J39" s="11"/>
      <c r="M39" s="4"/>
      <c r="N39" s="78"/>
      <c r="O39" s="78"/>
      <c r="P39" s="78" t="str">
        <f t="shared" si="8"/>
        <v>,jitsu_days</v>
      </c>
      <c r="Q39" s="78" t="str">
        <f t="shared" si="9"/>
        <v>INTEGER</v>
      </c>
      <c r="R39" s="78" t="str">
        <f t="shared" si="10"/>
        <v/>
      </c>
      <c r="S39" s="78" t="str">
        <f t="shared" si="11"/>
        <v/>
      </c>
      <c r="T39" s="78" t="str">
        <f t="shared" si="12"/>
        <v>-- 実日数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2183</v>
      </c>
      <c r="D40" s="6" t="s">
        <v>2184</v>
      </c>
      <c r="E40" s="8"/>
      <c r="F40" s="7" t="s">
        <v>1867</v>
      </c>
      <c r="G40" s="7" t="str">
        <f t="shared" si="7"/>
        <v>integer</v>
      </c>
      <c r="H40" s="26"/>
      <c r="I40" s="10"/>
      <c r="J40" s="11"/>
      <c r="M40" s="4"/>
      <c r="N40" s="78"/>
      <c r="O40" s="78"/>
      <c r="P40" s="78" t="str">
        <f t="shared" si="8"/>
        <v>,days_times</v>
      </c>
      <c r="Q40" s="78" t="str">
        <f t="shared" si="9"/>
        <v>INTEGER</v>
      </c>
      <c r="R40" s="78" t="str">
        <f t="shared" si="10"/>
        <v/>
      </c>
      <c r="S40" s="78" t="str">
        <f t="shared" si="11"/>
        <v/>
      </c>
      <c r="T40" s="78" t="str">
        <f t="shared" si="12"/>
        <v>-- 日数・回数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2185</v>
      </c>
      <c r="D41" s="6" t="s">
        <v>2186</v>
      </c>
      <c r="E41" s="8"/>
      <c r="F41" s="7" t="s">
        <v>1757</v>
      </c>
      <c r="G41" s="7" t="str">
        <f t="shared" si="7"/>
        <v>text</v>
      </c>
      <c r="H41" s="26"/>
      <c r="I41" s="10"/>
      <c r="J41" s="11"/>
      <c r="M41" s="4"/>
      <c r="N41" s="78"/>
      <c r="O41" s="78"/>
      <c r="P41" s="78" t="str">
        <f t="shared" si="8"/>
        <v>,iyakuhin_kanren_kubun</v>
      </c>
      <c r="Q41" s="78" t="str">
        <f t="shared" si="9"/>
        <v>TEXT</v>
      </c>
      <c r="R41" s="78" t="str">
        <f t="shared" si="10"/>
        <v/>
      </c>
      <c r="S41" s="78" t="str">
        <f t="shared" si="11"/>
        <v/>
      </c>
      <c r="T41" s="78" t="str">
        <f t="shared" si="12"/>
        <v>-- 医薬品関連区分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2187</v>
      </c>
      <c r="D42" s="6" t="s">
        <v>2188</v>
      </c>
      <c r="E42" s="8"/>
      <c r="F42" s="7" t="s">
        <v>1757</v>
      </c>
      <c r="G42" s="7" t="str">
        <f t="shared" si="7"/>
        <v>text</v>
      </c>
      <c r="H42" s="26"/>
      <c r="I42" s="10"/>
      <c r="J42" s="11"/>
      <c r="M42" s="4"/>
      <c r="N42" s="78"/>
      <c r="O42" s="78"/>
      <c r="P42" s="78" t="str">
        <f t="shared" si="8"/>
        <v>,kizami_keisan_shikibetsu</v>
      </c>
      <c r="Q42" s="78" t="str">
        <f t="shared" si="9"/>
        <v>TEXT</v>
      </c>
      <c r="R42" s="78" t="str">
        <f t="shared" si="10"/>
        <v/>
      </c>
      <c r="S42" s="78" t="str">
        <f t="shared" si="11"/>
        <v/>
      </c>
      <c r="T42" s="78" t="str">
        <f t="shared" si="12"/>
        <v>-- きざみ値計算識別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2189</v>
      </c>
      <c r="D43" s="6" t="s">
        <v>2190</v>
      </c>
      <c r="E43" s="8"/>
      <c r="F43" s="7" t="s">
        <v>1867</v>
      </c>
      <c r="G43" s="7" t="str">
        <f t="shared" si="7"/>
        <v>integer</v>
      </c>
      <c r="H43" s="26"/>
      <c r="I43" s="10"/>
      <c r="J43" s="11"/>
      <c r="M43" s="4"/>
      <c r="N43" s="78"/>
      <c r="O43" s="78"/>
      <c r="P43" s="78" t="str">
        <f t="shared" si="8"/>
        <v>,kizami_low</v>
      </c>
      <c r="Q43" s="78" t="str">
        <f t="shared" si="9"/>
        <v>INTEGER</v>
      </c>
      <c r="R43" s="78" t="str">
        <f t="shared" si="10"/>
        <v/>
      </c>
      <c r="S43" s="78" t="str">
        <f t="shared" si="11"/>
        <v/>
      </c>
      <c r="T43" s="78" t="str">
        <f t="shared" si="12"/>
        <v>-- きざみ値下限値</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2191</v>
      </c>
      <c r="D44" s="6" t="s">
        <v>2192</v>
      </c>
      <c r="E44" s="8"/>
      <c r="F44" s="7" t="s">
        <v>1867</v>
      </c>
      <c r="G44" s="7" t="str">
        <f t="shared" si="7"/>
        <v>integer</v>
      </c>
      <c r="H44" s="26"/>
      <c r="I44" s="10"/>
      <c r="J44" s="11"/>
      <c r="M44" s="4"/>
      <c r="N44" s="78"/>
      <c r="O44" s="78"/>
      <c r="P44" s="78" t="str">
        <f t="shared" si="8"/>
        <v>,kizami_up</v>
      </c>
      <c r="Q44" s="78" t="str">
        <f t="shared" si="9"/>
        <v>INTEGER</v>
      </c>
      <c r="R44" s="78" t="str">
        <f t="shared" si="10"/>
        <v/>
      </c>
      <c r="S44" s="78" t="str">
        <f t="shared" si="11"/>
        <v/>
      </c>
      <c r="T44" s="78" t="str">
        <f t="shared" si="12"/>
        <v>-- きざみ値上限値</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2193</v>
      </c>
      <c r="D45" s="6" t="s">
        <v>2194</v>
      </c>
      <c r="E45" s="8"/>
      <c r="F45" s="7" t="s">
        <v>1867</v>
      </c>
      <c r="G45" s="7" t="str">
        <f t="shared" si="7"/>
        <v>integer</v>
      </c>
      <c r="H45" s="26"/>
      <c r="I45" s="10"/>
      <c r="J45" s="11"/>
      <c r="M45" s="4"/>
      <c r="N45" s="78"/>
      <c r="O45" s="78"/>
      <c r="P45" s="78" t="str">
        <f t="shared" si="8"/>
        <v>,kizami_value</v>
      </c>
      <c r="Q45" s="78" t="str">
        <f t="shared" si="9"/>
        <v>INTEGER</v>
      </c>
      <c r="R45" s="78" t="str">
        <f t="shared" si="10"/>
        <v/>
      </c>
      <c r="S45" s="78" t="str">
        <f t="shared" si="11"/>
        <v/>
      </c>
      <c r="T45" s="78" t="str">
        <f t="shared" si="12"/>
        <v>-- きざみ値</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milscm_2023_009.sny_202310_backup_mt_shinryo_koi_fuka.kizami_value IS 'きざみ値';</v>
      </c>
    </row>
    <row r="46" spans="1:45" s="25" customFormat="1" ht="34.799999999999997">
      <c r="A46" s="4"/>
      <c r="B46" s="21">
        <f t="shared" si="2"/>
        <v>34</v>
      </c>
      <c r="C46" s="6" t="s">
        <v>2195</v>
      </c>
      <c r="D46" s="6" t="s">
        <v>2196</v>
      </c>
      <c r="E46" s="8"/>
      <c r="F46" s="7" t="s">
        <v>1764</v>
      </c>
      <c r="G46" s="7" t="str">
        <f t="shared" si="7"/>
        <v>numeric</v>
      </c>
      <c r="H46" s="26"/>
      <c r="I46" s="10"/>
      <c r="J46" s="11" t="s">
        <v>2415</v>
      </c>
      <c r="M46" s="4"/>
      <c r="N46" s="78"/>
      <c r="O46" s="78"/>
      <c r="P46" s="78" t="str">
        <f t="shared" si="8"/>
        <v>,kizami_tensu</v>
      </c>
      <c r="Q46" s="78" t="str">
        <f t="shared" si="9"/>
        <v>NUMERIC</v>
      </c>
      <c r="R46" s="78" t="str">
        <f t="shared" si="10"/>
        <v/>
      </c>
      <c r="S46" s="78" t="str">
        <f t="shared" si="11"/>
        <v/>
      </c>
      <c r="T46" s="78" t="str">
        <f t="shared" si="12"/>
        <v>-- きざみ点数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2197</v>
      </c>
      <c r="D47" s="6" t="s">
        <v>2198</v>
      </c>
      <c r="E47" s="8"/>
      <c r="F47" s="7" t="s">
        <v>1757</v>
      </c>
      <c r="G47" s="7" t="str">
        <f t="shared" si="7"/>
        <v>text</v>
      </c>
      <c r="H47" s="26"/>
      <c r="I47" s="10"/>
      <c r="J47" s="11"/>
      <c r="M47" s="4"/>
      <c r="N47" s="78"/>
      <c r="O47" s="78"/>
      <c r="P47" s="78" t="str">
        <f t="shared" si="8"/>
        <v>,up_low_error</v>
      </c>
      <c r="Q47" s="78" t="str">
        <f t="shared" si="9"/>
        <v>TEXT</v>
      </c>
      <c r="R47" s="78" t="str">
        <f t="shared" si="10"/>
        <v/>
      </c>
      <c r="S47" s="78" t="str">
        <f t="shared" si="11"/>
        <v/>
      </c>
      <c r="T47" s="78" t="str">
        <f t="shared" si="12"/>
        <v>-- 上下限エラー処理</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2199</v>
      </c>
      <c r="D48" s="6" t="s">
        <v>2200</v>
      </c>
      <c r="E48" s="8"/>
      <c r="F48" s="7" t="s">
        <v>1867</v>
      </c>
      <c r="G48" s="7" t="str">
        <f t="shared" si="7"/>
        <v>integer</v>
      </c>
      <c r="H48" s="26"/>
      <c r="I48" s="10"/>
      <c r="J48" s="11"/>
      <c r="M48" s="4"/>
      <c r="N48" s="78"/>
      <c r="O48" s="78"/>
      <c r="P48" s="78" t="str">
        <f t="shared" si="8"/>
        <v>,up_times</v>
      </c>
      <c r="Q48" s="78" t="str">
        <f t="shared" si="9"/>
        <v>INTEGER</v>
      </c>
      <c r="R48" s="78" t="str">
        <f t="shared" si="10"/>
        <v/>
      </c>
      <c r="S48" s="78" t="str">
        <f t="shared" si="11"/>
        <v/>
      </c>
      <c r="T48" s="78" t="str">
        <f t="shared" si="12"/>
        <v>-- 上限回数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2201</v>
      </c>
      <c r="D49" s="6" t="s">
        <v>2202</v>
      </c>
      <c r="E49" s="8"/>
      <c r="F49" s="7" t="s">
        <v>1757</v>
      </c>
      <c r="G49" s="7" t="str">
        <f t="shared" si="7"/>
        <v>text</v>
      </c>
      <c r="H49" s="26"/>
      <c r="I49" s="10"/>
      <c r="J49" s="11"/>
      <c r="M49" s="4"/>
      <c r="N49" s="78"/>
      <c r="O49" s="78"/>
      <c r="P49" s="78" t="str">
        <f t="shared" si="8"/>
        <v>,up_times_error</v>
      </c>
      <c r="Q49" s="78" t="str">
        <f t="shared" si="9"/>
        <v>TEXT</v>
      </c>
      <c r="R49" s="78" t="str">
        <f t="shared" si="10"/>
        <v/>
      </c>
      <c r="S49" s="78" t="str">
        <f t="shared" si="11"/>
        <v/>
      </c>
      <c r="T49" s="78" t="str">
        <f t="shared" si="12"/>
        <v>-- 上限回数エラー処理</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2203</v>
      </c>
      <c r="D50" s="6" t="s">
        <v>2204</v>
      </c>
      <c r="E50" s="8"/>
      <c r="F50" s="7" t="s">
        <v>1757</v>
      </c>
      <c r="G50" s="7" t="str">
        <f t="shared" si="7"/>
        <v>text</v>
      </c>
      <c r="H50" s="26"/>
      <c r="I50" s="10"/>
      <c r="J50" s="11"/>
      <c r="M50" s="4"/>
      <c r="N50" s="78"/>
      <c r="O50" s="78"/>
      <c r="P50" s="78" t="str">
        <f t="shared" si="8"/>
        <v>,chu_kasan_code</v>
      </c>
      <c r="Q50" s="78" t="str">
        <f t="shared" si="9"/>
        <v>TEXT</v>
      </c>
      <c r="R50" s="78" t="str">
        <f t="shared" si="10"/>
        <v/>
      </c>
      <c r="S50" s="78" t="str">
        <f t="shared" si="11"/>
        <v/>
      </c>
      <c r="T50" s="78" t="str">
        <f t="shared" si="12"/>
        <v>-- 注加算コード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2205</v>
      </c>
      <c r="D51" s="6" t="s">
        <v>2206</v>
      </c>
      <c r="E51" s="8"/>
      <c r="F51" s="7" t="s">
        <v>1757</v>
      </c>
      <c r="G51" s="7" t="str">
        <f t="shared" si="7"/>
        <v>text</v>
      </c>
      <c r="H51" s="26"/>
      <c r="I51" s="10"/>
      <c r="J51" s="11"/>
      <c r="M51" s="4"/>
      <c r="N51" s="78"/>
      <c r="O51" s="78"/>
      <c r="P51" s="78" t="str">
        <f t="shared" si="8"/>
        <v>,chu_kasan_no</v>
      </c>
      <c r="Q51" s="78" t="str">
        <f t="shared" si="9"/>
        <v>TEXT</v>
      </c>
      <c r="R51" s="78" t="str">
        <f t="shared" si="10"/>
        <v/>
      </c>
      <c r="S51" s="78" t="str">
        <f t="shared" si="11"/>
        <v/>
      </c>
      <c r="T51" s="78" t="str">
        <f t="shared" si="12"/>
        <v>-- 注加算通番</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2207</v>
      </c>
      <c r="D52" s="6" t="s">
        <v>2208</v>
      </c>
      <c r="E52" s="8"/>
      <c r="F52" s="7" t="s">
        <v>1757</v>
      </c>
      <c r="G52" s="7" t="str">
        <f t="shared" si="7"/>
        <v>text</v>
      </c>
      <c r="H52" s="26"/>
      <c r="I52" s="10"/>
      <c r="J52" s="11"/>
      <c r="M52" s="4"/>
      <c r="N52" s="78"/>
      <c r="O52" s="78"/>
      <c r="P52" s="78" t="str">
        <f t="shared" si="8"/>
        <v>,tsusoku_age</v>
      </c>
      <c r="Q52" s="78" t="str">
        <f t="shared" si="9"/>
        <v>TEXT</v>
      </c>
      <c r="R52" s="78" t="str">
        <f t="shared" si="10"/>
        <v/>
      </c>
      <c r="S52" s="78" t="str">
        <f t="shared" si="11"/>
        <v/>
      </c>
      <c r="T52" s="78" t="str">
        <f t="shared" si="12"/>
        <v>-- 通則年齢</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2209</v>
      </c>
      <c r="D53" s="6" t="s">
        <v>2210</v>
      </c>
      <c r="E53" s="8"/>
      <c r="F53" s="7" t="s">
        <v>1757</v>
      </c>
      <c r="G53" s="7" t="str">
        <f t="shared" si="7"/>
        <v>text</v>
      </c>
      <c r="H53" s="26"/>
      <c r="I53" s="10"/>
      <c r="J53" s="11"/>
      <c r="M53" s="4"/>
      <c r="N53" s="78"/>
      <c r="O53" s="78"/>
      <c r="P53" s="78" t="str">
        <f t="shared" si="8"/>
        <v>,low_age</v>
      </c>
      <c r="Q53" s="78" t="str">
        <f t="shared" si="9"/>
        <v>TEXT</v>
      </c>
      <c r="R53" s="78" t="str">
        <f t="shared" si="10"/>
        <v/>
      </c>
      <c r="S53" s="78" t="str">
        <f t="shared" si="11"/>
        <v/>
      </c>
      <c r="T53" s="78" t="str">
        <f t="shared" si="12"/>
        <v>-- 下限年齢</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2211</v>
      </c>
      <c r="D54" s="6" t="s">
        <v>2212</v>
      </c>
      <c r="E54" s="8"/>
      <c r="F54" s="7" t="s">
        <v>1757</v>
      </c>
      <c r="G54" s="7" t="str">
        <f t="shared" si="7"/>
        <v>text</v>
      </c>
      <c r="H54" s="26"/>
      <c r="I54" s="10"/>
      <c r="J54" s="11"/>
      <c r="M54" s="4"/>
      <c r="N54" s="78"/>
      <c r="O54" s="78"/>
      <c r="P54" s="78" t="str">
        <f t="shared" si="8"/>
        <v>,up_age</v>
      </c>
      <c r="Q54" s="78" t="str">
        <f t="shared" si="9"/>
        <v>TEXT</v>
      </c>
      <c r="R54" s="78" t="str">
        <f t="shared" si="10"/>
        <v/>
      </c>
      <c r="S54" s="78" t="str">
        <f t="shared" si="11"/>
        <v/>
      </c>
      <c r="T54" s="78" t="str">
        <f t="shared" si="12"/>
        <v>-- 上限年齢</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2213</v>
      </c>
      <c r="D55" s="6" t="s">
        <v>2214</v>
      </c>
      <c r="E55" s="8"/>
      <c r="F55" s="7" t="s">
        <v>1757</v>
      </c>
      <c r="G55" s="7" t="str">
        <f t="shared" si="7"/>
        <v>text</v>
      </c>
      <c r="H55" s="26"/>
      <c r="I55" s="10"/>
      <c r="J55" s="11"/>
      <c r="M55" s="4"/>
      <c r="N55" s="78"/>
      <c r="O55" s="78"/>
      <c r="P55" s="78" t="str">
        <f t="shared" si="8"/>
        <v>,time_kasan_kubun</v>
      </c>
      <c r="Q55" s="78" t="str">
        <f t="shared" si="9"/>
        <v>TEXT</v>
      </c>
      <c r="R55" s="78" t="str">
        <f t="shared" si="10"/>
        <v/>
      </c>
      <c r="S55" s="78" t="str">
        <f t="shared" si="11"/>
        <v/>
      </c>
      <c r="T55" s="78" t="str">
        <f t="shared" si="12"/>
        <v>-- 時間加算区分</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2215</v>
      </c>
      <c r="D56" s="6" t="s">
        <v>2216</v>
      </c>
      <c r="E56" s="8"/>
      <c r="F56" s="7" t="s">
        <v>1757</v>
      </c>
      <c r="G56" s="7" t="str">
        <f t="shared" si="7"/>
        <v>text</v>
      </c>
      <c r="H56" s="26"/>
      <c r="I56" s="10"/>
      <c r="J56" s="11"/>
      <c r="M56" s="4"/>
      <c r="N56" s="78"/>
      <c r="O56" s="78"/>
      <c r="P56" s="78" t="str">
        <f t="shared" si="8"/>
        <v>,tekigo_kubun</v>
      </c>
      <c r="Q56" s="78" t="str">
        <f t="shared" si="9"/>
        <v>TEXT</v>
      </c>
      <c r="R56" s="78" t="str">
        <f t="shared" si="10"/>
        <v/>
      </c>
      <c r="S56" s="78" t="str">
        <f t="shared" si="11"/>
        <v/>
      </c>
      <c r="T56" s="78" t="str">
        <f t="shared" si="12"/>
        <v>-- 適合区分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2217</v>
      </c>
      <c r="D57" s="6" t="s">
        <v>2218</v>
      </c>
      <c r="E57" s="8"/>
      <c r="F57" s="7" t="s">
        <v>1757</v>
      </c>
      <c r="G57" s="7" t="str">
        <f t="shared" si="7"/>
        <v>text</v>
      </c>
      <c r="H57" s="26"/>
      <c r="I57" s="10"/>
      <c r="J57" s="11"/>
      <c r="M57" s="4"/>
      <c r="N57" s="78"/>
      <c r="O57" s="78"/>
      <c r="P57" s="78" t="str">
        <f t="shared" si="8"/>
        <v>,facility_kijun</v>
      </c>
      <c r="Q57" s="78" t="str">
        <f t="shared" si="9"/>
        <v>TEXT</v>
      </c>
      <c r="R57" s="78" t="str">
        <f t="shared" si="10"/>
        <v/>
      </c>
      <c r="S57" s="78" t="str">
        <f t="shared" si="11"/>
        <v/>
      </c>
      <c r="T57" s="78" t="str">
        <f t="shared" si="12"/>
        <v>-- 対象施設基準</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2219</v>
      </c>
      <c r="D58" s="6" t="s">
        <v>2220</v>
      </c>
      <c r="E58" s="8"/>
      <c r="F58" s="7" t="s">
        <v>1757</v>
      </c>
      <c r="G58" s="7" t="str">
        <f t="shared" si="7"/>
        <v>text</v>
      </c>
      <c r="H58" s="26"/>
      <c r="I58" s="10"/>
      <c r="J58" s="11"/>
      <c r="M58" s="4"/>
      <c r="N58" s="78"/>
      <c r="O58" s="78"/>
      <c r="P58" s="78" t="str">
        <f t="shared" si="8"/>
        <v>,nyuyoji_kasan_kubun</v>
      </c>
      <c r="Q58" s="78" t="str">
        <f t="shared" si="9"/>
        <v>TEXT</v>
      </c>
      <c r="R58" s="78" t="str">
        <f t="shared" si="10"/>
        <v/>
      </c>
      <c r="S58" s="78" t="str">
        <f t="shared" si="11"/>
        <v/>
      </c>
      <c r="T58" s="78" t="str">
        <f t="shared" si="12"/>
        <v>-- 処置乳幼児加算区分</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2221</v>
      </c>
      <c r="D59" s="6" t="s">
        <v>2222</v>
      </c>
      <c r="E59" s="8"/>
      <c r="F59" s="7" t="s">
        <v>1757</v>
      </c>
      <c r="G59" s="7" t="str">
        <f t="shared" si="7"/>
        <v>text</v>
      </c>
      <c r="H59" s="26"/>
      <c r="I59" s="10"/>
      <c r="J59" s="11"/>
      <c r="M59" s="4"/>
      <c r="N59" s="78"/>
      <c r="O59" s="78"/>
      <c r="P59" s="78" t="str">
        <f t="shared" si="8"/>
        <v>,taijuji_kasan_kubun</v>
      </c>
      <c r="Q59" s="78" t="str">
        <f t="shared" si="9"/>
        <v>TEXT</v>
      </c>
      <c r="R59" s="78" t="str">
        <f t="shared" si="10"/>
        <v/>
      </c>
      <c r="S59" s="78" t="str">
        <f t="shared" si="11"/>
        <v/>
      </c>
      <c r="T59" s="78" t="str">
        <f t="shared" si="12"/>
        <v>-- 極低出生体重児加算区分</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milscm_2023_009.sny_202310_backup_mt_shinryo_koi_fuka.taijuji_kasan_kubun IS '極低出生体重児加算区分';</v>
      </c>
    </row>
    <row r="60" spans="1:45" s="25" customFormat="1" ht="30">
      <c r="A60" s="4"/>
      <c r="B60" s="21">
        <f t="shared" si="2"/>
        <v>48</v>
      </c>
      <c r="C60" s="6" t="s">
        <v>2223</v>
      </c>
      <c r="D60" s="6" t="s">
        <v>2224</v>
      </c>
      <c r="E60" s="8"/>
      <c r="F60" s="7" t="s">
        <v>1757</v>
      </c>
      <c r="G60" s="7" t="str">
        <f t="shared" si="7"/>
        <v>text</v>
      </c>
      <c r="H60" s="26"/>
      <c r="I60" s="10"/>
      <c r="J60" s="11"/>
      <c r="M60" s="4"/>
      <c r="N60" s="78"/>
      <c r="O60" s="78"/>
      <c r="P60" s="78" t="str">
        <f t="shared" si="8"/>
        <v>,nyuin_kihon_gensan_shikibetsu</v>
      </c>
      <c r="Q60" s="78" t="str">
        <f t="shared" si="9"/>
        <v>TEXT</v>
      </c>
      <c r="R60" s="78" t="str">
        <f t="shared" si="10"/>
        <v/>
      </c>
      <c r="S60" s="78" t="str">
        <f t="shared" si="11"/>
        <v/>
      </c>
      <c r="T60" s="78" t="str">
        <f t="shared" si="12"/>
        <v>-- 入院基本料等減算対象識別</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2225</v>
      </c>
      <c r="D61" s="6" t="s">
        <v>2226</v>
      </c>
      <c r="E61" s="8"/>
      <c r="F61" s="7" t="s">
        <v>1757</v>
      </c>
      <c r="G61" s="7" t="str">
        <f t="shared" si="7"/>
        <v>text</v>
      </c>
      <c r="H61" s="26"/>
      <c r="I61" s="10"/>
      <c r="J61" s="11"/>
      <c r="M61" s="4"/>
      <c r="N61" s="78"/>
      <c r="O61" s="78"/>
      <c r="P61" s="78" t="str">
        <f t="shared" si="8"/>
        <v>,donor_kubun</v>
      </c>
      <c r="Q61" s="78" t="str">
        <f t="shared" si="9"/>
        <v>TEXT</v>
      </c>
      <c r="R61" s="78" t="str">
        <f t="shared" si="10"/>
        <v/>
      </c>
      <c r="S61" s="78" t="str">
        <f t="shared" si="11"/>
        <v/>
      </c>
      <c r="T61" s="78" t="str">
        <f t="shared" si="12"/>
        <v>-- ドナー分集計区分</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2227</v>
      </c>
      <c r="D62" s="6" t="s">
        <v>2228</v>
      </c>
      <c r="E62" s="8"/>
      <c r="F62" s="7" t="s">
        <v>1757</v>
      </c>
      <c r="G62" s="7" t="str">
        <f t="shared" si="7"/>
        <v>text</v>
      </c>
      <c r="H62" s="26"/>
      <c r="I62" s="10"/>
      <c r="J62" s="11"/>
      <c r="M62" s="4"/>
      <c r="N62" s="78"/>
      <c r="O62" s="78"/>
      <c r="P62" s="78" t="str">
        <f t="shared" si="8"/>
        <v>,kensa_handan_kubun</v>
      </c>
      <c r="Q62" s="78" t="str">
        <f t="shared" si="9"/>
        <v>TEXT</v>
      </c>
      <c r="R62" s="78" t="str">
        <f t="shared" si="10"/>
        <v/>
      </c>
      <c r="S62" s="78" t="str">
        <f t="shared" si="11"/>
        <v/>
      </c>
      <c r="T62" s="78" t="str">
        <f t="shared" si="12"/>
        <v>-- 検査等実施判断区分</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milscm_2023_009.sny_202310_backup_mt_shinryo_koi_fuka.kensa_handan_kubun IS '検査等実施判断区分';</v>
      </c>
    </row>
    <row r="63" spans="1:45" s="25" customFormat="1" ht="30">
      <c r="A63" s="4"/>
      <c r="B63" s="21">
        <f t="shared" si="2"/>
        <v>51</v>
      </c>
      <c r="C63" s="6" t="s">
        <v>2229</v>
      </c>
      <c r="D63" s="6" t="s">
        <v>2230</v>
      </c>
      <c r="E63" s="8"/>
      <c r="F63" s="7" t="s">
        <v>1757</v>
      </c>
      <c r="G63" s="7" t="str">
        <f t="shared" si="7"/>
        <v>text</v>
      </c>
      <c r="H63" s="26"/>
      <c r="I63" s="10"/>
      <c r="J63" s="11"/>
      <c r="M63" s="4"/>
      <c r="N63" s="78"/>
      <c r="O63" s="78"/>
      <c r="P63" s="78" t="str">
        <f t="shared" si="8"/>
        <v>,kensa_handan_group_kubun</v>
      </c>
      <c r="Q63" s="78" t="str">
        <f t="shared" si="9"/>
        <v>TEXT</v>
      </c>
      <c r="R63" s="78" t="str">
        <f t="shared" si="10"/>
        <v/>
      </c>
      <c r="S63" s="78" t="str">
        <f t="shared" si="11"/>
        <v/>
      </c>
      <c r="T63" s="78" t="str">
        <f t="shared" si="12"/>
        <v>-- 検査等実施判断グループ区分</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2231</v>
      </c>
      <c r="D64" s="6" t="s">
        <v>2232</v>
      </c>
      <c r="E64" s="8"/>
      <c r="F64" s="7" t="s">
        <v>1757</v>
      </c>
      <c r="G64" s="7" t="str">
        <f t="shared" si="7"/>
        <v>text</v>
      </c>
      <c r="H64" s="26"/>
      <c r="I64" s="10"/>
      <c r="J64" s="11"/>
      <c r="M64" s="4"/>
      <c r="N64" s="78"/>
      <c r="O64" s="78"/>
      <c r="P64" s="78" t="str">
        <f t="shared" si="8"/>
        <v>,teigen_kubun</v>
      </c>
      <c r="Q64" s="78" t="str">
        <f t="shared" si="9"/>
        <v>TEXT</v>
      </c>
      <c r="R64" s="78" t="str">
        <f t="shared" si="10"/>
        <v/>
      </c>
      <c r="S64" s="78" t="str">
        <f t="shared" si="11"/>
        <v/>
      </c>
      <c r="T64" s="78" t="str">
        <f t="shared" si="12"/>
        <v>-- 逓減対象区分</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2233</v>
      </c>
      <c r="D65" s="6" t="s">
        <v>2234</v>
      </c>
      <c r="E65" s="8"/>
      <c r="F65" s="7" t="s">
        <v>1757</v>
      </c>
      <c r="G65" s="7" t="str">
        <f t="shared" si="7"/>
        <v>text</v>
      </c>
      <c r="H65" s="26"/>
      <c r="I65" s="10"/>
      <c r="J65" s="11"/>
      <c r="M65" s="4"/>
      <c r="N65" s="78"/>
      <c r="O65" s="78"/>
      <c r="P65" s="78" t="str">
        <f t="shared" si="8"/>
        <v>,sekizui_kasan_kubun</v>
      </c>
      <c r="Q65" s="78" t="str">
        <f t="shared" si="9"/>
        <v>TEXT</v>
      </c>
      <c r="R65" s="78" t="str">
        <f t="shared" si="10"/>
        <v/>
      </c>
      <c r="S65" s="78" t="str">
        <f t="shared" si="11"/>
        <v/>
      </c>
      <c r="T65" s="78" t="str">
        <f t="shared" si="12"/>
        <v>-- 脊髄誘発電位測定等加算区分</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2235</v>
      </c>
      <c r="D66" s="6" t="s">
        <v>2236</v>
      </c>
      <c r="E66" s="8"/>
      <c r="F66" s="7" t="s">
        <v>1757</v>
      </c>
      <c r="G66" s="7" t="str">
        <f t="shared" si="7"/>
        <v>text</v>
      </c>
      <c r="H66" s="26"/>
      <c r="I66" s="10"/>
      <c r="J66" s="11"/>
      <c r="M66" s="4"/>
      <c r="N66" s="78"/>
      <c r="O66" s="78"/>
      <c r="P66" s="78" t="str">
        <f t="shared" si="8"/>
        <v>,keibu_kasan_kubun</v>
      </c>
      <c r="Q66" s="78" t="str">
        <f t="shared" si="9"/>
        <v>TEXT</v>
      </c>
      <c r="R66" s="78" t="str">
        <f t="shared" si="10"/>
        <v/>
      </c>
      <c r="S66" s="78" t="str">
        <f t="shared" si="11"/>
        <v/>
      </c>
      <c r="T66" s="78" t="str">
        <f t="shared" si="12"/>
        <v>-- 頸部郭清術併施加算区分</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2237</v>
      </c>
      <c r="D67" s="6" t="s">
        <v>2238</v>
      </c>
      <c r="E67" s="8"/>
      <c r="F67" s="7" t="s">
        <v>1757</v>
      </c>
      <c r="G67" s="7" t="str">
        <f t="shared" si="7"/>
        <v>text</v>
      </c>
      <c r="H67" s="26"/>
      <c r="I67" s="10"/>
      <c r="J67" s="11"/>
      <c r="M67" s="4"/>
      <c r="N67" s="78"/>
      <c r="O67" s="78"/>
      <c r="P67" s="78" t="str">
        <f t="shared" si="8"/>
        <v>,hogoki_kasan_kubun</v>
      </c>
      <c r="Q67" s="78" t="str">
        <f t="shared" si="9"/>
        <v>TEXT</v>
      </c>
      <c r="R67" s="78" t="str">
        <f t="shared" si="10"/>
        <v/>
      </c>
      <c r="S67" s="78" t="str">
        <f t="shared" si="11"/>
        <v/>
      </c>
      <c r="T67" s="78" t="str">
        <f t="shared" si="12"/>
        <v>-- 自動縫合器加算区分</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2239</v>
      </c>
      <c r="D68" s="6" t="s">
        <v>2240</v>
      </c>
      <c r="E68" s="8"/>
      <c r="F68" s="7" t="s">
        <v>1757</v>
      </c>
      <c r="G68" s="7" t="str">
        <f t="shared" si="7"/>
        <v>text</v>
      </c>
      <c r="H68" s="26"/>
      <c r="I68" s="10"/>
      <c r="J68" s="11"/>
      <c r="M68" s="4"/>
      <c r="N68" s="78"/>
      <c r="O68" s="78"/>
      <c r="P68" s="78" t="str">
        <f t="shared" si="8"/>
        <v>,gairai_kasan_kubun</v>
      </c>
      <c r="Q68" s="78" t="str">
        <f t="shared" si="9"/>
        <v>TEXT</v>
      </c>
      <c r="R68" s="78" t="str">
        <f t="shared" si="10"/>
        <v/>
      </c>
      <c r="S68" s="78" t="str">
        <f t="shared" si="11"/>
        <v/>
      </c>
      <c r="T68" s="78" t="str">
        <f t="shared" si="12"/>
        <v>-- 外来管理加算区分</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2241</v>
      </c>
      <c r="D69" s="6" t="s">
        <v>2242</v>
      </c>
      <c r="E69" s="8"/>
      <c r="F69" s="7" t="s">
        <v>1757</v>
      </c>
      <c r="G69" s="7" t="str">
        <f t="shared" si="7"/>
        <v>text</v>
      </c>
      <c r="H69" s="26"/>
      <c r="I69" s="10"/>
      <c r="J69" s="11"/>
      <c r="M69" s="4"/>
      <c r="N69" s="78"/>
      <c r="O69" s="78"/>
      <c r="P69" s="78" t="str">
        <f t="shared" si="8"/>
        <v>,old_tensu_shikibetsu</v>
      </c>
      <c r="Q69" s="78" t="str">
        <f t="shared" si="9"/>
        <v>TEXT</v>
      </c>
      <c r="R69" s="78" t="str">
        <f t="shared" si="10"/>
        <v/>
      </c>
      <c r="S69" s="78" t="str">
        <f t="shared" si="11"/>
        <v/>
      </c>
      <c r="T69" s="78" t="str">
        <f t="shared" si="12"/>
        <v>-- 旧点数識別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milscm_2023_009.sny_202310_backup_mt_shinryo_koi_fuka.old_tensu_shikibetsu IS '旧点数識別';</v>
      </c>
    </row>
    <row r="70" spans="1:45" s="25" customFormat="1" ht="34.799999999999997">
      <c r="A70" s="4"/>
      <c r="B70" s="21">
        <f t="shared" si="2"/>
        <v>58</v>
      </c>
      <c r="C70" s="6" t="s">
        <v>2243</v>
      </c>
      <c r="D70" s="6" t="s">
        <v>2244</v>
      </c>
      <c r="E70" s="8"/>
      <c r="F70" s="7" t="s">
        <v>1764</v>
      </c>
      <c r="G70" s="7" t="str">
        <f t="shared" si="7"/>
        <v>numeric</v>
      </c>
      <c r="H70" s="26"/>
      <c r="I70" s="10"/>
      <c r="J70" s="11" t="s">
        <v>2415</v>
      </c>
      <c r="M70" s="4"/>
      <c r="N70" s="78"/>
      <c r="O70" s="78"/>
      <c r="P70" s="78" t="str">
        <f t="shared" si="8"/>
        <v>,old_tensu</v>
      </c>
      <c r="Q70" s="78" t="str">
        <f t="shared" si="9"/>
        <v>NUMERIC</v>
      </c>
      <c r="R70" s="78" t="str">
        <f t="shared" si="10"/>
        <v/>
      </c>
      <c r="S70" s="78" t="str">
        <f t="shared" si="11"/>
        <v/>
      </c>
      <c r="T70" s="78" t="str">
        <f t="shared" si="12"/>
        <v>-- 旧点数</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2245</v>
      </c>
      <c r="D71" s="6" t="s">
        <v>2246</v>
      </c>
      <c r="E71" s="8"/>
      <c r="F71" s="7" t="s">
        <v>1757</v>
      </c>
      <c r="G71" s="7" t="str">
        <f t="shared" si="7"/>
        <v>text</v>
      </c>
      <c r="H71" s="26"/>
      <c r="I71" s="10"/>
      <c r="J71" s="11"/>
      <c r="M71" s="4"/>
      <c r="N71" s="78"/>
      <c r="O71" s="78"/>
      <c r="P71" s="78" t="str">
        <f t="shared" si="8"/>
        <v>,kanji_henko_kubun</v>
      </c>
      <c r="Q71" s="78" t="str">
        <f t="shared" si="9"/>
        <v>TEXT</v>
      </c>
      <c r="R71" s="78" t="str">
        <f t="shared" si="10"/>
        <v/>
      </c>
      <c r="S71" s="78" t="str">
        <f t="shared" si="11"/>
        <v/>
      </c>
      <c r="T71" s="78" t="str">
        <f t="shared" si="12"/>
        <v>-- 漢字名称変更区分</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2247</v>
      </c>
      <c r="D72" s="6" t="s">
        <v>2248</v>
      </c>
      <c r="E72" s="8"/>
      <c r="F72" s="7" t="s">
        <v>1757</v>
      </c>
      <c r="G72" s="7" t="str">
        <f t="shared" si="7"/>
        <v>text</v>
      </c>
      <c r="H72" s="26"/>
      <c r="I72" s="10"/>
      <c r="J72" s="11"/>
      <c r="M72" s="4"/>
      <c r="N72" s="78"/>
      <c r="O72" s="78"/>
      <c r="P72" s="78" t="str">
        <f t="shared" si="8"/>
        <v>,kana_henko_kubun</v>
      </c>
      <c r="Q72" s="78" t="str">
        <f t="shared" si="9"/>
        <v>TEXT</v>
      </c>
      <c r="R72" s="78" t="str">
        <f t="shared" si="10"/>
        <v/>
      </c>
      <c r="S72" s="78" t="str">
        <f t="shared" si="11"/>
        <v/>
      </c>
      <c r="T72" s="78" t="str">
        <f t="shared" si="12"/>
        <v>-- カナ名称変更区分</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2249</v>
      </c>
      <c r="D73" s="6" t="s">
        <v>2250</v>
      </c>
      <c r="E73" s="8"/>
      <c r="F73" s="7" t="s">
        <v>1757</v>
      </c>
      <c r="G73" s="7" t="str">
        <f t="shared" si="7"/>
        <v>text</v>
      </c>
      <c r="H73" s="26"/>
      <c r="I73" s="10"/>
      <c r="J73" s="11"/>
      <c r="M73" s="4"/>
      <c r="N73" s="78"/>
      <c r="O73" s="78"/>
      <c r="P73" s="78" t="str">
        <f t="shared" si="8"/>
        <v>,kentai_comment</v>
      </c>
      <c r="Q73" s="78" t="str">
        <f t="shared" si="9"/>
        <v>TEXT</v>
      </c>
      <c r="R73" s="78" t="str">
        <f t="shared" si="10"/>
        <v/>
      </c>
      <c r="S73" s="78" t="str">
        <f t="shared" si="11"/>
        <v/>
      </c>
      <c r="T73" s="78" t="str">
        <f t="shared" si="12"/>
        <v>-- 検体検査コメント</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2251</v>
      </c>
      <c r="D74" s="6" t="s">
        <v>2252</v>
      </c>
      <c r="E74" s="8"/>
      <c r="F74" s="7" t="s">
        <v>1757</v>
      </c>
      <c r="G74" s="7" t="str">
        <f t="shared" si="7"/>
        <v>text</v>
      </c>
      <c r="H74" s="26"/>
      <c r="I74" s="10"/>
      <c r="J74" s="11"/>
      <c r="M74" s="4"/>
      <c r="N74" s="78"/>
      <c r="O74" s="78"/>
      <c r="P74" s="78" t="str">
        <f t="shared" si="8"/>
        <v>,tsusoku_kasan_tensu</v>
      </c>
      <c r="Q74" s="78" t="str">
        <f t="shared" si="9"/>
        <v>TEXT</v>
      </c>
      <c r="R74" s="78" t="str">
        <f t="shared" si="10"/>
        <v/>
      </c>
      <c r="S74" s="78" t="str">
        <f t="shared" si="11"/>
        <v/>
      </c>
      <c r="T74" s="78" t="str">
        <f t="shared" si="12"/>
        <v>-- 通則加算所定点数対象区分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2253</v>
      </c>
      <c r="D75" s="6" t="s">
        <v>2254</v>
      </c>
      <c r="E75" s="8"/>
      <c r="F75" s="7" t="s">
        <v>1757</v>
      </c>
      <c r="G75" s="7" t="str">
        <f t="shared" si="7"/>
        <v>text</v>
      </c>
      <c r="H75" s="26"/>
      <c r="I75" s="10"/>
      <c r="J75" s="11"/>
      <c r="M75" s="4"/>
      <c r="N75" s="78"/>
      <c r="O75" s="78"/>
      <c r="P75" s="78" t="str">
        <f t="shared" si="8"/>
        <v>,hokatsu_teigen_kubun</v>
      </c>
      <c r="Q75" s="78" t="str">
        <f t="shared" si="9"/>
        <v>TEXT</v>
      </c>
      <c r="R75" s="78" t="str">
        <f t="shared" si="10"/>
        <v/>
      </c>
      <c r="S75" s="78" t="str">
        <f t="shared" si="11"/>
        <v/>
      </c>
      <c r="T75" s="78" t="str">
        <f t="shared" si="12"/>
        <v>-- 包括逓減区分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milscm_2023_009.sny_202310_backup_mt_shinryo_koi_fuka.hokatsu_teigen_kubun IS '包括逓減区分';</v>
      </c>
    </row>
    <row r="76" spans="1:45" s="25" customFormat="1" ht="30">
      <c r="A76" s="4"/>
      <c r="B76" s="21">
        <f t="shared" si="2"/>
        <v>64</v>
      </c>
      <c r="C76" s="6" t="s">
        <v>2255</v>
      </c>
      <c r="D76" s="6" t="s">
        <v>2256</v>
      </c>
      <c r="E76" s="8"/>
      <c r="F76" s="7" t="s">
        <v>1757</v>
      </c>
      <c r="G76" s="7" t="str">
        <f t="shared" si="7"/>
        <v>text</v>
      </c>
      <c r="H76" s="26"/>
      <c r="I76" s="10"/>
      <c r="J76" s="11"/>
      <c r="M76" s="4"/>
      <c r="N76" s="78"/>
      <c r="O76" s="78"/>
      <c r="P76" s="78" t="str">
        <f t="shared" si="8"/>
        <v>,choonpa_naishikyo_kasan_kubun</v>
      </c>
      <c r="Q76" s="78" t="str">
        <f t="shared" si="9"/>
        <v>TEXT</v>
      </c>
      <c r="R76" s="78" t="str">
        <f t="shared" si="10"/>
        <v/>
      </c>
      <c r="S76" s="78" t="str">
        <f t="shared" si="11"/>
        <v/>
      </c>
      <c r="T76" s="78" t="str">
        <f t="shared" si="12"/>
        <v>-- 超音波内視鏡加算区分</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1980</v>
      </c>
      <c r="D77" s="6" t="s">
        <v>1203</v>
      </c>
      <c r="E77" s="8"/>
      <c r="F77" s="7" t="s">
        <v>1757</v>
      </c>
      <c r="G77" s="7" t="str">
        <f t="shared" si="7"/>
        <v>text</v>
      </c>
      <c r="H77" s="26"/>
      <c r="I77" s="10"/>
      <c r="J77" s="11" t="s">
        <v>2416</v>
      </c>
      <c r="M77" s="4"/>
      <c r="N77" s="78"/>
      <c r="O77" s="78"/>
      <c r="P77" s="78" t="str">
        <f t="shared" si="8"/>
        <v>,reserve4</v>
      </c>
      <c r="Q77" s="78" t="str">
        <f t="shared" si="9"/>
        <v>TEXT</v>
      </c>
      <c r="R77" s="78" t="str">
        <f t="shared" si="10"/>
        <v/>
      </c>
      <c r="S77" s="78" t="str">
        <f t="shared" si="11"/>
        <v/>
      </c>
      <c r="T77" s="78" t="str">
        <f t="shared" si="12"/>
        <v>-- 予備4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milscm_2023_009.sny_202310_backup_mt_shinryo_koi_fuka.reserve4 IS '予備4';</v>
      </c>
    </row>
    <row r="78" spans="1:45" s="25" customFormat="1" ht="30">
      <c r="A78" s="4"/>
      <c r="B78" s="21">
        <f t="shared" si="2"/>
        <v>66</v>
      </c>
      <c r="C78" s="6" t="s">
        <v>2257</v>
      </c>
      <c r="D78" s="6" t="s">
        <v>2258</v>
      </c>
      <c r="E78" s="8"/>
      <c r="F78" s="7" t="s">
        <v>1757</v>
      </c>
      <c r="G78" s="7" t="str">
        <f t="shared" si="7"/>
        <v>text</v>
      </c>
      <c r="H78" s="26"/>
      <c r="I78" s="10"/>
      <c r="J78" s="11"/>
      <c r="M78" s="4"/>
      <c r="N78" s="78"/>
      <c r="O78" s="78"/>
      <c r="P78" s="78" t="str">
        <f t="shared" si="8"/>
        <v>,tensuran_shikibetsu_nyuin</v>
      </c>
      <c r="Q78" s="78" t="str">
        <f t="shared" si="9"/>
        <v>TEXT</v>
      </c>
      <c r="R78" s="78" t="str">
        <f t="shared" si="10"/>
        <v/>
      </c>
      <c r="S78" s="78" t="str">
        <f t="shared" si="11"/>
        <v/>
      </c>
      <c r="T78" s="78" t="str">
        <f t="shared" si="12"/>
        <v>-- 点数欄集計先識別（入院）</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2259</v>
      </c>
      <c r="D79" s="6" t="s">
        <v>2260</v>
      </c>
      <c r="E79" s="8"/>
      <c r="F79" s="7" t="s">
        <v>1757</v>
      </c>
      <c r="G79" s="7" t="str">
        <f t="shared" si="7"/>
        <v>text</v>
      </c>
      <c r="H79" s="26"/>
      <c r="I79" s="10"/>
      <c r="J79" s="11"/>
      <c r="M79" s="4"/>
      <c r="N79" s="78"/>
      <c r="O79" s="78"/>
      <c r="P79" s="78" t="str">
        <f t="shared" si="8"/>
        <v>,fungoki_kasan_kubun</v>
      </c>
      <c r="Q79" s="78" t="str">
        <f t="shared" si="9"/>
        <v>TEXT</v>
      </c>
      <c r="R79" s="78" t="str">
        <f t="shared" si="10"/>
        <v/>
      </c>
      <c r="S79" s="78" t="str">
        <f t="shared" si="11"/>
        <v/>
      </c>
      <c r="T79" s="78" t="str">
        <f t="shared" si="12"/>
        <v>-- 自動吻合器加算区分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milscm_2023_009.sny_202310_backup_mt_shinryo_koi_fuka.fungoki_kasan_kubun IS '自動吻合器加算区分';</v>
      </c>
    </row>
    <row r="80" spans="1:45" s="25" customFormat="1" ht="30">
      <c r="A80" s="4"/>
      <c r="B80" s="21">
        <f t="shared" si="2"/>
        <v>68</v>
      </c>
      <c r="C80" s="6" t="s">
        <v>2261</v>
      </c>
      <c r="D80" s="6" t="s">
        <v>2262</v>
      </c>
      <c r="E80" s="8"/>
      <c r="F80" s="7" t="s">
        <v>1757</v>
      </c>
      <c r="G80" s="7" t="str">
        <f t="shared" si="7"/>
        <v>text</v>
      </c>
      <c r="H80" s="26"/>
      <c r="I80" s="10"/>
      <c r="J80" s="11"/>
      <c r="M80" s="4"/>
      <c r="N80" s="78"/>
      <c r="O80" s="78"/>
      <c r="P80" s="78" t="str">
        <f t="shared" si="8"/>
        <v>,kokuji_shikibetsu_kubun1</v>
      </c>
      <c r="Q80" s="78" t="str">
        <f t="shared" si="9"/>
        <v>TEXT</v>
      </c>
      <c r="R80" s="78" t="str">
        <f t="shared" si="10"/>
        <v/>
      </c>
      <c r="S80" s="78" t="str">
        <f t="shared" si="11"/>
        <v/>
      </c>
      <c r="T80" s="78" t="str">
        <f t="shared" si="12"/>
        <v>-- 告示等識別区分1</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milscm_2023_009.sny_202310_backup_mt_shinryo_koi_fuka.kokuji_shikibetsu_kubun1 IS '告示等識別区分1';</v>
      </c>
    </row>
    <row r="81" spans="1:45" s="25" customFormat="1" ht="30">
      <c r="A81" s="4"/>
      <c r="B81" s="21">
        <f t="shared" si="2"/>
        <v>69</v>
      </c>
      <c r="C81" s="6" t="s">
        <v>2263</v>
      </c>
      <c r="D81" s="6" t="s">
        <v>2264</v>
      </c>
      <c r="E81" s="8"/>
      <c r="F81" s="7" t="s">
        <v>1757</v>
      </c>
      <c r="G81" s="7" t="str">
        <f t="shared" si="7"/>
        <v>text</v>
      </c>
      <c r="H81" s="26"/>
      <c r="I81" s="10"/>
      <c r="J81" s="11"/>
      <c r="M81" s="4"/>
      <c r="N81" s="78"/>
      <c r="O81" s="78"/>
      <c r="P81" s="78" t="str">
        <f t="shared" si="8"/>
        <v>,kokuji_shikibetsu_kubun2</v>
      </c>
      <c r="Q81" s="78" t="str">
        <f t="shared" si="9"/>
        <v>TEXT</v>
      </c>
      <c r="R81" s="78" t="str">
        <f t="shared" si="10"/>
        <v/>
      </c>
      <c r="S81" s="78" t="str">
        <f t="shared" si="11"/>
        <v/>
      </c>
      <c r="T81" s="78" t="str">
        <f t="shared" si="12"/>
        <v>-- 告示等識別区分2</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2265</v>
      </c>
      <c r="D82" s="6" t="s">
        <v>2266</v>
      </c>
      <c r="E82" s="8"/>
      <c r="F82" s="7" t="s">
        <v>1757</v>
      </c>
      <c r="G82" s="7" t="str">
        <f t="shared" ref="G82:G145" si="13">IF(F82="フラグ","boolean",IF(F82="文字列","text",IF(F82="整数","integer",IF(F82="実数","numeric",""))))</f>
        <v>text</v>
      </c>
      <c r="H82" s="26"/>
      <c r="I82" s="10"/>
      <c r="J82" s="11"/>
      <c r="M82" s="4"/>
      <c r="N82" s="78"/>
      <c r="O82" s="78"/>
      <c r="P82" s="78" t="str">
        <f t="shared" ref="P82:P145" si="14">IF(B82&lt;&gt;1,","&amp;D82,D82)</f>
        <v>,chiiki_kasan</v>
      </c>
      <c r="Q82" s="78" t="str">
        <f t="shared" ref="Q82:Q145" si="15">UPPER(G82)</f>
        <v>TEXT</v>
      </c>
      <c r="R82" s="78" t="str">
        <f t="shared" ref="R82:R145" si="16">IF(H82&lt;&gt;"","default "&amp;IF(G82="text","'"&amp;H82&amp;"'",H82),"")</f>
        <v/>
      </c>
      <c r="S82" s="78" t="str">
        <f t="shared" ref="S82:S145" si="17">IF(I82="○","NOT NULL","")</f>
        <v/>
      </c>
      <c r="T82" s="78" t="str">
        <f t="shared" ref="T82:T145" si="18">"-- "&amp;C82</f>
        <v>-- 地域加算</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2267</v>
      </c>
      <c r="D83" s="6" t="s">
        <v>2268</v>
      </c>
      <c r="E83" s="8"/>
      <c r="F83" s="7" t="s">
        <v>1757</v>
      </c>
      <c r="G83" s="7" t="str">
        <f t="shared" si="13"/>
        <v>text</v>
      </c>
      <c r="H83" s="26"/>
      <c r="I83" s="10"/>
      <c r="J83" s="11"/>
      <c r="M83" s="4"/>
      <c r="N83" s="78"/>
      <c r="O83" s="78"/>
      <c r="P83" s="78" t="str">
        <f t="shared" si="14"/>
        <v>,bed_su_kubun</v>
      </c>
      <c r="Q83" s="78" t="str">
        <f t="shared" si="15"/>
        <v>TEXT</v>
      </c>
      <c r="R83" s="78" t="str">
        <f t="shared" si="16"/>
        <v/>
      </c>
      <c r="S83" s="78" t="str">
        <f t="shared" si="17"/>
        <v/>
      </c>
      <c r="T83" s="78" t="str">
        <f t="shared" si="18"/>
        <v>-- 病床数区分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2269</v>
      </c>
      <c r="D84" s="6" t="s">
        <v>2270</v>
      </c>
      <c r="E84" s="8"/>
      <c r="F84" s="7" t="s">
        <v>1757</v>
      </c>
      <c r="G84" s="7" t="str">
        <f t="shared" si="13"/>
        <v>text</v>
      </c>
      <c r="H84" s="26"/>
      <c r="I84" s="10"/>
      <c r="J84" s="11"/>
      <c r="M84" s="4"/>
      <c r="N84" s="78"/>
      <c r="O84" s="78"/>
      <c r="P84" s="78" t="str">
        <f t="shared" si="14"/>
        <v>,facility_kijun_code1</v>
      </c>
      <c r="Q84" s="78" t="str">
        <f t="shared" si="15"/>
        <v>TEXT</v>
      </c>
      <c r="R84" s="78" t="str">
        <f t="shared" si="16"/>
        <v/>
      </c>
      <c r="S84" s="78" t="str">
        <f t="shared" si="17"/>
        <v/>
      </c>
      <c r="T84" s="78" t="str">
        <f t="shared" si="18"/>
        <v>-- 施設基準コード1</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2271</v>
      </c>
      <c r="D85" s="6" t="s">
        <v>2272</v>
      </c>
      <c r="E85" s="8"/>
      <c r="F85" s="7" t="s">
        <v>1757</v>
      </c>
      <c r="G85" s="7" t="str">
        <f t="shared" si="13"/>
        <v>text</v>
      </c>
      <c r="H85" s="26"/>
      <c r="I85" s="10"/>
      <c r="J85" s="11"/>
      <c r="M85" s="4"/>
      <c r="N85" s="78"/>
      <c r="O85" s="78"/>
      <c r="P85" s="78" t="str">
        <f t="shared" si="14"/>
        <v>,facility_kijun_code2</v>
      </c>
      <c r="Q85" s="78" t="str">
        <f t="shared" si="15"/>
        <v>TEXT</v>
      </c>
      <c r="R85" s="78" t="str">
        <f t="shared" si="16"/>
        <v/>
      </c>
      <c r="S85" s="78" t="str">
        <f t="shared" si="17"/>
        <v/>
      </c>
      <c r="T85" s="78" t="str">
        <f t="shared" si="18"/>
        <v>-- 施設基準コード2</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2273</v>
      </c>
      <c r="D86" s="6" t="s">
        <v>2274</v>
      </c>
      <c r="E86" s="8"/>
      <c r="F86" s="7" t="s">
        <v>1757</v>
      </c>
      <c r="G86" s="7" t="str">
        <f t="shared" si="13"/>
        <v>text</v>
      </c>
      <c r="H86" s="26"/>
      <c r="I86" s="10"/>
      <c r="J86" s="11"/>
      <c r="M86" s="4"/>
      <c r="N86" s="78"/>
      <c r="O86" s="78"/>
      <c r="P86" s="78" t="str">
        <f t="shared" si="14"/>
        <v>,facility_kijun_code3</v>
      </c>
      <c r="Q86" s="78" t="str">
        <f t="shared" si="15"/>
        <v>TEXT</v>
      </c>
      <c r="R86" s="78" t="str">
        <f t="shared" si="16"/>
        <v/>
      </c>
      <c r="S86" s="78" t="str">
        <f t="shared" si="17"/>
        <v/>
      </c>
      <c r="T86" s="78" t="str">
        <f t="shared" si="18"/>
        <v>-- 施設基準コード3</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2275</v>
      </c>
      <c r="D87" s="6" t="s">
        <v>2276</v>
      </c>
      <c r="E87" s="8"/>
      <c r="F87" s="7" t="s">
        <v>1757</v>
      </c>
      <c r="G87" s="7" t="str">
        <f t="shared" si="13"/>
        <v>text</v>
      </c>
      <c r="H87" s="26"/>
      <c r="I87" s="10"/>
      <c r="J87" s="11"/>
      <c r="M87" s="4"/>
      <c r="N87" s="78"/>
      <c r="O87" s="78"/>
      <c r="P87" s="78" t="str">
        <f t="shared" si="14"/>
        <v>,facility_kijun_code4</v>
      </c>
      <c r="Q87" s="78" t="str">
        <f t="shared" si="15"/>
        <v>TEXT</v>
      </c>
      <c r="R87" s="78" t="str">
        <f t="shared" si="16"/>
        <v/>
      </c>
      <c r="S87" s="78" t="str">
        <f t="shared" si="17"/>
        <v/>
      </c>
      <c r="T87" s="78" t="str">
        <f t="shared" si="18"/>
        <v>-- 施設基準コード4</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2277</v>
      </c>
      <c r="D88" s="6" t="s">
        <v>2278</v>
      </c>
      <c r="E88" s="8"/>
      <c r="F88" s="7" t="s">
        <v>1757</v>
      </c>
      <c r="G88" s="7" t="str">
        <f t="shared" si="13"/>
        <v>text</v>
      </c>
      <c r="H88" s="26"/>
      <c r="I88" s="10"/>
      <c r="J88" s="11"/>
      <c r="M88" s="4"/>
      <c r="N88" s="78"/>
      <c r="O88" s="78"/>
      <c r="P88" s="78" t="str">
        <f t="shared" si="14"/>
        <v>,facility_kijun_code5</v>
      </c>
      <c r="Q88" s="78" t="str">
        <f t="shared" si="15"/>
        <v>TEXT</v>
      </c>
      <c r="R88" s="78" t="str">
        <f t="shared" si="16"/>
        <v/>
      </c>
      <c r="S88" s="78" t="str">
        <f t="shared" si="17"/>
        <v/>
      </c>
      <c r="T88" s="78" t="str">
        <f t="shared" si="18"/>
        <v>-- 施設基準コード5</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2279</v>
      </c>
      <c r="D89" s="6" t="s">
        <v>2280</v>
      </c>
      <c r="E89" s="8"/>
      <c r="F89" s="7" t="s">
        <v>1757</v>
      </c>
      <c r="G89" s="7" t="str">
        <f t="shared" si="13"/>
        <v>text</v>
      </c>
      <c r="H89" s="26"/>
      <c r="I89" s="10"/>
      <c r="J89" s="11"/>
      <c r="M89" s="4"/>
      <c r="N89" s="78"/>
      <c r="O89" s="78"/>
      <c r="P89" s="78" t="str">
        <f t="shared" si="14"/>
        <v>,facility_kijun_code6</v>
      </c>
      <c r="Q89" s="78" t="str">
        <f t="shared" si="15"/>
        <v>TEXT</v>
      </c>
      <c r="R89" s="78" t="str">
        <f t="shared" si="16"/>
        <v/>
      </c>
      <c r="S89" s="78" t="str">
        <f t="shared" si="17"/>
        <v/>
      </c>
      <c r="T89" s="78" t="str">
        <f t="shared" si="18"/>
        <v>-- 施設基準コード6</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2281</v>
      </c>
      <c r="D90" s="6" t="s">
        <v>2282</v>
      </c>
      <c r="E90" s="8"/>
      <c r="F90" s="7" t="s">
        <v>1757</v>
      </c>
      <c r="G90" s="7" t="str">
        <f t="shared" si="13"/>
        <v>text</v>
      </c>
      <c r="H90" s="26"/>
      <c r="I90" s="10"/>
      <c r="J90" s="11"/>
      <c r="M90" s="4"/>
      <c r="N90" s="78"/>
      <c r="O90" s="78"/>
      <c r="P90" s="78" t="str">
        <f t="shared" si="14"/>
        <v>,facility_kijun_code7</v>
      </c>
      <c r="Q90" s="78" t="str">
        <f t="shared" si="15"/>
        <v>TEXT</v>
      </c>
      <c r="R90" s="78" t="str">
        <f t="shared" si="16"/>
        <v/>
      </c>
      <c r="S90" s="78" t="str">
        <f t="shared" si="17"/>
        <v/>
      </c>
      <c r="T90" s="78" t="str">
        <f t="shared" si="18"/>
        <v>-- 施設基準コード7</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2283</v>
      </c>
      <c r="D91" s="6" t="s">
        <v>2284</v>
      </c>
      <c r="E91" s="8"/>
      <c r="F91" s="7" t="s">
        <v>1757</v>
      </c>
      <c r="G91" s="7" t="str">
        <f t="shared" si="13"/>
        <v>text</v>
      </c>
      <c r="H91" s="26"/>
      <c r="I91" s="10"/>
      <c r="J91" s="11"/>
      <c r="M91" s="4"/>
      <c r="N91" s="78"/>
      <c r="O91" s="78"/>
      <c r="P91" s="78" t="str">
        <f t="shared" si="14"/>
        <v>,facility_kijun_code8</v>
      </c>
      <c r="Q91" s="78" t="str">
        <f t="shared" si="15"/>
        <v>TEXT</v>
      </c>
      <c r="R91" s="78" t="str">
        <f t="shared" si="16"/>
        <v/>
      </c>
      <c r="S91" s="78" t="str">
        <f t="shared" si="17"/>
        <v/>
      </c>
      <c r="T91" s="78" t="str">
        <f t="shared" si="18"/>
        <v>-- 施設基準コード8</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2285</v>
      </c>
      <c r="D92" s="6" t="s">
        <v>2286</v>
      </c>
      <c r="E92" s="8"/>
      <c r="F92" s="7" t="s">
        <v>1757</v>
      </c>
      <c r="G92" s="7" t="str">
        <f t="shared" si="13"/>
        <v>text</v>
      </c>
      <c r="H92" s="26"/>
      <c r="I92" s="10"/>
      <c r="J92" s="11"/>
      <c r="M92" s="4"/>
      <c r="N92" s="78"/>
      <c r="O92" s="78"/>
      <c r="P92" s="78" t="str">
        <f t="shared" si="14"/>
        <v>,facility_kijun_code9</v>
      </c>
      <c r="Q92" s="78" t="str">
        <f t="shared" si="15"/>
        <v>TEXT</v>
      </c>
      <c r="R92" s="78" t="str">
        <f t="shared" si="16"/>
        <v/>
      </c>
      <c r="S92" s="78" t="str">
        <f t="shared" si="17"/>
        <v/>
      </c>
      <c r="T92" s="78" t="str">
        <f t="shared" si="18"/>
        <v>-- 施設基準コード9</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2287</v>
      </c>
      <c r="D93" s="6" t="s">
        <v>2288</v>
      </c>
      <c r="E93" s="8"/>
      <c r="F93" s="7" t="s">
        <v>1757</v>
      </c>
      <c r="G93" s="7" t="str">
        <f t="shared" si="13"/>
        <v>text</v>
      </c>
      <c r="H93" s="26"/>
      <c r="I93" s="10"/>
      <c r="J93" s="11"/>
      <c r="M93" s="4"/>
      <c r="N93" s="78"/>
      <c r="O93" s="78"/>
      <c r="P93" s="78" t="str">
        <f t="shared" si="14"/>
        <v>,facility_kijun_code10</v>
      </c>
      <c r="Q93" s="78" t="str">
        <f t="shared" si="15"/>
        <v>TEXT</v>
      </c>
      <c r="R93" s="78" t="str">
        <f t="shared" si="16"/>
        <v/>
      </c>
      <c r="S93" s="78" t="str">
        <f t="shared" si="17"/>
        <v/>
      </c>
      <c r="T93" s="78" t="str">
        <f t="shared" si="18"/>
        <v>-- 施設基準コード10</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milscm_2023_009.sny_202310_backup_mt_shinryo_koi_fuka.facility_kijun_code10 IS '施設基準コード10';</v>
      </c>
    </row>
    <row r="94" spans="1:45" s="25" customFormat="1" ht="30">
      <c r="A94" s="4"/>
      <c r="B94" s="21">
        <f t="shared" si="2"/>
        <v>82</v>
      </c>
      <c r="C94" s="6" t="s">
        <v>2289</v>
      </c>
      <c r="D94" s="6" t="s">
        <v>2290</v>
      </c>
      <c r="E94" s="8"/>
      <c r="F94" s="7" t="s">
        <v>1757</v>
      </c>
      <c r="G94" s="7" t="str">
        <f t="shared" si="13"/>
        <v>text</v>
      </c>
      <c r="H94" s="26"/>
      <c r="I94" s="10"/>
      <c r="J94" s="11"/>
      <c r="M94" s="4"/>
      <c r="N94" s="78"/>
      <c r="O94" s="78"/>
      <c r="P94" s="78" t="str">
        <f t="shared" si="14"/>
        <v>,choonpa_sekkai_kasan_kubun</v>
      </c>
      <c r="Q94" s="78" t="str">
        <f t="shared" si="15"/>
        <v>TEXT</v>
      </c>
      <c r="R94" s="78" t="str">
        <f t="shared" si="16"/>
        <v/>
      </c>
      <c r="S94" s="78" t="str">
        <f t="shared" si="17"/>
        <v/>
      </c>
      <c r="T94" s="78" t="str">
        <f t="shared" si="18"/>
        <v>-- 超音波凝固切開装置等加算区分</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2291</v>
      </c>
      <c r="D95" s="6" t="s">
        <v>2292</v>
      </c>
      <c r="E95" s="8"/>
      <c r="F95" s="7" t="s">
        <v>1757</v>
      </c>
      <c r="G95" s="7" t="str">
        <f t="shared" si="13"/>
        <v>text</v>
      </c>
      <c r="H95" s="26"/>
      <c r="I95" s="10"/>
      <c r="J95" s="11"/>
      <c r="M95" s="4"/>
      <c r="N95" s="78"/>
      <c r="O95" s="78"/>
      <c r="P95" s="78" t="str">
        <f t="shared" si="14"/>
        <v>,tanki_shujutsu</v>
      </c>
      <c r="Q95" s="78" t="str">
        <f t="shared" si="15"/>
        <v>TEXT</v>
      </c>
      <c r="R95" s="78" t="str">
        <f t="shared" si="16"/>
        <v/>
      </c>
      <c r="S95" s="78" t="str">
        <f t="shared" si="17"/>
        <v/>
      </c>
      <c r="T95" s="78" t="str">
        <f t="shared" si="18"/>
        <v>-- 短期滞在手術</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2293</v>
      </c>
      <c r="D96" s="6" t="s">
        <v>2294</v>
      </c>
      <c r="E96" s="8"/>
      <c r="F96" s="7" t="s">
        <v>1757</v>
      </c>
      <c r="G96" s="7" t="str">
        <f t="shared" si="13"/>
        <v>text</v>
      </c>
      <c r="H96" s="26"/>
      <c r="I96" s="10"/>
      <c r="J96" s="11"/>
      <c r="M96" s="4"/>
      <c r="N96" s="78"/>
      <c r="O96" s="78"/>
      <c r="P96" s="78" t="str">
        <f t="shared" si="14"/>
        <v>,shika_tekiyo_kubun</v>
      </c>
      <c r="Q96" s="78" t="str">
        <f t="shared" si="15"/>
        <v>TEXT</v>
      </c>
      <c r="R96" s="78" t="str">
        <f t="shared" si="16"/>
        <v/>
      </c>
      <c r="S96" s="78" t="str">
        <f t="shared" si="17"/>
        <v/>
      </c>
      <c r="T96" s="78" t="str">
        <f t="shared" si="18"/>
        <v>-- 歯科適用区分</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milscm_2023_009.sny_202310_backup_mt_shinryo_koi_fuka.shika_tekiyo_kubun IS '歯科適用区分';</v>
      </c>
    </row>
    <row r="97" spans="1:45" s="25" customFormat="1" ht="30">
      <c r="A97" s="4"/>
      <c r="B97" s="21">
        <f t="shared" si="2"/>
        <v>85</v>
      </c>
      <c r="C97" s="6" t="s">
        <v>2295</v>
      </c>
      <c r="D97" s="6" t="s">
        <v>2296</v>
      </c>
      <c r="E97" s="8"/>
      <c r="F97" s="7" t="s">
        <v>1757</v>
      </c>
      <c r="G97" s="7" t="str">
        <f t="shared" si="13"/>
        <v>text</v>
      </c>
      <c r="H97" s="26"/>
      <c r="I97" s="10"/>
      <c r="J97" s="11"/>
      <c r="M97" s="4"/>
      <c r="N97" s="78"/>
      <c r="O97" s="78"/>
      <c r="P97" s="78" t="str">
        <f t="shared" si="14"/>
        <v>,code_table_alphabet</v>
      </c>
      <c r="Q97" s="78" t="str">
        <f t="shared" si="15"/>
        <v>TEXT</v>
      </c>
      <c r="R97" s="78" t="str">
        <f t="shared" si="16"/>
        <v/>
      </c>
      <c r="S97" s="78" t="str">
        <f t="shared" si="17"/>
        <v/>
      </c>
      <c r="T97" s="78" t="str">
        <f t="shared" si="18"/>
        <v>-- コード表用番号（アルファベット部）</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milscm_2023_009.sny_202310_backup_mt_shinryo_koi_fuka.code_table_alphabet IS 'コード表用番号（アルファベット部）';</v>
      </c>
    </row>
    <row r="98" spans="1:45" s="25" customFormat="1" ht="30">
      <c r="A98" s="4"/>
      <c r="B98" s="21">
        <f t="shared" si="2"/>
        <v>86</v>
      </c>
      <c r="C98" s="6" t="s">
        <v>2297</v>
      </c>
      <c r="D98" s="6" t="s">
        <v>2298</v>
      </c>
      <c r="E98" s="8"/>
      <c r="F98" s="7" t="s">
        <v>1757</v>
      </c>
      <c r="G98" s="7" t="str">
        <f t="shared" si="13"/>
        <v>text</v>
      </c>
      <c r="H98" s="26"/>
      <c r="I98" s="10"/>
      <c r="J98" s="11"/>
      <c r="M98" s="4"/>
      <c r="N98" s="78"/>
      <c r="O98" s="78"/>
      <c r="P98" s="78" t="str">
        <f t="shared" si="14"/>
        <v>,kokuji_kanren_no_alphabet</v>
      </c>
      <c r="Q98" s="78" t="str">
        <f t="shared" si="15"/>
        <v>TEXT</v>
      </c>
      <c r="R98" s="78" t="str">
        <f t="shared" si="16"/>
        <v/>
      </c>
      <c r="S98" s="78" t="str">
        <f t="shared" si="17"/>
        <v/>
      </c>
      <c r="T98" s="78" t="str">
        <f t="shared" si="18"/>
        <v>-- 告示・通知関連番号（アルファベット部）</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1987</v>
      </c>
      <c r="D99" s="6" t="s">
        <v>1988</v>
      </c>
      <c r="E99" s="8"/>
      <c r="F99" s="7" t="s">
        <v>1757</v>
      </c>
      <c r="G99" s="7" t="str">
        <f t="shared" si="13"/>
        <v>text</v>
      </c>
      <c r="H99" s="26"/>
      <c r="I99" s="10"/>
      <c r="J99" s="11" t="s">
        <v>144</v>
      </c>
      <c r="M99" s="4"/>
      <c r="N99" s="78"/>
      <c r="O99" s="78"/>
      <c r="P99" s="78" t="str">
        <f t="shared" si="14"/>
        <v>,henko_ymd</v>
      </c>
      <c r="Q99" s="78" t="str">
        <f t="shared" si="15"/>
        <v>TEXT</v>
      </c>
      <c r="R99" s="78" t="str">
        <f t="shared" si="16"/>
        <v/>
      </c>
      <c r="S99" s="78" t="str">
        <f t="shared" si="17"/>
        <v/>
      </c>
      <c r="T99" s="78" t="str">
        <f t="shared" si="18"/>
        <v>-- 変更年月日</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1927</v>
      </c>
      <c r="D100" s="6" t="s">
        <v>1989</v>
      </c>
      <c r="E100" s="8"/>
      <c r="F100" s="7" t="s">
        <v>1757</v>
      </c>
      <c r="G100" s="7" t="str">
        <f t="shared" si="13"/>
        <v>text</v>
      </c>
      <c r="H100" s="26"/>
      <c r="I100" s="10"/>
      <c r="J100" s="11" t="s">
        <v>2417</v>
      </c>
      <c r="M100" s="4"/>
      <c r="N100" s="78"/>
      <c r="O100" s="78"/>
      <c r="P100" s="78" t="str">
        <f t="shared" si="14"/>
        <v>,haishi_ymd</v>
      </c>
      <c r="Q100" s="78" t="str">
        <f t="shared" si="15"/>
        <v>TEXT</v>
      </c>
      <c r="R100" s="78" t="str">
        <f t="shared" si="16"/>
        <v/>
      </c>
      <c r="S100" s="78" t="str">
        <f t="shared" si="17"/>
        <v/>
      </c>
      <c r="T100" s="78" t="str">
        <f t="shared" si="18"/>
        <v>-- 廃止年月日</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2037</v>
      </c>
      <c r="D101" s="6" t="s">
        <v>2299</v>
      </c>
      <c r="E101" s="8"/>
      <c r="F101" s="7" t="s">
        <v>1757</v>
      </c>
      <c r="G101" s="7" t="str">
        <f t="shared" si="13"/>
        <v>text</v>
      </c>
      <c r="H101" s="26"/>
      <c r="I101" s="10"/>
      <c r="J101" s="11"/>
      <c r="M101" s="4"/>
      <c r="N101" s="78"/>
      <c r="O101" s="78"/>
      <c r="P101" s="78" t="str">
        <f t="shared" si="14"/>
        <v>,kohyo_junjo_no</v>
      </c>
      <c r="Q101" s="78" t="str">
        <f t="shared" si="15"/>
        <v>TEXT</v>
      </c>
      <c r="R101" s="78" t="str">
        <f t="shared" si="16"/>
        <v/>
      </c>
      <c r="S101" s="78" t="str">
        <f t="shared" si="17"/>
        <v/>
      </c>
      <c r="T101" s="78" t="str">
        <f t="shared" si="18"/>
        <v>-- 公表順序番号</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2300</v>
      </c>
      <c r="D102" s="6" t="s">
        <v>2301</v>
      </c>
      <c r="E102" s="8"/>
      <c r="F102" s="7" t="s">
        <v>1757</v>
      </c>
      <c r="G102" s="7" t="str">
        <f t="shared" si="13"/>
        <v>text</v>
      </c>
      <c r="H102" s="26"/>
      <c r="I102" s="10"/>
      <c r="J102" s="11"/>
      <c r="M102" s="4"/>
      <c r="N102" s="78"/>
      <c r="O102" s="78"/>
      <c r="P102" s="78" t="str">
        <f t="shared" si="14"/>
        <v>,code_table_no_sho</v>
      </c>
      <c r="Q102" s="78" t="str">
        <f t="shared" si="15"/>
        <v>TEXT</v>
      </c>
      <c r="R102" s="78" t="str">
        <f t="shared" si="16"/>
        <v/>
      </c>
      <c r="S102" s="78" t="str">
        <f t="shared" si="17"/>
        <v/>
      </c>
      <c r="T102" s="78" t="str">
        <f t="shared" si="18"/>
        <v xml:space="preserve">-- コード表用番号_章 </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2302</v>
      </c>
      <c r="D103" s="6" t="s">
        <v>2303</v>
      </c>
      <c r="E103" s="8"/>
      <c r="F103" s="7" t="s">
        <v>1757</v>
      </c>
      <c r="G103" s="7" t="str">
        <f t="shared" si="13"/>
        <v>text</v>
      </c>
      <c r="H103" s="26"/>
      <c r="I103" s="10"/>
      <c r="J103" s="11"/>
      <c r="M103" s="4"/>
      <c r="N103" s="78"/>
      <c r="O103" s="78"/>
      <c r="P103" s="78" t="str">
        <f t="shared" si="14"/>
        <v>,code_table_no_bu</v>
      </c>
      <c r="Q103" s="78" t="str">
        <f t="shared" si="15"/>
        <v>TEXT</v>
      </c>
      <c r="R103" s="78" t="str">
        <f t="shared" si="16"/>
        <v/>
      </c>
      <c r="S103" s="78" t="str">
        <f t="shared" si="17"/>
        <v/>
      </c>
      <c r="T103" s="78" t="str">
        <f t="shared" si="18"/>
        <v>-- コード表用番号_部</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2304</v>
      </c>
      <c r="D104" s="6" t="s">
        <v>2305</v>
      </c>
      <c r="E104" s="8"/>
      <c r="F104" s="7" t="s">
        <v>1757</v>
      </c>
      <c r="G104" s="7" t="str">
        <f t="shared" si="13"/>
        <v>text</v>
      </c>
      <c r="H104" s="26"/>
      <c r="I104" s="10"/>
      <c r="J104" s="11"/>
      <c r="M104" s="4"/>
      <c r="N104" s="78"/>
      <c r="O104" s="78"/>
      <c r="P104" s="78" t="str">
        <f t="shared" si="14"/>
        <v>,code_table_no_kubun</v>
      </c>
      <c r="Q104" s="78" t="str">
        <f t="shared" si="15"/>
        <v>TEXT</v>
      </c>
      <c r="R104" s="78" t="str">
        <f t="shared" si="16"/>
        <v/>
      </c>
      <c r="S104" s="78" t="str">
        <f t="shared" si="17"/>
        <v/>
      </c>
      <c r="T104" s="78" t="str">
        <f t="shared" si="18"/>
        <v>-- コード表用番号_区分番号</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2306</v>
      </c>
      <c r="D105" s="6" t="s">
        <v>2307</v>
      </c>
      <c r="E105" s="8"/>
      <c r="F105" s="7" t="s">
        <v>1757</v>
      </c>
      <c r="G105" s="7" t="str">
        <f t="shared" si="13"/>
        <v>text</v>
      </c>
      <c r="H105" s="26"/>
      <c r="I105" s="10"/>
      <c r="J105" s="11"/>
      <c r="M105" s="4"/>
      <c r="N105" s="78"/>
      <c r="O105" s="78"/>
      <c r="P105" s="78" t="str">
        <f t="shared" si="14"/>
        <v>,code_table_no_edaban</v>
      </c>
      <c r="Q105" s="78" t="str">
        <f t="shared" si="15"/>
        <v>TEXT</v>
      </c>
      <c r="R105" s="78" t="str">
        <f t="shared" si="16"/>
        <v/>
      </c>
      <c r="S105" s="78" t="str">
        <f t="shared" si="17"/>
        <v/>
      </c>
      <c r="T105" s="78" t="str">
        <f t="shared" si="18"/>
        <v>-- コード表用番号_枝番</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2308</v>
      </c>
      <c r="D106" s="6" t="s">
        <v>2309</v>
      </c>
      <c r="E106" s="8"/>
      <c r="F106" s="7" t="s">
        <v>1757</v>
      </c>
      <c r="G106" s="7" t="str">
        <f t="shared" si="13"/>
        <v>text</v>
      </c>
      <c r="H106" s="26"/>
      <c r="I106" s="10"/>
      <c r="J106" s="11"/>
      <c r="M106" s="4"/>
      <c r="N106" s="78"/>
      <c r="O106" s="78"/>
      <c r="P106" s="78" t="str">
        <f t="shared" si="14"/>
        <v>,code_table_no_koban</v>
      </c>
      <c r="Q106" s="78" t="str">
        <f t="shared" si="15"/>
        <v>TEXT</v>
      </c>
      <c r="R106" s="78" t="str">
        <f t="shared" si="16"/>
        <v/>
      </c>
      <c r="S106" s="78" t="str">
        <f t="shared" si="17"/>
        <v/>
      </c>
      <c r="T106" s="78" t="str">
        <f t="shared" si="18"/>
        <v>-- コード表用番号_項番</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2310</v>
      </c>
      <c r="D107" s="6" t="s">
        <v>2311</v>
      </c>
      <c r="E107" s="8"/>
      <c r="F107" s="7" t="s">
        <v>1757</v>
      </c>
      <c r="G107" s="7" t="str">
        <f t="shared" si="13"/>
        <v>text</v>
      </c>
      <c r="H107" s="26"/>
      <c r="I107" s="10"/>
      <c r="J107" s="11"/>
      <c r="M107" s="4"/>
      <c r="N107" s="78"/>
      <c r="O107" s="78"/>
      <c r="P107" s="78" t="str">
        <f t="shared" si="14"/>
        <v>,kokuji_kanren_no_sho</v>
      </c>
      <c r="Q107" s="78" t="str">
        <f t="shared" si="15"/>
        <v>TEXT</v>
      </c>
      <c r="R107" s="78" t="str">
        <f t="shared" si="16"/>
        <v/>
      </c>
      <c r="S107" s="78" t="str">
        <f t="shared" si="17"/>
        <v/>
      </c>
      <c r="T107" s="78" t="str">
        <f t="shared" si="18"/>
        <v xml:space="preserve">-- 告示・通知関連番号_章 </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2312</v>
      </c>
      <c r="D108" s="6" t="s">
        <v>2313</v>
      </c>
      <c r="E108" s="8"/>
      <c r="F108" s="7" t="s">
        <v>1757</v>
      </c>
      <c r="G108" s="7" t="str">
        <f t="shared" si="13"/>
        <v>text</v>
      </c>
      <c r="H108" s="26"/>
      <c r="I108" s="10"/>
      <c r="J108" s="11"/>
      <c r="M108" s="4"/>
      <c r="N108" s="78"/>
      <c r="O108" s="78"/>
      <c r="P108" s="78" t="str">
        <f t="shared" si="14"/>
        <v>,kokuji_kanren_no_bu</v>
      </c>
      <c r="Q108" s="78" t="str">
        <f t="shared" si="15"/>
        <v>TEXT</v>
      </c>
      <c r="R108" s="78" t="str">
        <f t="shared" si="16"/>
        <v/>
      </c>
      <c r="S108" s="78" t="str">
        <f t="shared" si="17"/>
        <v/>
      </c>
      <c r="T108" s="78" t="str">
        <f t="shared" si="18"/>
        <v>-- 告示・通知関連番号_部</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2314</v>
      </c>
      <c r="D109" s="6" t="s">
        <v>2315</v>
      </c>
      <c r="E109" s="8"/>
      <c r="F109" s="7" t="s">
        <v>1757</v>
      </c>
      <c r="G109" s="7" t="str">
        <f t="shared" si="13"/>
        <v>text</v>
      </c>
      <c r="H109" s="26"/>
      <c r="I109" s="10"/>
      <c r="J109" s="11"/>
      <c r="M109" s="4"/>
      <c r="N109" s="78"/>
      <c r="O109" s="78"/>
      <c r="P109" s="78" t="str">
        <f t="shared" si="14"/>
        <v>,kokuji_kanren_no_kubun</v>
      </c>
      <c r="Q109" s="78" t="str">
        <f t="shared" si="15"/>
        <v>TEXT</v>
      </c>
      <c r="R109" s="78" t="str">
        <f t="shared" si="16"/>
        <v/>
      </c>
      <c r="S109" s="78" t="str">
        <f t="shared" si="17"/>
        <v/>
      </c>
      <c r="T109" s="78" t="str">
        <f t="shared" si="18"/>
        <v>-- 告示・通知関連番号_区分番号</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milscm_2023_009.sny_202310_backup_mt_shinryo_koi_fuka.kokuji_kanren_no_kubun IS '告示・通知関連番号_区分番号';</v>
      </c>
    </row>
    <row r="110" spans="1:45" s="25" customFormat="1" ht="30">
      <c r="A110" s="4"/>
      <c r="B110" s="21">
        <f t="shared" si="2"/>
        <v>98</v>
      </c>
      <c r="C110" s="6" t="s">
        <v>2316</v>
      </c>
      <c r="D110" s="6" t="s">
        <v>2317</v>
      </c>
      <c r="E110" s="8"/>
      <c r="F110" s="7" t="s">
        <v>1757</v>
      </c>
      <c r="G110" s="7" t="str">
        <f t="shared" si="13"/>
        <v>text</v>
      </c>
      <c r="H110" s="26"/>
      <c r="I110" s="10"/>
      <c r="J110" s="11"/>
      <c r="M110" s="4"/>
      <c r="N110" s="78"/>
      <c r="O110" s="78"/>
      <c r="P110" s="78" t="str">
        <f t="shared" si="14"/>
        <v>,kokuji_kanren_no_edaban</v>
      </c>
      <c r="Q110" s="78" t="str">
        <f t="shared" si="15"/>
        <v>TEXT</v>
      </c>
      <c r="R110" s="78" t="str">
        <f t="shared" si="16"/>
        <v/>
      </c>
      <c r="S110" s="78" t="str">
        <f t="shared" si="17"/>
        <v/>
      </c>
      <c r="T110" s="78" t="str">
        <f t="shared" si="18"/>
        <v>-- 告示・通知関連番号_枝番</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2318</v>
      </c>
      <c r="D111" s="6" t="s">
        <v>2319</v>
      </c>
      <c r="E111" s="8"/>
      <c r="F111" s="7" t="s">
        <v>1757</v>
      </c>
      <c r="G111" s="7" t="str">
        <f t="shared" si="13"/>
        <v>text</v>
      </c>
      <c r="H111" s="26"/>
      <c r="I111" s="10"/>
      <c r="J111" s="11"/>
      <c r="M111" s="4"/>
      <c r="N111" s="78"/>
      <c r="O111" s="78"/>
      <c r="P111" s="78" t="str">
        <f t="shared" si="14"/>
        <v>,kokuji_kanren_no_koban</v>
      </c>
      <c r="Q111" s="78" t="str">
        <f t="shared" si="15"/>
        <v>TEXT</v>
      </c>
      <c r="R111" s="78" t="str">
        <f t="shared" si="16"/>
        <v/>
      </c>
      <c r="S111" s="78" t="str">
        <f t="shared" si="17"/>
        <v/>
      </c>
      <c r="T111" s="78" t="str">
        <f t="shared" si="18"/>
        <v>-- 告示・通知関連番号_項番</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2320</v>
      </c>
      <c r="D112" s="6" t="s">
        <v>2321</v>
      </c>
      <c r="E112" s="8"/>
      <c r="F112" s="7" t="s">
        <v>1757</v>
      </c>
      <c r="G112" s="7" t="str">
        <f t="shared" si="13"/>
        <v>text</v>
      </c>
      <c r="H112" s="26"/>
      <c r="I112" s="10"/>
      <c r="J112" s="11"/>
      <c r="M112" s="4"/>
      <c r="N112" s="78"/>
      <c r="O112" s="78"/>
      <c r="P112" s="78" t="str">
        <f t="shared" si="14"/>
        <v>,age1_kasan_low</v>
      </c>
      <c r="Q112" s="78" t="str">
        <f t="shared" si="15"/>
        <v>TEXT</v>
      </c>
      <c r="R112" s="78" t="str">
        <f t="shared" si="16"/>
        <v/>
      </c>
      <c r="S112" s="78" t="str">
        <f t="shared" si="17"/>
        <v/>
      </c>
      <c r="T112" s="78" t="str">
        <f t="shared" si="18"/>
        <v>-- 年齢加算1下限年齢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2322</v>
      </c>
      <c r="D113" s="6" t="s">
        <v>2323</v>
      </c>
      <c r="E113" s="8"/>
      <c r="F113" s="7" t="s">
        <v>1757</v>
      </c>
      <c r="G113" s="7" t="str">
        <f t="shared" si="13"/>
        <v>text</v>
      </c>
      <c r="H113" s="26"/>
      <c r="I113" s="10"/>
      <c r="J113" s="11"/>
      <c r="M113" s="4"/>
      <c r="N113" s="78"/>
      <c r="O113" s="78"/>
      <c r="P113" s="78" t="str">
        <f t="shared" si="14"/>
        <v>,age1_kasan_up</v>
      </c>
      <c r="Q113" s="78" t="str">
        <f t="shared" si="15"/>
        <v>TEXT</v>
      </c>
      <c r="R113" s="78" t="str">
        <f t="shared" si="16"/>
        <v/>
      </c>
      <c r="S113" s="78" t="str">
        <f t="shared" si="17"/>
        <v/>
      </c>
      <c r="T113" s="78" t="str">
        <f t="shared" si="18"/>
        <v>-- 年齢加算1上限年齢</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2324</v>
      </c>
      <c r="D114" s="6" t="s">
        <v>2325</v>
      </c>
      <c r="E114" s="8"/>
      <c r="F114" s="7" t="s">
        <v>1757</v>
      </c>
      <c r="G114" s="7" t="str">
        <f t="shared" si="13"/>
        <v>text</v>
      </c>
      <c r="H114" s="26"/>
      <c r="I114" s="10"/>
      <c r="J114" s="11"/>
      <c r="M114" s="4"/>
      <c r="N114" s="78"/>
      <c r="O114" s="78"/>
      <c r="P114" s="78" t="str">
        <f t="shared" si="14"/>
        <v>,age1_kasan_koi_code</v>
      </c>
      <c r="Q114" s="78" t="str">
        <f t="shared" si="15"/>
        <v>TEXT</v>
      </c>
      <c r="R114" s="78" t="str">
        <f t="shared" si="16"/>
        <v/>
      </c>
      <c r="S114" s="78" t="str">
        <f t="shared" si="17"/>
        <v/>
      </c>
      <c r="T114" s="78" t="str">
        <f t="shared" si="18"/>
        <v>-- 年齢加算1注加算診療行為コード</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2326</v>
      </c>
      <c r="D115" s="6" t="s">
        <v>2327</v>
      </c>
      <c r="E115" s="8"/>
      <c r="F115" s="7" t="s">
        <v>1757</v>
      </c>
      <c r="G115" s="7" t="str">
        <f t="shared" si="13"/>
        <v>text</v>
      </c>
      <c r="H115" s="26"/>
      <c r="I115" s="10"/>
      <c r="J115" s="11"/>
      <c r="M115" s="4"/>
      <c r="N115" s="78"/>
      <c r="O115" s="78"/>
      <c r="P115" s="78" t="str">
        <f t="shared" si="14"/>
        <v>,age2_kasan_low</v>
      </c>
      <c r="Q115" s="78" t="str">
        <f t="shared" si="15"/>
        <v>TEXT</v>
      </c>
      <c r="R115" s="78" t="str">
        <f t="shared" si="16"/>
        <v/>
      </c>
      <c r="S115" s="78" t="str">
        <f t="shared" si="17"/>
        <v/>
      </c>
      <c r="T115" s="78" t="str">
        <f t="shared" si="18"/>
        <v>-- 年齢加算2下限年齢</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2328</v>
      </c>
      <c r="D116" s="6" t="s">
        <v>2329</v>
      </c>
      <c r="E116" s="8"/>
      <c r="F116" s="7" t="s">
        <v>1757</v>
      </c>
      <c r="G116" s="7" t="str">
        <f t="shared" si="13"/>
        <v>text</v>
      </c>
      <c r="H116" s="26"/>
      <c r="I116" s="10"/>
      <c r="J116" s="11"/>
      <c r="M116" s="4"/>
      <c r="N116" s="78"/>
      <c r="O116" s="78"/>
      <c r="P116" s="78" t="str">
        <f t="shared" si="14"/>
        <v>,age2_kasan_up</v>
      </c>
      <c r="Q116" s="78" t="str">
        <f t="shared" si="15"/>
        <v>TEXT</v>
      </c>
      <c r="R116" s="78" t="str">
        <f t="shared" si="16"/>
        <v/>
      </c>
      <c r="S116" s="78" t="str">
        <f t="shared" si="17"/>
        <v/>
      </c>
      <c r="T116" s="78" t="str">
        <f t="shared" si="18"/>
        <v>-- 年齢加算2上限年齢</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2330</v>
      </c>
      <c r="D117" s="6" t="s">
        <v>2331</v>
      </c>
      <c r="E117" s="8"/>
      <c r="F117" s="7" t="s">
        <v>1757</v>
      </c>
      <c r="G117" s="7" t="str">
        <f t="shared" si="13"/>
        <v>text</v>
      </c>
      <c r="H117" s="26"/>
      <c r="I117" s="10"/>
      <c r="J117" s="11"/>
      <c r="M117" s="4"/>
      <c r="N117" s="78"/>
      <c r="O117" s="78"/>
      <c r="P117" s="78" t="str">
        <f t="shared" si="14"/>
        <v>,age2_kasan_koi_code</v>
      </c>
      <c r="Q117" s="78" t="str">
        <f t="shared" si="15"/>
        <v>TEXT</v>
      </c>
      <c r="R117" s="78" t="str">
        <f t="shared" si="16"/>
        <v/>
      </c>
      <c r="S117" s="78" t="str">
        <f t="shared" si="17"/>
        <v/>
      </c>
      <c r="T117" s="78" t="str">
        <f t="shared" si="18"/>
        <v>-- 年齢加算2注加算診療行為コード</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2332</v>
      </c>
      <c r="D118" s="6" t="s">
        <v>2333</v>
      </c>
      <c r="E118" s="8"/>
      <c r="F118" s="7" t="s">
        <v>1757</v>
      </c>
      <c r="G118" s="7" t="str">
        <f t="shared" si="13"/>
        <v>text</v>
      </c>
      <c r="H118" s="26"/>
      <c r="I118" s="10"/>
      <c r="J118" s="11"/>
      <c r="M118" s="4"/>
      <c r="N118" s="78"/>
      <c r="O118" s="78"/>
      <c r="P118" s="78" t="str">
        <f t="shared" si="14"/>
        <v>,age3_kasan_low</v>
      </c>
      <c r="Q118" s="78" t="str">
        <f t="shared" si="15"/>
        <v>TEXT</v>
      </c>
      <c r="R118" s="78" t="str">
        <f t="shared" si="16"/>
        <v/>
      </c>
      <c r="S118" s="78" t="str">
        <f t="shared" si="17"/>
        <v/>
      </c>
      <c r="T118" s="78" t="str">
        <f t="shared" si="18"/>
        <v>-- 年齢加算3下限年齢</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2334</v>
      </c>
      <c r="D119" s="6" t="s">
        <v>2335</v>
      </c>
      <c r="E119" s="8"/>
      <c r="F119" s="7" t="s">
        <v>1757</v>
      </c>
      <c r="G119" s="7" t="str">
        <f t="shared" si="13"/>
        <v>text</v>
      </c>
      <c r="H119" s="26"/>
      <c r="I119" s="10"/>
      <c r="J119" s="11"/>
      <c r="M119" s="4"/>
      <c r="N119" s="78"/>
      <c r="O119" s="78"/>
      <c r="P119" s="78" t="str">
        <f t="shared" si="14"/>
        <v>,age3_kasan_up</v>
      </c>
      <c r="Q119" s="78" t="str">
        <f t="shared" si="15"/>
        <v>TEXT</v>
      </c>
      <c r="R119" s="78" t="str">
        <f t="shared" si="16"/>
        <v/>
      </c>
      <c r="S119" s="78" t="str">
        <f t="shared" si="17"/>
        <v/>
      </c>
      <c r="T119" s="78" t="str">
        <f t="shared" si="18"/>
        <v>-- 年齢加算3上限年齢</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2336</v>
      </c>
      <c r="D120" s="6" t="s">
        <v>2337</v>
      </c>
      <c r="E120" s="8"/>
      <c r="F120" s="7" t="s">
        <v>1757</v>
      </c>
      <c r="G120" s="7" t="str">
        <f t="shared" si="13"/>
        <v>text</v>
      </c>
      <c r="H120" s="26"/>
      <c r="I120" s="10"/>
      <c r="J120" s="11"/>
      <c r="M120" s="4"/>
      <c r="N120" s="78"/>
      <c r="O120" s="78"/>
      <c r="P120" s="78" t="str">
        <f t="shared" si="14"/>
        <v>,age3_kasan_koi_code</v>
      </c>
      <c r="Q120" s="78" t="str">
        <f t="shared" si="15"/>
        <v>TEXT</v>
      </c>
      <c r="R120" s="78" t="str">
        <f t="shared" si="16"/>
        <v/>
      </c>
      <c r="S120" s="78" t="str">
        <f t="shared" si="17"/>
        <v/>
      </c>
      <c r="T120" s="78" t="str">
        <f t="shared" si="18"/>
        <v>-- 年齢加算3注加算診療行為コード</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2338</v>
      </c>
      <c r="D121" s="6" t="s">
        <v>2339</v>
      </c>
      <c r="E121" s="8"/>
      <c r="F121" s="7" t="s">
        <v>1757</v>
      </c>
      <c r="G121" s="7" t="str">
        <f t="shared" si="13"/>
        <v>text</v>
      </c>
      <c r="H121" s="26"/>
      <c r="I121" s="10"/>
      <c r="J121" s="11"/>
      <c r="M121" s="4"/>
      <c r="N121" s="78"/>
      <c r="O121" s="78"/>
      <c r="P121" s="78" t="str">
        <f t="shared" si="14"/>
        <v>,age4_kasan_low</v>
      </c>
      <c r="Q121" s="78" t="str">
        <f t="shared" si="15"/>
        <v>TEXT</v>
      </c>
      <c r="R121" s="78" t="str">
        <f t="shared" si="16"/>
        <v/>
      </c>
      <c r="S121" s="78" t="str">
        <f t="shared" si="17"/>
        <v/>
      </c>
      <c r="T121" s="78" t="str">
        <f t="shared" si="18"/>
        <v>-- 年齢加算4下限年齢</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2340</v>
      </c>
      <c r="D122" s="6" t="s">
        <v>2341</v>
      </c>
      <c r="E122" s="8"/>
      <c r="F122" s="7" t="s">
        <v>1757</v>
      </c>
      <c r="G122" s="7" t="str">
        <f t="shared" si="13"/>
        <v>text</v>
      </c>
      <c r="H122" s="26"/>
      <c r="I122" s="10"/>
      <c r="J122" s="11"/>
      <c r="M122" s="4"/>
      <c r="N122" s="78"/>
      <c r="O122" s="78"/>
      <c r="P122" s="78" t="str">
        <f t="shared" si="14"/>
        <v>,age4_kasan_up</v>
      </c>
      <c r="Q122" s="78" t="str">
        <f t="shared" si="15"/>
        <v>TEXT</v>
      </c>
      <c r="R122" s="78" t="str">
        <f t="shared" si="16"/>
        <v/>
      </c>
      <c r="S122" s="78" t="str">
        <f t="shared" si="17"/>
        <v/>
      </c>
      <c r="T122" s="78" t="str">
        <f t="shared" si="18"/>
        <v>-- 年齢加算4上限年齢</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2342</v>
      </c>
      <c r="D123" s="6" t="s">
        <v>2343</v>
      </c>
      <c r="E123" s="8"/>
      <c r="F123" s="7" t="s">
        <v>1757</v>
      </c>
      <c r="G123" s="7" t="str">
        <f t="shared" si="13"/>
        <v>text</v>
      </c>
      <c r="H123" s="26"/>
      <c r="I123" s="10"/>
      <c r="J123" s="11"/>
      <c r="M123" s="4"/>
      <c r="N123" s="78"/>
      <c r="O123" s="78"/>
      <c r="P123" s="78" t="str">
        <f t="shared" si="14"/>
        <v>,age4_kasan_koi_code</v>
      </c>
      <c r="Q123" s="78" t="str">
        <f t="shared" si="15"/>
        <v>TEXT</v>
      </c>
      <c r="R123" s="78" t="str">
        <f t="shared" si="16"/>
        <v/>
      </c>
      <c r="S123" s="78" t="str">
        <f t="shared" si="17"/>
        <v/>
      </c>
      <c r="T123" s="78" t="str">
        <f t="shared" si="18"/>
        <v>-- 年齢加算4注加算診療行為コード</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2344</v>
      </c>
      <c r="D124" s="6" t="s">
        <v>2345</v>
      </c>
      <c r="E124" s="8"/>
      <c r="F124" s="7" t="s">
        <v>1757</v>
      </c>
      <c r="G124" s="7" t="str">
        <f t="shared" si="13"/>
        <v>text</v>
      </c>
      <c r="H124" s="26"/>
      <c r="I124" s="10"/>
      <c r="J124" s="11"/>
      <c r="M124" s="4"/>
      <c r="N124" s="78"/>
      <c r="O124" s="78"/>
      <c r="P124" s="78" t="str">
        <f t="shared" si="14"/>
        <v>,ido_kanren</v>
      </c>
      <c r="Q124" s="78" t="str">
        <f t="shared" si="15"/>
        <v>TEXT</v>
      </c>
      <c r="R124" s="78" t="str">
        <f t="shared" si="16"/>
        <v/>
      </c>
      <c r="S124" s="78" t="str">
        <f t="shared" si="17"/>
        <v/>
      </c>
      <c r="T124" s="78" t="str">
        <f t="shared" si="18"/>
        <v>-- 異動関連</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2346</v>
      </c>
      <c r="D125" s="6" t="s">
        <v>2347</v>
      </c>
      <c r="E125" s="8"/>
      <c r="F125" s="7" t="s">
        <v>1757</v>
      </c>
      <c r="G125" s="7" t="str">
        <f t="shared" si="13"/>
        <v>text</v>
      </c>
      <c r="H125" s="26"/>
      <c r="I125" s="10"/>
      <c r="J125" s="11"/>
      <c r="M125" s="4"/>
      <c r="N125" s="78"/>
      <c r="O125" s="78"/>
      <c r="P125" s="78" t="str">
        <f t="shared" si="14"/>
        <v>,kihon_kanji_name</v>
      </c>
      <c r="Q125" s="78" t="str">
        <f t="shared" si="15"/>
        <v>TEXT</v>
      </c>
      <c r="R125" s="78" t="str">
        <f t="shared" si="16"/>
        <v/>
      </c>
      <c r="S125" s="78" t="str">
        <f t="shared" si="17"/>
        <v/>
      </c>
      <c r="T125" s="78" t="str">
        <f t="shared" si="18"/>
        <v>-- 基本漢字名称</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milscm_2023_009.sny_202310_backup_mt_shinryo_koi_fuka.kihon_kanji_name IS '基本漢字名称';</v>
      </c>
    </row>
    <row r="126" spans="1:45" s="25" customFormat="1" ht="30">
      <c r="A126" s="4"/>
      <c r="B126" s="21">
        <f t="shared" si="2"/>
        <v>114</v>
      </c>
      <c r="C126" s="6" t="s">
        <v>2348</v>
      </c>
      <c r="D126" s="6" t="s">
        <v>2349</v>
      </c>
      <c r="E126" s="8"/>
      <c r="F126" s="7" t="s">
        <v>1757</v>
      </c>
      <c r="G126" s="7" t="str">
        <f t="shared" si="13"/>
        <v>text</v>
      </c>
      <c r="H126" s="26"/>
      <c r="I126" s="10"/>
      <c r="J126" s="11"/>
      <c r="M126" s="4"/>
      <c r="N126" s="78"/>
      <c r="O126" s="78"/>
      <c r="P126" s="78" t="str">
        <f t="shared" si="14"/>
        <v>,fukubiko_naishikyo_kasan</v>
      </c>
      <c r="Q126" s="78" t="str">
        <f t="shared" si="15"/>
        <v>TEXT</v>
      </c>
      <c r="R126" s="78" t="str">
        <f t="shared" si="16"/>
        <v/>
      </c>
      <c r="S126" s="78" t="str">
        <f t="shared" si="17"/>
        <v/>
      </c>
      <c r="T126" s="78" t="str">
        <f t="shared" si="18"/>
        <v>-- 副鼻腔手術用内視鏡加算</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milscm_2023_009.sny_202310_backup_mt_shinryo_koi_fuka.fukubiko_naishikyo_kasan IS '副鼻腔手術用内視鏡加算';</v>
      </c>
    </row>
    <row r="127" spans="1:45" s="25" customFormat="1" ht="30">
      <c r="A127" s="4"/>
      <c r="B127" s="21">
        <f t="shared" si="2"/>
        <v>115</v>
      </c>
      <c r="C127" s="6" t="s">
        <v>2350</v>
      </c>
      <c r="D127" s="6" t="s">
        <v>2351</v>
      </c>
      <c r="E127" s="8"/>
      <c r="F127" s="7" t="s">
        <v>1757</v>
      </c>
      <c r="G127" s="7" t="str">
        <f t="shared" si="13"/>
        <v>text</v>
      </c>
      <c r="H127" s="26"/>
      <c r="I127" s="10"/>
      <c r="J127" s="11"/>
      <c r="M127" s="4"/>
      <c r="N127" s="78"/>
      <c r="O127" s="78"/>
      <c r="P127" s="78" t="str">
        <f t="shared" si="14"/>
        <v>,fukubiko_kotsunanbu_kasan</v>
      </c>
      <c r="Q127" s="78" t="str">
        <f t="shared" si="15"/>
        <v>TEXT</v>
      </c>
      <c r="R127" s="78" t="str">
        <f t="shared" si="16"/>
        <v/>
      </c>
      <c r="S127" s="78" t="str">
        <f t="shared" si="17"/>
        <v/>
      </c>
      <c r="T127" s="78" t="str">
        <f t="shared" si="18"/>
        <v>-- 副鼻腔手術用骨軟部組織切除機器加算</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2352</v>
      </c>
      <c r="D128" s="6" t="s">
        <v>2353</v>
      </c>
      <c r="E128" s="8"/>
      <c r="F128" s="7" t="s">
        <v>1757</v>
      </c>
      <c r="G128" s="7" t="str">
        <f t="shared" si="13"/>
        <v>text</v>
      </c>
      <c r="H128" s="26"/>
      <c r="I128" s="10"/>
      <c r="J128" s="11"/>
      <c r="M128" s="4"/>
      <c r="N128" s="78"/>
      <c r="O128" s="78"/>
      <c r="P128" s="78" t="str">
        <f t="shared" si="14"/>
        <v>,long_masui_kasan</v>
      </c>
      <c r="Q128" s="78" t="str">
        <f t="shared" si="15"/>
        <v>TEXT</v>
      </c>
      <c r="R128" s="78" t="str">
        <f t="shared" si="16"/>
        <v/>
      </c>
      <c r="S128" s="78" t="str">
        <f t="shared" si="17"/>
        <v/>
      </c>
      <c r="T128" s="78" t="str">
        <f t="shared" si="18"/>
        <v>-- 長時間麻酔管理加算</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milscm_2023_009.sny_202310_backup_mt_shinryo_koi_fuka.long_masui_kasan IS '長時間麻酔管理加算';</v>
      </c>
    </row>
    <row r="129" spans="1:45" s="25" customFormat="1" ht="52.2">
      <c r="A129" s="4"/>
      <c r="B129" s="21">
        <f t="shared" si="2"/>
        <v>117</v>
      </c>
      <c r="C129" s="6" t="s">
        <v>2354</v>
      </c>
      <c r="D129" s="6" t="s">
        <v>2355</v>
      </c>
      <c r="E129" s="8"/>
      <c r="F129" s="7" t="s">
        <v>1757</v>
      </c>
      <c r="G129" s="7" t="str">
        <f t="shared" si="13"/>
        <v>text</v>
      </c>
      <c r="H129" s="26"/>
      <c r="I129" s="10"/>
      <c r="J129" s="11" t="s">
        <v>2418</v>
      </c>
      <c r="M129" s="4"/>
      <c r="N129" s="78"/>
      <c r="O129" s="78"/>
      <c r="P129" s="78" t="str">
        <f t="shared" si="14"/>
        <v>,tensu_kubun_no</v>
      </c>
      <c r="Q129" s="78" t="str">
        <f t="shared" si="15"/>
        <v>TEXT</v>
      </c>
      <c r="R129" s="78" t="str">
        <f t="shared" si="16"/>
        <v/>
      </c>
      <c r="S129" s="78" t="str">
        <f t="shared" si="17"/>
        <v/>
      </c>
      <c r="T129" s="78" t="str">
        <f t="shared" si="18"/>
        <v>-- 点数表区分番号</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2356</v>
      </c>
      <c r="D130" s="6" t="s">
        <v>2357</v>
      </c>
      <c r="E130" s="8"/>
      <c r="F130" s="7" t="s">
        <v>1757</v>
      </c>
      <c r="G130" s="7" t="str">
        <f t="shared" si="13"/>
        <v>text</v>
      </c>
      <c r="H130" s="26"/>
      <c r="I130" s="10"/>
      <c r="J130" s="11"/>
      <c r="M130" s="4"/>
      <c r="N130" s="78"/>
      <c r="O130" s="78"/>
      <c r="P130" s="78" t="str">
        <f t="shared" si="14"/>
        <v>,monitoring_kasan</v>
      </c>
      <c r="Q130" s="78" t="str">
        <f t="shared" si="15"/>
        <v>TEXT</v>
      </c>
      <c r="R130" s="78" t="str">
        <f t="shared" si="16"/>
        <v/>
      </c>
      <c r="S130" s="78" t="str">
        <f t="shared" si="17"/>
        <v/>
      </c>
      <c r="T130" s="78" t="str">
        <f t="shared" si="18"/>
        <v>-- モニタリング加算</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2358</v>
      </c>
      <c r="D131" s="6" t="s">
        <v>2359</v>
      </c>
      <c r="E131" s="8"/>
      <c r="F131" s="7" t="s">
        <v>1757</v>
      </c>
      <c r="G131" s="7" t="str">
        <f t="shared" si="13"/>
        <v>text</v>
      </c>
      <c r="H131" s="26"/>
      <c r="I131" s="10"/>
      <c r="J131" s="11"/>
      <c r="M131" s="4"/>
      <c r="N131" s="78"/>
      <c r="O131" s="78"/>
      <c r="P131" s="78" t="str">
        <f t="shared" si="14"/>
        <v>,toketsu_hozon_kasan</v>
      </c>
      <c r="Q131" s="78" t="str">
        <f t="shared" si="15"/>
        <v>TEXT</v>
      </c>
      <c r="R131" s="78" t="str">
        <f t="shared" si="16"/>
        <v/>
      </c>
      <c r="S131" s="78" t="str">
        <f t="shared" si="17"/>
        <v/>
      </c>
      <c r="T131" s="78" t="str">
        <f t="shared" si="18"/>
        <v>-- 凍結保存同種組織加算</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2360</v>
      </c>
      <c r="D132" s="6" t="s">
        <v>2361</v>
      </c>
      <c r="E132" s="8"/>
      <c r="F132" s="7" t="s">
        <v>1757</v>
      </c>
      <c r="G132" s="7" t="str">
        <f t="shared" si="13"/>
        <v>text</v>
      </c>
      <c r="H132" s="26"/>
      <c r="I132" s="10"/>
      <c r="J132" s="11"/>
      <c r="M132" s="4"/>
      <c r="N132" s="78"/>
      <c r="O132" s="78"/>
      <c r="P132" s="78" t="str">
        <f t="shared" si="14"/>
        <v>,akusei_shuyo_kasan</v>
      </c>
      <c r="Q132" s="78" t="str">
        <f t="shared" si="15"/>
        <v>TEXT</v>
      </c>
      <c r="R132" s="78" t="str">
        <f t="shared" si="16"/>
        <v/>
      </c>
      <c r="S132" s="78" t="str">
        <f t="shared" si="17"/>
        <v/>
      </c>
      <c r="T132" s="78" t="str">
        <f t="shared" si="18"/>
        <v>-- 悪性腫瘍病理組織標本加算</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2362</v>
      </c>
      <c r="D133" s="6" t="s">
        <v>2363</v>
      </c>
      <c r="E133" s="8"/>
      <c r="F133" s="7" t="s">
        <v>1757</v>
      </c>
      <c r="G133" s="7" t="str">
        <f t="shared" si="13"/>
        <v>text</v>
      </c>
      <c r="H133" s="26"/>
      <c r="I133" s="10"/>
      <c r="J133" s="11"/>
      <c r="M133" s="4"/>
      <c r="N133" s="78"/>
      <c r="O133" s="78"/>
      <c r="P133" s="78" t="str">
        <f t="shared" si="14"/>
        <v>,sogai_kotei_kasan</v>
      </c>
      <c r="Q133" s="78" t="str">
        <f t="shared" si="15"/>
        <v>TEXT</v>
      </c>
      <c r="R133" s="78" t="str">
        <f t="shared" si="16"/>
        <v/>
      </c>
      <c r="S133" s="78" t="str">
        <f t="shared" si="17"/>
        <v/>
      </c>
      <c r="T133" s="78" t="str">
        <f t="shared" si="18"/>
        <v>-- 創外固定器加算</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milscm_2023_009.sny_202310_backup_mt_shinryo_koi_fuka.sogai_kotei_kasan IS '創外固定器加算';</v>
      </c>
    </row>
    <row r="134" spans="1:45" s="25" customFormat="1" ht="30">
      <c r="A134" s="4"/>
      <c r="B134" s="21">
        <f t="shared" si="2"/>
        <v>122</v>
      </c>
      <c r="C134" s="6" t="s">
        <v>2364</v>
      </c>
      <c r="D134" s="6" t="s">
        <v>2365</v>
      </c>
      <c r="E134" s="8"/>
      <c r="F134" s="7" t="s">
        <v>1757</v>
      </c>
      <c r="G134" s="7" t="str">
        <f t="shared" si="13"/>
        <v>text</v>
      </c>
      <c r="H134" s="26"/>
      <c r="I134" s="10"/>
      <c r="J134" s="11"/>
      <c r="M134" s="4"/>
      <c r="N134" s="78"/>
      <c r="O134" s="78"/>
      <c r="P134" s="78" t="str">
        <f t="shared" si="14"/>
        <v>,chouonpa_sessaku_kasan</v>
      </c>
      <c r="Q134" s="78" t="str">
        <f t="shared" si="15"/>
        <v>TEXT</v>
      </c>
      <c r="R134" s="78" t="str">
        <f t="shared" si="16"/>
        <v/>
      </c>
      <c r="S134" s="78" t="str">
        <f t="shared" si="17"/>
        <v/>
      </c>
      <c r="T134" s="78" t="str">
        <f t="shared" si="18"/>
        <v>-- 超音波切削機器加算</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2366</v>
      </c>
      <c r="D135" s="6" t="s">
        <v>2367</v>
      </c>
      <c r="E135" s="8"/>
      <c r="F135" s="7" t="s">
        <v>1757</v>
      </c>
      <c r="G135" s="7" t="str">
        <f t="shared" si="13"/>
        <v>text</v>
      </c>
      <c r="H135" s="26"/>
      <c r="I135" s="10"/>
      <c r="J135" s="11"/>
      <c r="M135" s="4"/>
      <c r="N135" s="78"/>
      <c r="O135" s="78"/>
      <c r="P135" s="78" t="str">
        <f t="shared" si="14"/>
        <v>,sashin_jiheisa_kasan</v>
      </c>
      <c r="Q135" s="78" t="str">
        <f t="shared" si="15"/>
        <v>TEXT</v>
      </c>
      <c r="R135" s="78" t="str">
        <f t="shared" si="16"/>
        <v/>
      </c>
      <c r="S135" s="78" t="str">
        <f t="shared" si="17"/>
        <v/>
      </c>
      <c r="T135" s="78" t="str">
        <f t="shared" si="18"/>
        <v>-- 左心耳閉鎖術併施加算</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milscm_2023_009.sny_202310_backup_mt_shinryo_koi_fuka.sashin_jiheisa_kasan IS '左心耳閉鎖術併施加算';</v>
      </c>
    </row>
    <row r="136" spans="1:45" s="25" customFormat="1" ht="30">
      <c r="A136" s="4"/>
      <c r="B136" s="21">
        <f t="shared" si="2"/>
        <v>124</v>
      </c>
      <c r="C136" s="6" t="s">
        <v>2368</v>
      </c>
      <c r="D136" s="6" t="s">
        <v>2369</v>
      </c>
      <c r="E136" s="8"/>
      <c r="F136" s="7" t="s">
        <v>1757</v>
      </c>
      <c r="G136" s="7" t="str">
        <f t="shared" si="13"/>
        <v>text</v>
      </c>
      <c r="H136" s="26"/>
      <c r="I136" s="10"/>
      <c r="J136" s="11"/>
      <c r="M136" s="4"/>
      <c r="N136" s="78"/>
      <c r="O136" s="78"/>
      <c r="P136" s="78" t="str">
        <f t="shared" si="14"/>
        <v>,gairai_kansen_taisaku_koujo_kubun</v>
      </c>
      <c r="Q136" s="78" t="str">
        <f t="shared" si="15"/>
        <v>TEXT</v>
      </c>
      <c r="R136" s="78" t="str">
        <f t="shared" si="16"/>
        <v/>
      </c>
      <c r="S136" s="78" t="str">
        <f t="shared" si="17"/>
        <v/>
      </c>
      <c r="T136" s="78" t="str">
        <f t="shared" si="18"/>
        <v>-- 外来感染対策向上加算等</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2370</v>
      </c>
      <c r="D137" s="6" t="s">
        <v>2371</v>
      </c>
      <c r="E137" s="8"/>
      <c r="F137" s="7" t="s">
        <v>1757</v>
      </c>
      <c r="G137" s="7" t="str">
        <f t="shared" si="13"/>
        <v>text</v>
      </c>
      <c r="H137" s="26"/>
      <c r="I137" s="10"/>
      <c r="J137" s="11"/>
      <c r="M137" s="4"/>
      <c r="N137" s="78"/>
      <c r="O137" s="78"/>
      <c r="P137" s="78" t="str">
        <f t="shared" si="14"/>
        <v>,jibi_inko_nyuyoji_kasan</v>
      </c>
      <c r="Q137" s="78" t="str">
        <f t="shared" si="15"/>
        <v>TEXT</v>
      </c>
      <c r="R137" s="78" t="str">
        <f t="shared" si="16"/>
        <v/>
      </c>
      <c r="S137" s="78" t="str">
        <f t="shared" si="17"/>
        <v/>
      </c>
      <c r="T137" s="78" t="str">
        <f t="shared" si="18"/>
        <v>-- 耳鼻咽喉科乳幼児処置加算</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milscm_2023_009.sny_202310_backup_mt_shinryo_koi_fuka.jibi_inko_nyuyoji_kasan IS '耳鼻咽喉科乳幼児処置加算';</v>
      </c>
    </row>
    <row r="138" spans="1:45" s="25" customFormat="1" ht="45">
      <c r="A138" s="4"/>
      <c r="B138" s="21">
        <f t="shared" si="2"/>
        <v>126</v>
      </c>
      <c r="C138" s="6" t="s">
        <v>2372</v>
      </c>
      <c r="D138" s="6" t="s">
        <v>2373</v>
      </c>
      <c r="E138" s="8"/>
      <c r="F138" s="7" t="s">
        <v>1757</v>
      </c>
      <c r="G138" s="7" t="str">
        <f t="shared" si="13"/>
        <v>text</v>
      </c>
      <c r="H138" s="26"/>
      <c r="I138" s="10"/>
      <c r="J138" s="11"/>
      <c r="M138" s="4"/>
      <c r="N138" s="78"/>
      <c r="O138" s="78"/>
      <c r="P138" s="78" t="str">
        <f t="shared" si="14"/>
        <v>,jibi_inko_shoni_koukin_tekisei_shiyou_shien_kasan</v>
      </c>
      <c r="Q138" s="78" t="str">
        <f t="shared" si="15"/>
        <v>TEXT</v>
      </c>
      <c r="R138" s="78" t="str">
        <f t="shared" si="16"/>
        <v/>
      </c>
      <c r="S138" s="78" t="str">
        <f t="shared" si="17"/>
        <v/>
      </c>
      <c r="T138" s="78" t="str">
        <f t="shared" si="18"/>
        <v>-- 耳鼻咽喉科小児抗菌薬適正使用支援加算</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0">
      <c r="A139" s="4"/>
      <c r="B139" s="21">
        <f t="shared" si="2"/>
        <v>127</v>
      </c>
      <c r="C139" s="6" t="s">
        <v>2374</v>
      </c>
      <c r="D139" s="6" t="s">
        <v>2375</v>
      </c>
      <c r="E139" s="8"/>
      <c r="F139" s="7" t="s">
        <v>1757</v>
      </c>
      <c r="G139" s="7" t="str">
        <f t="shared" si="13"/>
        <v>text</v>
      </c>
      <c r="H139" s="26"/>
      <c r="I139" s="10"/>
      <c r="J139" s="11"/>
      <c r="M139" s="4"/>
      <c r="N139" s="78"/>
      <c r="O139" s="78"/>
      <c r="P139" s="78" t="str">
        <f t="shared" si="14"/>
        <v>,sekkaisou_kyokusho_inatsu_heisa_shochi_kasan</v>
      </c>
      <c r="Q139" s="78" t="str">
        <f t="shared" si="15"/>
        <v>TEXT</v>
      </c>
      <c r="R139" s="78" t="str">
        <f t="shared" si="16"/>
        <v/>
      </c>
      <c r="S139" s="78" t="str">
        <f t="shared" si="17"/>
        <v/>
      </c>
      <c r="T139" s="78" t="str">
        <f t="shared" si="18"/>
        <v>-- 切開創局所陰圧閉鎖処置機器加算</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2039</v>
      </c>
      <c r="D140" s="6" t="s">
        <v>1208</v>
      </c>
      <c r="E140" s="8"/>
      <c r="F140" s="7" t="s">
        <v>1757</v>
      </c>
      <c r="G140" s="7" t="str">
        <f t="shared" si="13"/>
        <v>text</v>
      </c>
      <c r="H140" s="26"/>
      <c r="I140" s="10"/>
      <c r="J140" s="11" t="s">
        <v>2416</v>
      </c>
      <c r="M140" s="4"/>
      <c r="N140" s="78"/>
      <c r="O140" s="78"/>
      <c r="P140" s="78" t="str">
        <f t="shared" si="14"/>
        <v>,reserve5</v>
      </c>
      <c r="Q140" s="78" t="str">
        <f t="shared" si="15"/>
        <v>TEXT</v>
      </c>
      <c r="R140" s="78" t="str">
        <f t="shared" si="16"/>
        <v/>
      </c>
      <c r="S140" s="78" t="str">
        <f t="shared" si="17"/>
        <v/>
      </c>
      <c r="T140" s="78" t="str">
        <f t="shared" si="18"/>
        <v>-- 予備5</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2040</v>
      </c>
      <c r="D141" s="6" t="s">
        <v>1210</v>
      </c>
      <c r="E141" s="8"/>
      <c r="F141" s="7" t="s">
        <v>1757</v>
      </c>
      <c r="G141" s="7" t="str">
        <f t="shared" si="13"/>
        <v>text</v>
      </c>
      <c r="H141" s="26"/>
      <c r="I141" s="10"/>
      <c r="J141" s="11" t="s">
        <v>2416</v>
      </c>
      <c r="M141" s="4"/>
      <c r="N141" s="78"/>
      <c r="O141" s="78"/>
      <c r="P141" s="78" t="str">
        <f t="shared" si="14"/>
        <v>,reserve6</v>
      </c>
      <c r="Q141" s="78" t="str">
        <f t="shared" si="15"/>
        <v>TEXT</v>
      </c>
      <c r="R141" s="78" t="str">
        <f t="shared" si="16"/>
        <v/>
      </c>
      <c r="S141" s="78" t="str">
        <f t="shared" si="17"/>
        <v/>
      </c>
      <c r="T141" s="78" t="str">
        <f t="shared" si="18"/>
        <v>-- 予備6</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2041</v>
      </c>
      <c r="D142" s="6" t="s">
        <v>1212</v>
      </c>
      <c r="E142" s="8"/>
      <c r="F142" s="7" t="s">
        <v>1757</v>
      </c>
      <c r="G142" s="7" t="str">
        <f t="shared" si="13"/>
        <v>text</v>
      </c>
      <c r="H142" s="26"/>
      <c r="I142" s="10"/>
      <c r="J142" s="11" t="s">
        <v>2416</v>
      </c>
      <c r="M142" s="4"/>
      <c r="N142" s="78"/>
      <c r="O142" s="78"/>
      <c r="P142" s="78" t="str">
        <f t="shared" si="14"/>
        <v>,reserve7</v>
      </c>
      <c r="Q142" s="78" t="str">
        <f t="shared" si="15"/>
        <v>TEXT</v>
      </c>
      <c r="R142" s="78" t="str">
        <f t="shared" si="16"/>
        <v/>
      </c>
      <c r="S142" s="78" t="str">
        <f t="shared" si="17"/>
        <v/>
      </c>
      <c r="T142" s="78" t="str">
        <f t="shared" si="18"/>
        <v>-- 予備7</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2042</v>
      </c>
      <c r="D143" s="6" t="s">
        <v>2043</v>
      </c>
      <c r="E143" s="8"/>
      <c r="F143" s="7" t="s">
        <v>1757</v>
      </c>
      <c r="G143" s="7" t="str">
        <f t="shared" si="13"/>
        <v>text</v>
      </c>
      <c r="H143" s="26"/>
      <c r="I143" s="10"/>
      <c r="J143" s="11" t="s">
        <v>2416</v>
      </c>
      <c r="M143" s="4"/>
      <c r="N143" s="78"/>
      <c r="O143" s="78"/>
      <c r="P143" s="78" t="str">
        <f t="shared" si="14"/>
        <v>,reserve8</v>
      </c>
      <c r="Q143" s="78" t="str">
        <f t="shared" si="15"/>
        <v>TEXT</v>
      </c>
      <c r="R143" s="78" t="str">
        <f t="shared" si="16"/>
        <v/>
      </c>
      <c r="S143" s="78" t="str">
        <f t="shared" si="17"/>
        <v/>
      </c>
      <c r="T143" s="78" t="str">
        <f t="shared" si="18"/>
        <v>-- 予備8</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2376</v>
      </c>
      <c r="D144" s="6" t="s">
        <v>2377</v>
      </c>
      <c r="E144" s="8"/>
      <c r="F144" s="7" t="s">
        <v>1757</v>
      </c>
      <c r="G144" s="7" t="str">
        <f t="shared" si="13"/>
        <v>text</v>
      </c>
      <c r="H144" s="26"/>
      <c r="I144" s="10"/>
      <c r="J144" s="11" t="s">
        <v>2416</v>
      </c>
      <c r="M144" s="4"/>
      <c r="N144" s="78"/>
      <c r="O144" s="78"/>
      <c r="P144" s="78" t="str">
        <f t="shared" si="14"/>
        <v>,reserve9</v>
      </c>
      <c r="Q144" s="78" t="str">
        <f t="shared" si="15"/>
        <v>TEXT</v>
      </c>
      <c r="R144" s="78" t="str">
        <f t="shared" si="16"/>
        <v/>
      </c>
      <c r="S144" s="78" t="str">
        <f t="shared" si="17"/>
        <v/>
      </c>
      <c r="T144" s="78" t="str">
        <f t="shared" si="18"/>
        <v>-- 予備9</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2378</v>
      </c>
      <c r="D145" s="6" t="s">
        <v>2379</v>
      </c>
      <c r="E145" s="8"/>
      <c r="F145" s="7" t="s">
        <v>1757</v>
      </c>
      <c r="G145" s="7" t="str">
        <f t="shared" si="13"/>
        <v>text</v>
      </c>
      <c r="H145" s="26"/>
      <c r="I145" s="10"/>
      <c r="J145" s="11" t="s">
        <v>2416</v>
      </c>
      <c r="M145" s="4"/>
      <c r="N145" s="78"/>
      <c r="O145" s="78"/>
      <c r="P145" s="78" t="str">
        <f t="shared" si="14"/>
        <v>,reserve10</v>
      </c>
      <c r="Q145" s="78" t="str">
        <f t="shared" si="15"/>
        <v>TEXT</v>
      </c>
      <c r="R145" s="78" t="str">
        <f t="shared" si="16"/>
        <v/>
      </c>
      <c r="S145" s="78" t="str">
        <f t="shared" si="17"/>
        <v/>
      </c>
      <c r="T145" s="78" t="str">
        <f t="shared" si="18"/>
        <v>-- 予備10</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2380</v>
      </c>
      <c r="D146" s="6" t="s">
        <v>2381</v>
      </c>
      <c r="E146" s="8"/>
      <c r="F146" s="7" t="s">
        <v>1757</v>
      </c>
      <c r="G146" s="7" t="str">
        <f t="shared" ref="G146:G162" si="19">IF(F146="フラグ","boolean",IF(F146="文字列","text",IF(F146="整数","integer",IF(F146="実数","numeric",""))))</f>
        <v>text</v>
      </c>
      <c r="H146" s="26"/>
      <c r="I146" s="10"/>
      <c r="J146" s="11" t="s">
        <v>2416</v>
      </c>
      <c r="M146" s="4"/>
      <c r="N146" s="78"/>
      <c r="O146" s="78"/>
      <c r="P146" s="78" t="str">
        <f t="shared" ref="P146:P162" si="20">IF(B146&lt;&gt;1,","&amp;D146,D146)</f>
        <v>,reserve11</v>
      </c>
      <c r="Q146" s="78" t="str">
        <f t="shared" ref="Q146:Q162" si="21">UPPER(G146)</f>
        <v>TEXT</v>
      </c>
      <c r="R146" s="78" t="str">
        <f t="shared" ref="R146:R162" si="22">IF(H146&lt;&gt;"","default "&amp;IF(G146="text","'"&amp;H146&amp;"'",H146),"")</f>
        <v/>
      </c>
      <c r="S146" s="78" t="str">
        <f t="shared" ref="S146:S162" si="23">IF(I146="○","NOT NULL","")</f>
        <v/>
      </c>
      <c r="T146" s="78" t="str">
        <f t="shared" ref="T146:T162" si="24">"-- "&amp;C146</f>
        <v>-- 予備11</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2382</v>
      </c>
      <c r="D147" s="6" t="s">
        <v>2383</v>
      </c>
      <c r="E147" s="8"/>
      <c r="F147" s="7" t="s">
        <v>1757</v>
      </c>
      <c r="G147" s="7" t="str">
        <f t="shared" si="19"/>
        <v>text</v>
      </c>
      <c r="H147" s="26"/>
      <c r="I147" s="10"/>
      <c r="J147" s="11" t="s">
        <v>2416</v>
      </c>
      <c r="M147" s="4"/>
      <c r="N147" s="78"/>
      <c r="O147" s="78"/>
      <c r="P147" s="78" t="str">
        <f t="shared" si="20"/>
        <v>,reserve12</v>
      </c>
      <c r="Q147" s="78" t="str">
        <f t="shared" si="21"/>
        <v>TEXT</v>
      </c>
      <c r="R147" s="78" t="str">
        <f t="shared" si="22"/>
        <v/>
      </c>
      <c r="S147" s="78" t="str">
        <f t="shared" si="23"/>
        <v/>
      </c>
      <c r="T147" s="78" t="str">
        <f t="shared" si="24"/>
        <v>-- 予備12</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2384</v>
      </c>
      <c r="D148" s="6" t="s">
        <v>2385</v>
      </c>
      <c r="E148" s="8"/>
      <c r="F148" s="7" t="s">
        <v>1757</v>
      </c>
      <c r="G148" s="7" t="str">
        <f t="shared" si="19"/>
        <v>text</v>
      </c>
      <c r="H148" s="26"/>
      <c r="I148" s="10"/>
      <c r="J148" s="11" t="s">
        <v>2416</v>
      </c>
      <c r="M148" s="4"/>
      <c r="N148" s="78"/>
      <c r="O148" s="78"/>
      <c r="P148" s="78" t="str">
        <f t="shared" si="20"/>
        <v>,reserve13</v>
      </c>
      <c r="Q148" s="78" t="str">
        <f t="shared" si="21"/>
        <v>TEXT</v>
      </c>
      <c r="R148" s="78" t="str">
        <f t="shared" si="22"/>
        <v/>
      </c>
      <c r="S148" s="78" t="str">
        <f t="shared" si="23"/>
        <v/>
      </c>
      <c r="T148" s="78" t="str">
        <f t="shared" si="24"/>
        <v>-- 予備13</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2386</v>
      </c>
      <c r="D149" s="6" t="s">
        <v>2387</v>
      </c>
      <c r="E149" s="8"/>
      <c r="F149" s="7" t="s">
        <v>1757</v>
      </c>
      <c r="G149" s="7" t="str">
        <f t="shared" si="19"/>
        <v>text</v>
      </c>
      <c r="H149" s="26"/>
      <c r="I149" s="10"/>
      <c r="J149" s="11" t="s">
        <v>2416</v>
      </c>
      <c r="M149" s="4"/>
      <c r="N149" s="78"/>
      <c r="O149" s="78"/>
      <c r="P149" s="78" t="str">
        <f t="shared" si="20"/>
        <v>,reserve14</v>
      </c>
      <c r="Q149" s="78" t="str">
        <f t="shared" si="21"/>
        <v>TEXT</v>
      </c>
      <c r="R149" s="78" t="str">
        <f t="shared" si="22"/>
        <v/>
      </c>
      <c r="S149" s="78" t="str">
        <f t="shared" si="23"/>
        <v/>
      </c>
      <c r="T149" s="78" t="str">
        <f t="shared" si="24"/>
        <v>-- 予備14</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2388</v>
      </c>
      <c r="D150" s="6" t="s">
        <v>2389</v>
      </c>
      <c r="E150" s="8"/>
      <c r="F150" s="7" t="s">
        <v>1757</v>
      </c>
      <c r="G150" s="7" t="str">
        <f t="shared" si="19"/>
        <v>text</v>
      </c>
      <c r="H150" s="26"/>
      <c r="I150" s="10"/>
      <c r="J150" s="11" t="s">
        <v>2416</v>
      </c>
      <c r="M150" s="4"/>
      <c r="N150" s="78"/>
      <c r="O150" s="78"/>
      <c r="P150" s="78" t="str">
        <f t="shared" si="20"/>
        <v>,reserve15</v>
      </c>
      <c r="Q150" s="78" t="str">
        <f t="shared" si="21"/>
        <v>TEXT</v>
      </c>
      <c r="R150" s="78" t="str">
        <f t="shared" si="22"/>
        <v/>
      </c>
      <c r="S150" s="78" t="str">
        <f t="shared" si="23"/>
        <v/>
      </c>
      <c r="T150" s="78" t="str">
        <f t="shared" si="24"/>
        <v>-- 予備15</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2390</v>
      </c>
      <c r="D151" s="6" t="s">
        <v>2391</v>
      </c>
      <c r="E151" s="8"/>
      <c r="F151" s="7" t="s">
        <v>1757</v>
      </c>
      <c r="G151" s="7" t="str">
        <f t="shared" si="19"/>
        <v>text</v>
      </c>
      <c r="H151" s="26"/>
      <c r="I151" s="10"/>
      <c r="J151" s="11" t="s">
        <v>2416</v>
      </c>
      <c r="M151" s="4"/>
      <c r="N151" s="78"/>
      <c r="O151" s="78"/>
      <c r="P151" s="78" t="str">
        <f t="shared" si="20"/>
        <v>,reserve16</v>
      </c>
      <c r="Q151" s="78" t="str">
        <f t="shared" si="21"/>
        <v>TEXT</v>
      </c>
      <c r="R151" s="78" t="str">
        <f t="shared" si="22"/>
        <v/>
      </c>
      <c r="S151" s="78" t="str">
        <f t="shared" si="23"/>
        <v/>
      </c>
      <c r="T151" s="78" t="str">
        <f t="shared" si="24"/>
        <v>-- 予備16</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2392</v>
      </c>
      <c r="D152" s="6" t="s">
        <v>2393</v>
      </c>
      <c r="E152" s="8"/>
      <c r="F152" s="7" t="s">
        <v>1757</v>
      </c>
      <c r="G152" s="7" t="str">
        <f t="shared" si="19"/>
        <v>text</v>
      </c>
      <c r="H152" s="26"/>
      <c r="I152" s="10"/>
      <c r="J152" s="11" t="s">
        <v>2416</v>
      </c>
      <c r="M152" s="4"/>
      <c r="N152" s="78"/>
      <c r="O152" s="78"/>
      <c r="P152" s="78" t="str">
        <f t="shared" si="20"/>
        <v>,reserve17</v>
      </c>
      <c r="Q152" s="78" t="str">
        <f t="shared" si="21"/>
        <v>TEXT</v>
      </c>
      <c r="R152" s="78" t="str">
        <f t="shared" si="22"/>
        <v/>
      </c>
      <c r="S152" s="78" t="str">
        <f t="shared" si="23"/>
        <v/>
      </c>
      <c r="T152" s="78" t="str">
        <f t="shared" si="24"/>
        <v>-- 予備17</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2394</v>
      </c>
      <c r="D153" s="6" t="s">
        <v>2395</v>
      </c>
      <c r="E153" s="8"/>
      <c r="F153" s="7" t="s">
        <v>1757</v>
      </c>
      <c r="G153" s="7" t="str">
        <f t="shared" si="19"/>
        <v>text</v>
      </c>
      <c r="H153" s="26"/>
      <c r="I153" s="10"/>
      <c r="J153" s="11" t="s">
        <v>2416</v>
      </c>
      <c r="M153" s="4"/>
      <c r="N153" s="78"/>
      <c r="O153" s="78"/>
      <c r="P153" s="78" t="str">
        <f t="shared" si="20"/>
        <v>,reserve18</v>
      </c>
      <c r="Q153" s="78" t="str">
        <f t="shared" si="21"/>
        <v>TEXT</v>
      </c>
      <c r="R153" s="78" t="str">
        <f t="shared" si="22"/>
        <v/>
      </c>
      <c r="S153" s="78" t="str">
        <f t="shared" si="23"/>
        <v/>
      </c>
      <c r="T153" s="78" t="str">
        <f t="shared" si="24"/>
        <v>-- 予備18</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2396</v>
      </c>
      <c r="D154" s="6" t="s">
        <v>2397</v>
      </c>
      <c r="E154" s="8"/>
      <c r="F154" s="7" t="s">
        <v>1757</v>
      </c>
      <c r="G154" s="7" t="str">
        <f t="shared" si="19"/>
        <v>text</v>
      </c>
      <c r="H154" s="26"/>
      <c r="I154" s="10"/>
      <c r="J154" s="11" t="s">
        <v>2416</v>
      </c>
      <c r="M154" s="4"/>
      <c r="N154" s="78"/>
      <c r="O154" s="78"/>
      <c r="P154" s="78" t="str">
        <f t="shared" si="20"/>
        <v>,reserve19</v>
      </c>
      <c r="Q154" s="78" t="str">
        <f t="shared" si="21"/>
        <v>TEXT</v>
      </c>
      <c r="R154" s="78" t="str">
        <f t="shared" si="22"/>
        <v/>
      </c>
      <c r="S154" s="78" t="str">
        <f t="shared" si="23"/>
        <v/>
      </c>
      <c r="T154" s="78" t="str">
        <f t="shared" si="24"/>
        <v>-- 予備19</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2398</v>
      </c>
      <c r="D155" s="6" t="s">
        <v>2399</v>
      </c>
      <c r="E155" s="8"/>
      <c r="F155" s="7" t="s">
        <v>1757</v>
      </c>
      <c r="G155" s="7" t="str">
        <f t="shared" si="19"/>
        <v>text</v>
      </c>
      <c r="H155" s="26"/>
      <c r="I155" s="10"/>
      <c r="J155" s="11" t="s">
        <v>2416</v>
      </c>
      <c r="M155" s="4"/>
      <c r="N155" s="78"/>
      <c r="O155" s="78"/>
      <c r="P155" s="78" t="str">
        <f t="shared" si="20"/>
        <v>,reserve20</v>
      </c>
      <c r="Q155" s="78" t="str">
        <f t="shared" si="21"/>
        <v>TEXT</v>
      </c>
      <c r="R155" s="78" t="str">
        <f t="shared" si="22"/>
        <v/>
      </c>
      <c r="S155" s="78" t="str">
        <f t="shared" si="23"/>
        <v/>
      </c>
      <c r="T155" s="78" t="str">
        <f t="shared" si="24"/>
        <v>-- 予備20</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2400</v>
      </c>
      <c r="D156" s="6" t="s">
        <v>2401</v>
      </c>
      <c r="E156" s="8"/>
      <c r="F156" s="7" t="s">
        <v>1757</v>
      </c>
      <c r="G156" s="7" t="str">
        <f t="shared" si="19"/>
        <v>text</v>
      </c>
      <c r="H156" s="26"/>
      <c r="I156" s="10"/>
      <c r="J156" s="11" t="s">
        <v>2416</v>
      </c>
      <c r="M156" s="4"/>
      <c r="N156" s="78"/>
      <c r="O156" s="78"/>
      <c r="P156" s="78" t="str">
        <f t="shared" si="20"/>
        <v>,reserve21</v>
      </c>
      <c r="Q156" s="78" t="str">
        <f t="shared" si="21"/>
        <v>TEXT</v>
      </c>
      <c r="R156" s="78" t="str">
        <f t="shared" si="22"/>
        <v/>
      </c>
      <c r="S156" s="78" t="str">
        <f t="shared" si="23"/>
        <v/>
      </c>
      <c r="T156" s="78" t="str">
        <f t="shared" si="24"/>
        <v>-- 予備21</v>
      </c>
      <c r="U156" s="4"/>
      <c r="AA156" s="4"/>
      <c r="AB156" s="4"/>
      <c r="AC156" s="4"/>
      <c r="AD156" s="4"/>
      <c r="AE156" s="4"/>
      <c r="AF156" s="4"/>
      <c r="AG156" s="4"/>
      <c r="AH156" s="4"/>
      <c r="AI156" s="4"/>
      <c r="AJ156" s="78" t="str">
        <f>IF(E156="○",IF(COUNTA(E$13:E156)=1,"",",")&amp;D156,"")</f>
        <v/>
      </c>
      <c r="AK156" s="4"/>
      <c r="AL156" s="4"/>
      <c r="AM156" s="4"/>
      <c r="AN156" s="4"/>
      <c r="AO156" s="4"/>
      <c r="AP156" s="4"/>
      <c r="AQ156" s="4"/>
      <c r="AR156" s="4"/>
      <c r="AS156" s="78"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2402</v>
      </c>
      <c r="D157" s="6" t="s">
        <v>2403</v>
      </c>
      <c r="E157" s="8"/>
      <c r="F157" s="7" t="s">
        <v>1757</v>
      </c>
      <c r="G157" s="7" t="str">
        <f t="shared" si="19"/>
        <v>text</v>
      </c>
      <c r="H157" s="26"/>
      <c r="I157" s="10"/>
      <c r="J157" s="11" t="s">
        <v>2416</v>
      </c>
      <c r="M157" s="4"/>
      <c r="N157" s="78"/>
      <c r="O157" s="78"/>
      <c r="P157" s="78" t="str">
        <f t="shared" si="20"/>
        <v>,reserve22</v>
      </c>
      <c r="Q157" s="78" t="str">
        <f t="shared" si="21"/>
        <v>TEXT</v>
      </c>
      <c r="R157" s="78" t="str">
        <f t="shared" si="22"/>
        <v/>
      </c>
      <c r="S157" s="78" t="str">
        <f t="shared" si="23"/>
        <v/>
      </c>
      <c r="T157" s="78" t="str">
        <f t="shared" si="24"/>
        <v>-- 予備22</v>
      </c>
      <c r="U157" s="4"/>
      <c r="AA157" s="4"/>
      <c r="AB157" s="4"/>
      <c r="AC157" s="4"/>
      <c r="AD157" s="4"/>
      <c r="AE157" s="4"/>
      <c r="AF157" s="4"/>
      <c r="AG157" s="4"/>
      <c r="AH157" s="4"/>
      <c r="AI157" s="4"/>
      <c r="AJ157" s="78" t="str">
        <f>IF(E157="○",IF(COUNTA(E$13:E157)=1,"",",")&amp;D157,"")</f>
        <v/>
      </c>
      <c r="AK157" s="4"/>
      <c r="AL157" s="4"/>
      <c r="AM157" s="4"/>
      <c r="AN157" s="4"/>
      <c r="AO157" s="4"/>
      <c r="AP157" s="4"/>
      <c r="AQ157" s="4"/>
      <c r="AR157" s="4"/>
      <c r="AS157" s="78"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2404</v>
      </c>
      <c r="D158" s="6" t="s">
        <v>2405</v>
      </c>
      <c r="E158" s="8"/>
      <c r="F158" s="7" t="s">
        <v>1757</v>
      </c>
      <c r="G158" s="7" t="str">
        <f t="shared" si="19"/>
        <v>text</v>
      </c>
      <c r="H158" s="26"/>
      <c r="I158" s="10"/>
      <c r="J158" s="11" t="s">
        <v>2416</v>
      </c>
      <c r="M158" s="4"/>
      <c r="N158" s="78"/>
      <c r="O158" s="78"/>
      <c r="P158" s="78" t="str">
        <f t="shared" si="20"/>
        <v>,reserve23</v>
      </c>
      <c r="Q158" s="78" t="str">
        <f t="shared" si="21"/>
        <v>TEXT</v>
      </c>
      <c r="R158" s="78" t="str">
        <f t="shared" si="22"/>
        <v/>
      </c>
      <c r="S158" s="78" t="str">
        <f t="shared" si="23"/>
        <v/>
      </c>
      <c r="T158" s="78" t="str">
        <f t="shared" si="24"/>
        <v>-- 予備23</v>
      </c>
      <c r="U158" s="4"/>
      <c r="AA158" s="4"/>
      <c r="AB158" s="4"/>
      <c r="AC158" s="4"/>
      <c r="AD158" s="4"/>
      <c r="AE158" s="4"/>
      <c r="AF158" s="4"/>
      <c r="AG158" s="4"/>
      <c r="AH158" s="4"/>
      <c r="AI158" s="4"/>
      <c r="AJ158" s="78" t="str">
        <f>IF(E158="○",IF(COUNTA(E$13:E158)=1,"",",")&amp;D158,"")</f>
        <v/>
      </c>
      <c r="AK158" s="4"/>
      <c r="AL158" s="4"/>
      <c r="AM158" s="4"/>
      <c r="AN158" s="4"/>
      <c r="AO158" s="4"/>
      <c r="AP158" s="4"/>
      <c r="AQ158" s="4"/>
      <c r="AR158" s="4"/>
      <c r="AS158" s="78"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2406</v>
      </c>
      <c r="D159" s="6" t="s">
        <v>2407</v>
      </c>
      <c r="E159" s="8"/>
      <c r="F159" s="7" t="s">
        <v>1757</v>
      </c>
      <c r="G159" s="7" t="str">
        <f t="shared" si="19"/>
        <v>text</v>
      </c>
      <c r="H159" s="26"/>
      <c r="I159" s="10"/>
      <c r="J159" s="11" t="s">
        <v>2416</v>
      </c>
      <c r="M159" s="4"/>
      <c r="N159" s="78"/>
      <c r="O159" s="78"/>
      <c r="P159" s="78" t="str">
        <f t="shared" si="20"/>
        <v>,reserve24</v>
      </c>
      <c r="Q159" s="78" t="str">
        <f t="shared" si="21"/>
        <v>TEXT</v>
      </c>
      <c r="R159" s="78" t="str">
        <f t="shared" si="22"/>
        <v/>
      </c>
      <c r="S159" s="78" t="str">
        <f t="shared" si="23"/>
        <v/>
      </c>
      <c r="T159" s="78" t="str">
        <f t="shared" si="24"/>
        <v>-- 予備24</v>
      </c>
      <c r="U159" s="4"/>
      <c r="AA159" s="4"/>
      <c r="AB159" s="4"/>
      <c r="AC159" s="4"/>
      <c r="AD159" s="4"/>
      <c r="AE159" s="4"/>
      <c r="AF159" s="4"/>
      <c r="AG159" s="4"/>
      <c r="AH159" s="4"/>
      <c r="AI159" s="4"/>
      <c r="AJ159" s="78" t="str">
        <f>IF(E159="○",IF(COUNTA(E$13:E159)=1,"",",")&amp;D159,"")</f>
        <v/>
      </c>
      <c r="AK159" s="4"/>
      <c r="AL159" s="4"/>
      <c r="AM159" s="4"/>
      <c r="AN159" s="4"/>
      <c r="AO159" s="4"/>
      <c r="AP159" s="4"/>
      <c r="AQ159" s="4"/>
      <c r="AR159" s="4"/>
      <c r="AS159" s="78"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2408</v>
      </c>
      <c r="D160" s="6" t="s">
        <v>2409</v>
      </c>
      <c r="E160" s="8"/>
      <c r="F160" s="7" t="s">
        <v>1757</v>
      </c>
      <c r="G160" s="7" t="str">
        <f t="shared" si="19"/>
        <v>text</v>
      </c>
      <c r="H160" s="26"/>
      <c r="I160" s="10"/>
      <c r="J160" s="11" t="s">
        <v>2416</v>
      </c>
      <c r="M160" s="4"/>
      <c r="N160" s="78"/>
      <c r="O160" s="78"/>
      <c r="P160" s="78" t="str">
        <f t="shared" si="20"/>
        <v>,reserve25</v>
      </c>
      <c r="Q160" s="78" t="str">
        <f t="shared" si="21"/>
        <v>TEXT</v>
      </c>
      <c r="R160" s="78" t="str">
        <f t="shared" si="22"/>
        <v/>
      </c>
      <c r="S160" s="78" t="str">
        <f t="shared" si="23"/>
        <v/>
      </c>
      <c r="T160" s="78" t="str">
        <f t="shared" si="24"/>
        <v>-- 予備25</v>
      </c>
      <c r="U160" s="4"/>
      <c r="AA160" s="4"/>
      <c r="AB160" s="4"/>
      <c r="AC160" s="4"/>
      <c r="AD160" s="4"/>
      <c r="AE160" s="4"/>
      <c r="AF160" s="4"/>
      <c r="AG160" s="4"/>
      <c r="AH160" s="4"/>
      <c r="AI160" s="4"/>
      <c r="AJ160" s="78" t="str">
        <f>IF(E160="○",IF(COUNTA(E$13:E160)=1,"",",")&amp;D160,"")</f>
        <v/>
      </c>
      <c r="AK160" s="4"/>
      <c r="AL160" s="4"/>
      <c r="AM160" s="4"/>
      <c r="AN160" s="4"/>
      <c r="AO160" s="4"/>
      <c r="AP160" s="4"/>
      <c r="AQ160" s="4"/>
      <c r="AR160" s="4"/>
      <c r="AS160" s="78"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2410</v>
      </c>
      <c r="D161" s="6" t="s">
        <v>2411</v>
      </c>
      <c r="E161" s="8"/>
      <c r="F161" s="7" t="s">
        <v>1757</v>
      </c>
      <c r="G161" s="7" t="str">
        <f t="shared" si="19"/>
        <v>text</v>
      </c>
      <c r="H161" s="26"/>
      <c r="I161" s="10"/>
      <c r="J161" s="11" t="s">
        <v>2416</v>
      </c>
      <c r="M161" s="4"/>
      <c r="N161" s="78"/>
      <c r="O161" s="78"/>
      <c r="P161" s="78" t="str">
        <f t="shared" si="20"/>
        <v>,reserve26</v>
      </c>
      <c r="Q161" s="78" t="str">
        <f t="shared" si="21"/>
        <v>TEXT</v>
      </c>
      <c r="R161" s="78" t="str">
        <f t="shared" si="22"/>
        <v/>
      </c>
      <c r="S161" s="78" t="str">
        <f t="shared" si="23"/>
        <v/>
      </c>
      <c r="T161" s="78" t="str">
        <f t="shared" si="24"/>
        <v>-- 予備26</v>
      </c>
      <c r="U161" s="4"/>
      <c r="AA161" s="4"/>
      <c r="AB161" s="4"/>
      <c r="AC161" s="4"/>
      <c r="AD161" s="4"/>
      <c r="AE161" s="4"/>
      <c r="AF161" s="4"/>
      <c r="AG161" s="4"/>
      <c r="AH161" s="4"/>
      <c r="AI161" s="4"/>
      <c r="AJ161" s="78" t="str">
        <f>IF(E161="○",IF(COUNTA(E$13:E161)=1,"",",")&amp;D161,"")</f>
        <v/>
      </c>
      <c r="AK161" s="4"/>
      <c r="AL161" s="4"/>
      <c r="AM161" s="4"/>
      <c r="AN161" s="4"/>
      <c r="AO161" s="4"/>
      <c r="AP161" s="4"/>
      <c r="AQ161" s="4"/>
      <c r="AR161" s="4"/>
      <c r="AS161" s="78"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2412</v>
      </c>
      <c r="D162" s="6" t="s">
        <v>2413</v>
      </c>
      <c r="E162" s="8"/>
      <c r="F162" s="7" t="s">
        <v>1757</v>
      </c>
      <c r="G162" s="7" t="str">
        <f t="shared" si="19"/>
        <v>text</v>
      </c>
      <c r="H162" s="26"/>
      <c r="I162" s="10"/>
      <c r="J162" s="11" t="s">
        <v>2416</v>
      </c>
      <c r="M162" s="4"/>
      <c r="N162" s="78"/>
      <c r="O162" s="78"/>
      <c r="P162" s="78" t="str">
        <f t="shared" si="20"/>
        <v>,reserve27</v>
      </c>
      <c r="Q162" s="78" t="str">
        <f t="shared" si="21"/>
        <v>TEXT</v>
      </c>
      <c r="R162" s="78" t="str">
        <f t="shared" si="22"/>
        <v/>
      </c>
      <c r="S162" s="78" t="str">
        <f t="shared" si="23"/>
        <v/>
      </c>
      <c r="T162" s="78" t="str">
        <f t="shared" si="24"/>
        <v>-- 予備27</v>
      </c>
      <c r="U162" s="4"/>
      <c r="AA162" s="4"/>
      <c r="AB162" s="4"/>
      <c r="AC162" s="4"/>
      <c r="AD162" s="4"/>
      <c r="AE162" s="4"/>
      <c r="AF162" s="4"/>
      <c r="AG162" s="4"/>
      <c r="AH162" s="4"/>
      <c r="AI162" s="4"/>
      <c r="AJ162" s="78" t="str">
        <f>IF(E162="○",IF(COUNTA(E$13:E162)=1,"",",")&amp;D162,"")</f>
        <v/>
      </c>
      <c r="AK162" s="4"/>
      <c r="AL162" s="4"/>
      <c r="AM162" s="4"/>
      <c r="AN162" s="4"/>
      <c r="AO162" s="4"/>
      <c r="AP162" s="4"/>
      <c r="AQ162" s="4"/>
      <c r="AR162" s="4"/>
      <c r="AS162" s="78" t="str">
        <f>"COMMENT ON COLUMN "&amp;エンティティ一覧!$O$2&amp;"."&amp;D$8&amp;"."&amp;D162&amp;" IS '"&amp;C162&amp;"';"</f>
        <v>COMMENT ON COLUMN milscm_2023_009.sny_202310_backup_mt_shinryo_koi_fuka.reserve27 IS '予備27';</v>
      </c>
    </row>
    <row r="163" spans="1:52" s="25" customFormat="1" ht="18" thickBot="1">
      <c r="A163" s="4"/>
      <c r="B163" s="27">
        <f>ROW()-12</f>
        <v>151</v>
      </c>
      <c r="C163" s="57" t="s">
        <v>2068</v>
      </c>
      <c r="D163" s="57" t="s">
        <v>1901</v>
      </c>
      <c r="E163" s="56" t="s">
        <v>127</v>
      </c>
      <c r="F163" s="56" t="s">
        <v>1757</v>
      </c>
      <c r="G163" s="56" t="str">
        <f t="shared" si="3"/>
        <v>text</v>
      </c>
      <c r="H163" s="59"/>
      <c r="I163" s="60" t="s">
        <v>127</v>
      </c>
      <c r="J163" s="64" t="s">
        <v>2419</v>
      </c>
      <c r="N163" s="78"/>
      <c r="O163" s="78"/>
      <c r="P163" s="78" t="str">
        <f t="shared" si="4"/>
        <v>,update_ymd</v>
      </c>
      <c r="Q163" s="78" t="str">
        <f t="shared" si="0"/>
        <v>TEXT</v>
      </c>
      <c r="R163" s="78" t="str">
        <f t="shared" si="1"/>
        <v/>
      </c>
      <c r="S163" s="78" t="str">
        <f t="shared" si="5"/>
        <v>NOT NULL</v>
      </c>
      <c r="T163" s="78" t="str">
        <f t="shared" si="6"/>
        <v>-- データ登録日</v>
      </c>
      <c r="U163" s="4"/>
      <c r="AA163" s="4"/>
      <c r="AB163" s="4"/>
      <c r="AC163" s="4"/>
      <c r="AD163" s="4"/>
      <c r="AE163" s="4"/>
      <c r="AF163" s="4"/>
      <c r="AG163" s="4"/>
      <c r="AH163" s="4"/>
      <c r="AI163" s="4"/>
      <c r="AJ163" s="78" t="str">
        <f>IF(E163="○",IF(COUNTA(E$13:E163)=1,"",",")&amp;D163,"")</f>
        <v>,update_ymd</v>
      </c>
      <c r="AK163" s="4"/>
      <c r="AL163" s="4"/>
      <c r="AM163" s="4"/>
      <c r="AN163" s="4"/>
      <c r="AO163" s="4"/>
      <c r="AP163" s="4"/>
      <c r="AQ163" s="4"/>
      <c r="AR163" s="4"/>
      <c r="AS163" s="78" t="str">
        <f>"COMMENT ON COLUMN "&amp;エンティティ一覧!$O$2&amp;"."&amp;D$8&amp;"."&amp;D163&amp;" IS '"&amp;C163&amp;"';"</f>
        <v>COMMENT ON COLUMN milscm_2023_009.sny_202310_backup_mt_shinryo_koi_fuka.update_ymd IS 'データ登録日';</v>
      </c>
    </row>
    <row r="164" spans="1:52">
      <c r="L164" s="25"/>
      <c r="M164" s="25"/>
      <c r="N164" s="78" t="s">
        <v>142</v>
      </c>
      <c r="O164" s="78"/>
      <c r="P164" s="78"/>
      <c r="Q164" s="78"/>
      <c r="R164" s="78"/>
      <c r="S164" s="78"/>
      <c r="T164" s="78"/>
      <c r="V164" s="25"/>
      <c r="W164" s="25"/>
      <c r="X164" s="25"/>
      <c r="Y164" s="25"/>
      <c r="Z164" s="25"/>
      <c r="AJ164" s="78"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ENT_01_A3-16</v>
      </c>
      <c r="E6" s="251"/>
      <c r="F6" s="251"/>
      <c r="G6" s="251"/>
      <c r="H6" s="251"/>
      <c r="I6" s="251"/>
      <c r="J6" s="252"/>
    </row>
    <row r="7" spans="1:45">
      <c r="B7" s="240" t="s">
        <v>115</v>
      </c>
      <c r="C7" s="241"/>
      <c r="D7" s="242" t="s">
        <v>2420</v>
      </c>
      <c r="E7" s="243"/>
      <c r="F7" s="243"/>
      <c r="G7" s="243"/>
      <c r="H7" s="243"/>
      <c r="I7" s="243"/>
      <c r="J7" s="244"/>
    </row>
    <row r="8" spans="1:45">
      <c r="B8" s="240" t="s">
        <v>116</v>
      </c>
      <c r="C8" s="241"/>
      <c r="D8" s="242" t="str">
        <f>エンティティ一覧!AE2&amp;"_"&amp;D5&amp;"_mt_shori_shisetsu"</f>
        <v>sny_202310_backup_mt_shori_shisetsu</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milscm_2023_009.sny_202310_backup_mt_shori_shisetsu;</v>
      </c>
      <c r="O10" s="78"/>
      <c r="P10" s="78"/>
      <c r="Q10" s="78"/>
      <c r="R10" s="78"/>
      <c r="S10" s="78"/>
      <c r="T10" s="78"/>
      <c r="AJ10" s="78" t="str">
        <f>"ALTER TABLE ONLY "&amp;エンティティ一覧!$O$2&amp;"."&amp;D$8</f>
        <v>ALTER TABLE ONLY milscm_2023_009.sny_202310_backup_mt_shori_shisetsu</v>
      </c>
      <c r="AS10" s="78" t="str">
        <f>"ALTER TABLE "&amp;エンティティ一覧!$O$2&amp;"."&amp;D$8&amp;" OWNER TO pgmisgrp1;"</f>
        <v>ALTER TABLE milscm_2023_009.sny_202310_backup_mt_shori_shisetsu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milscm_2023_009.sny_202310_backup_mt_shori_shisetsu</v>
      </c>
      <c r="O11" s="78"/>
      <c r="P11" s="78"/>
      <c r="Q11" s="78"/>
      <c r="R11" s="78"/>
      <c r="S11" s="78"/>
      <c r="T11" s="78"/>
      <c r="AJ11" s="78" t="str">
        <f>"ADD CONSTRAINT "&amp;D$8&amp;"_pkey PRIMARY KEY"</f>
        <v>ADD CONSTRAINT sny_202310_backup_mt_shori_shisetsu_pkey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22" si="0">UPPER(G13)</f>
        <v>TEXT</v>
      </c>
      <c r="R13" s="78" t="str">
        <f t="shared" ref="R13:R22"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2422</v>
      </c>
      <c r="D14" s="6" t="s">
        <v>2423</v>
      </c>
      <c r="E14" s="8"/>
      <c r="F14" s="7" t="s">
        <v>867</v>
      </c>
      <c r="G14" s="7" t="str">
        <f t="shared" ref="G14:G22" si="3">IF(F14="フラグ","boolean",IF(F14="文字列","text",IF(F14="整数","integer",IF(F14="実数","numeric",""))))</f>
        <v>text</v>
      </c>
      <c r="H14" s="26"/>
      <c r="I14" s="10" t="s">
        <v>127</v>
      </c>
      <c r="J14" s="11" t="s">
        <v>2441</v>
      </c>
      <c r="M14" s="4"/>
      <c r="N14" s="78"/>
      <c r="O14" s="78"/>
      <c r="P14" s="78" t="str">
        <f t="shared" ref="P14:P22" si="4">IF(B14&lt;&gt;1,","&amp;D14,D14)</f>
        <v>,facility_id_mml</v>
      </c>
      <c r="Q14" s="78" t="str">
        <f t="shared" si="0"/>
        <v>TEXT</v>
      </c>
      <c r="R14" s="78" t="str">
        <f t="shared" si="1"/>
        <v/>
      </c>
      <c r="S14" s="78" t="str">
        <f t="shared" ref="S14:S22" si="5">IF(I14="○","NOT NULL","")</f>
        <v>NOT NULL</v>
      </c>
      <c r="T14" s="78" t="str">
        <f t="shared" ref="T14:T22"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2424</v>
      </c>
      <c r="D15" s="6" t="s">
        <v>2425</v>
      </c>
      <c r="E15" s="8"/>
      <c r="F15" s="7" t="s">
        <v>1757</v>
      </c>
      <c r="G15" s="7" t="str">
        <f t="shared" si="3"/>
        <v>text</v>
      </c>
      <c r="H15" s="26"/>
      <c r="I15" s="10" t="s">
        <v>127</v>
      </c>
      <c r="J15" s="11"/>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milscm_2023_009.sny_202310_backup_mt_shori_shisetsu.facility_name IS '施設名';</v>
      </c>
    </row>
    <row r="16" spans="1:45" s="25" customFormat="1" ht="34.799999999999997">
      <c r="A16" s="4"/>
      <c r="B16" s="21">
        <f t="shared" si="2"/>
        <v>4</v>
      </c>
      <c r="C16" s="6" t="s">
        <v>2426</v>
      </c>
      <c r="D16" s="6" t="s">
        <v>2427</v>
      </c>
      <c r="E16" s="8"/>
      <c r="F16" s="7" t="s">
        <v>1757</v>
      </c>
      <c r="G16" s="7" t="str">
        <f t="shared" si="3"/>
        <v>text</v>
      </c>
      <c r="H16" s="26"/>
      <c r="I16" s="10"/>
      <c r="J16" s="11" t="s">
        <v>2442</v>
      </c>
      <c r="M16" s="4"/>
      <c r="N16" s="78"/>
      <c r="O16" s="78"/>
      <c r="P16" s="78" t="str">
        <f t="shared" si="4"/>
        <v>,opt_out_ymd</v>
      </c>
      <c r="Q16" s="78" t="str">
        <f t="shared" si="0"/>
        <v>TEXT</v>
      </c>
      <c r="R16" s="78" t="str">
        <f t="shared" si="1"/>
        <v/>
      </c>
      <c r="S16" s="78" t="str">
        <f t="shared" si="5"/>
        <v/>
      </c>
      <c r="T16" s="78" t="str">
        <f t="shared" si="6"/>
        <v>-- オプトアウト通知開始年月日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2428</v>
      </c>
      <c r="D17" s="6" t="s">
        <v>2429</v>
      </c>
      <c r="E17" s="8"/>
      <c r="F17" s="7" t="s">
        <v>1757</v>
      </c>
      <c r="G17" s="7" t="str">
        <f t="shared" si="3"/>
        <v>text</v>
      </c>
      <c r="H17" s="26"/>
      <c r="I17" s="10"/>
      <c r="J17" s="11"/>
      <c r="M17" s="4"/>
      <c r="N17" s="78"/>
      <c r="O17" s="78"/>
      <c r="P17" s="78" t="str">
        <f t="shared" si="4"/>
        <v>,group_id_edit_kubun</v>
      </c>
      <c r="Q17" s="78" t="str">
        <f t="shared" si="0"/>
        <v>TEXT</v>
      </c>
      <c r="R17" s="78" t="str">
        <f t="shared" si="1"/>
        <v/>
      </c>
      <c r="S17" s="78" t="str">
        <f t="shared" si="5"/>
        <v/>
      </c>
      <c r="T17" s="78" t="str">
        <f t="shared" si="6"/>
        <v>-- 紐付けID編集区分</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milscm_2023_009.sny_202310_backup_mt_shori_shisetsu.group_id_edit_kubun IS '紐付けID編集区分';</v>
      </c>
    </row>
    <row r="18" spans="1:52" s="25" customFormat="1" ht="34.799999999999997">
      <c r="A18" s="4"/>
      <c r="B18" s="21">
        <f t="shared" si="2"/>
        <v>6</v>
      </c>
      <c r="C18" s="6" t="s">
        <v>2430</v>
      </c>
      <c r="D18" s="6" t="s">
        <v>2431</v>
      </c>
      <c r="E18" s="8"/>
      <c r="F18" s="7" t="s">
        <v>867</v>
      </c>
      <c r="G18" s="7" t="str">
        <f t="shared" ref="G18:G20" si="7">IF(F18="フラグ","boolean",IF(F18="文字列","text",IF(F18="整数","integer",IF(F18="実数","numeric",""))))</f>
        <v>text</v>
      </c>
      <c r="H18" s="26"/>
      <c r="I18" s="10"/>
      <c r="J18" s="11" t="s">
        <v>2443</v>
      </c>
      <c r="M18" s="4"/>
      <c r="N18" s="78"/>
      <c r="O18" s="78"/>
      <c r="P18" s="78" t="str">
        <f t="shared" ref="P18:P20" si="8">IF(B18&lt;&gt;1,","&amp;D18,D18)</f>
        <v>,facility_contract_start</v>
      </c>
      <c r="Q18" s="78" t="str">
        <f t="shared" ref="Q18:Q20" si="9">UPPER(G18)</f>
        <v>TEXT</v>
      </c>
      <c r="R18" s="78" t="str">
        <f t="shared" ref="R18:R20" si="10">IF(H18&lt;&gt;"","default "&amp;IF(G18="text","'"&amp;H18&amp;"'",H18),"")</f>
        <v/>
      </c>
      <c r="S18" s="78" t="str">
        <f t="shared" ref="S18:S20" si="11">IF(I18="○","NOT NULL","")</f>
        <v/>
      </c>
      <c r="T18" s="78" t="str">
        <f t="shared" ref="T18:T20" si="12">"-- "&amp;C18</f>
        <v>-- 施設データ提供開始日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milscm_2023_009.sny_202310_backup_mt_shori_shisetsu.facility_contract_start IS '施設データ提供開始日';</v>
      </c>
    </row>
    <row r="19" spans="1:52" s="25" customFormat="1" ht="69.599999999999994">
      <c r="A19" s="4"/>
      <c r="B19" s="21">
        <f t="shared" si="2"/>
        <v>7</v>
      </c>
      <c r="C19" s="6" t="s">
        <v>2432</v>
      </c>
      <c r="D19" s="6" t="s">
        <v>2433</v>
      </c>
      <c r="E19" s="8"/>
      <c r="F19" s="7" t="s">
        <v>867</v>
      </c>
      <c r="G19" s="7" t="str">
        <f t="shared" si="7"/>
        <v>text</v>
      </c>
      <c r="H19" s="26"/>
      <c r="I19" s="10"/>
      <c r="J19" s="11" t="s">
        <v>2444</v>
      </c>
      <c r="M19" s="4"/>
      <c r="N19" s="78"/>
      <c r="O19" s="78"/>
      <c r="P19" s="78" t="str">
        <f t="shared" si="8"/>
        <v>,facility_contract_end</v>
      </c>
      <c r="Q19" s="78" t="str">
        <f t="shared" si="9"/>
        <v>TEXT</v>
      </c>
      <c r="R19" s="78" t="str">
        <f t="shared" si="10"/>
        <v/>
      </c>
      <c r="S19" s="78" t="str">
        <f t="shared" si="11"/>
        <v/>
      </c>
      <c r="T19" s="78" t="str">
        <f t="shared" si="12"/>
        <v>-- 施設データ提供終了日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2434</v>
      </c>
      <c r="D20" s="6" t="s">
        <v>2435</v>
      </c>
      <c r="E20" s="8"/>
      <c r="F20" s="7" t="s">
        <v>1867</v>
      </c>
      <c r="G20" s="7" t="str">
        <f t="shared" si="7"/>
        <v>integer</v>
      </c>
      <c r="H20" s="26">
        <v>0</v>
      </c>
      <c r="I20" s="10"/>
      <c r="J20" s="11"/>
      <c r="M20" s="4"/>
      <c r="N20" s="78"/>
      <c r="O20" s="78"/>
      <c r="P20" s="78" t="str">
        <f t="shared" si="8"/>
        <v>,size</v>
      </c>
      <c r="Q20" s="78" t="str">
        <f t="shared" si="9"/>
        <v>INTEGER</v>
      </c>
      <c r="R20" s="78" t="str">
        <f t="shared" si="10"/>
        <v>default 0</v>
      </c>
      <c r="S20" s="78" t="str">
        <f t="shared" si="11"/>
        <v/>
      </c>
      <c r="T20" s="78" t="str">
        <f t="shared" si="12"/>
        <v>-- 施設規模</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milscm_2023_009.sny_202310_backup_mt_shori_shisetsu.size IS '施設規模';</v>
      </c>
    </row>
    <row r="21" spans="1:52" s="25" customFormat="1" ht="52.2">
      <c r="A21" s="4"/>
      <c r="B21" s="21">
        <f t="shared" si="2"/>
        <v>9</v>
      </c>
      <c r="C21" s="6" t="s">
        <v>2436</v>
      </c>
      <c r="D21" s="6" t="s">
        <v>2437</v>
      </c>
      <c r="E21" s="8"/>
      <c r="F21" s="7" t="s">
        <v>2438</v>
      </c>
      <c r="G21" s="7" t="str">
        <f t="shared" si="3"/>
        <v>boolean</v>
      </c>
      <c r="H21" s="26" t="s">
        <v>2445</v>
      </c>
      <c r="I21" s="10" t="s">
        <v>127</v>
      </c>
      <c r="J21" s="11" t="s">
        <v>2446</v>
      </c>
      <c r="M21" s="4"/>
      <c r="N21" s="78"/>
      <c r="O21" s="78"/>
      <c r="P21" s="78" t="str">
        <f t="shared" si="4"/>
        <v>,shori_f</v>
      </c>
      <c r="Q21" s="78" t="str">
        <f t="shared" si="0"/>
        <v>BOOLEAN</v>
      </c>
      <c r="R21" s="78" t="str">
        <f t="shared" si="1"/>
        <v>default TRUE</v>
      </c>
      <c r="S21" s="78" t="str">
        <f t="shared" si="5"/>
        <v>NOT NULL</v>
      </c>
      <c r="T21" s="78" t="str">
        <f t="shared" si="6"/>
        <v>-- データ取得対象フラグ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milscm_2023_009.sny_202310_backup_mt_shori_shisetsu.shori_f IS 'データ取得対象フラグ';</v>
      </c>
    </row>
    <row r="22" spans="1:52" s="25" customFormat="1" ht="35.4" thickBot="1">
      <c r="A22" s="4"/>
      <c r="B22" s="27">
        <f>ROW()-12</f>
        <v>10</v>
      </c>
      <c r="C22" s="57" t="s">
        <v>2439</v>
      </c>
      <c r="D22" s="57" t="s">
        <v>2440</v>
      </c>
      <c r="E22" s="56"/>
      <c r="F22" s="56" t="s">
        <v>2438</v>
      </c>
      <c r="G22" s="56" t="str">
        <f t="shared" si="3"/>
        <v>boolean</v>
      </c>
      <c r="H22" s="59" t="s">
        <v>2447</v>
      </c>
      <c r="I22" s="60" t="s">
        <v>127</v>
      </c>
      <c r="J22" s="64" t="s">
        <v>2448</v>
      </c>
      <c r="N22" s="78"/>
      <c r="O22" s="78"/>
      <c r="P22" s="78" t="str">
        <f t="shared" si="4"/>
        <v>,feasibility_f</v>
      </c>
      <c r="Q22" s="78" t="str">
        <f t="shared" si="0"/>
        <v>BOOLEAN</v>
      </c>
      <c r="R22" s="78" t="str">
        <f t="shared" si="1"/>
        <v>default FALSE</v>
      </c>
      <c r="S22" s="78" t="str">
        <f t="shared" si="5"/>
        <v>NOT NULL</v>
      </c>
      <c r="T22" s="78" t="str">
        <f t="shared" si="6"/>
        <v>-- フィジビリティ対象フラグ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milscm_2023_009.sny_202310_backup_mt_shori_shisetsu.feasibility_f IS 'フィジビリティ対象フラグ';</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ENT_01_A3-17</v>
      </c>
      <c r="E6" s="251"/>
      <c r="F6" s="251"/>
      <c r="G6" s="251"/>
      <c r="H6" s="251"/>
      <c r="I6" s="251"/>
      <c r="J6" s="252"/>
    </row>
    <row r="7" spans="1:45">
      <c r="B7" s="240" t="s">
        <v>115</v>
      </c>
      <c r="C7" s="241"/>
      <c r="D7" s="242" t="s">
        <v>2449</v>
      </c>
      <c r="E7" s="243"/>
      <c r="F7" s="243"/>
      <c r="G7" s="243"/>
      <c r="H7" s="243"/>
      <c r="I7" s="243"/>
      <c r="J7" s="244"/>
    </row>
    <row r="8" spans="1:45">
      <c r="B8" s="240" t="s">
        <v>116</v>
      </c>
      <c r="C8" s="241"/>
      <c r="D8" s="242" t="str">
        <f>エンティティ一覧!AE2&amp;"_"&amp;D5&amp;"_mt_shori_shisetsu_manage"</f>
        <v>sny_202310_backup_mt_shori_shisetsu_manage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milscm_2023_009.sny_202310_backup_mt_shori_shisetsu_manage;</v>
      </c>
      <c r="O10" s="78"/>
      <c r="P10" s="78"/>
      <c r="Q10" s="78"/>
      <c r="R10" s="78"/>
      <c r="S10" s="78"/>
      <c r="T10" s="78"/>
      <c r="AJ10" s="78" t="str">
        <f>"ALTER TABLE ONLY "&amp;エンティティ一覧!$O$2&amp;"."&amp;D$8</f>
        <v>ALTER TABLE ONLY milscm_2023_009.sny_202310_backup_mt_shori_shisetsu_manage</v>
      </c>
      <c r="AS10" s="78" t="str">
        <f>"ALTER TABLE "&amp;エンティティ一覧!$O$2&amp;"."&amp;D$8&amp;" OWNER TO pgmisgrp1;"</f>
        <v>ALTER TABLE milscm_2023_009.sny_202310_backup_mt_shori_shisetsu_manage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milscm_2023_009.sny_202310_backup_mt_shori_shisetsu_manage</v>
      </c>
      <c r="O11" s="78"/>
      <c r="P11" s="78"/>
      <c r="Q11" s="78"/>
      <c r="R11" s="78"/>
      <c r="S11" s="78"/>
      <c r="T11" s="78"/>
      <c r="AJ11" s="78" t="str">
        <f>"ADD CONSTRAINT "&amp;D$8&amp;"_pkey PRIMARY KEY"</f>
        <v>ADD CONSTRAINT sny_202310_backup_mt_shori_shisetsu_manage_pkey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18" si="0">UPPER(G13)</f>
        <v>TEXT</v>
      </c>
      <c r="R13" s="78" t="str">
        <f t="shared" ref="R13:R18"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milscm_2023_009.sny_202310_backup_mt_shori_shisetsu_manage.facility_id IS '施設ID';</v>
      </c>
    </row>
    <row r="14" spans="1:45" s="25" customFormat="1" ht="34.799999999999997">
      <c r="A14" s="4"/>
      <c r="B14" s="21">
        <f t="shared" ref="B14:B17" si="2">ROW()-12</f>
        <v>2</v>
      </c>
      <c r="C14" s="6" t="s">
        <v>2430</v>
      </c>
      <c r="D14" s="6" t="s">
        <v>2431</v>
      </c>
      <c r="E14" s="8"/>
      <c r="F14" s="7" t="s">
        <v>867</v>
      </c>
      <c r="G14" s="7" t="str">
        <f t="shared" ref="G14:G18" si="3">IF(F14="フラグ","boolean",IF(F14="文字列","text",IF(F14="整数","integer",IF(F14="実数","numeric",""))))</f>
        <v>text</v>
      </c>
      <c r="H14" s="26"/>
      <c r="I14" s="10"/>
      <c r="J14" s="11" t="s">
        <v>2443</v>
      </c>
      <c r="M14" s="4"/>
      <c r="N14" s="78"/>
      <c r="O14" s="78"/>
      <c r="P14" s="78" t="str">
        <f t="shared" ref="P14:P18" si="4">IF(B14&lt;&gt;1,","&amp;D14,D14)</f>
        <v>,facility_contract_start</v>
      </c>
      <c r="Q14" s="78" t="str">
        <f t="shared" si="0"/>
        <v>TEXT</v>
      </c>
      <c r="R14" s="78" t="str">
        <f t="shared" si="1"/>
        <v/>
      </c>
      <c r="S14" s="78" t="str">
        <f t="shared" ref="S14:S18" si="5">IF(I14="○","NOT NULL","")</f>
        <v/>
      </c>
      <c r="T14" s="78" t="str">
        <f t="shared" ref="T14:T18" si="6">"-- "&amp;C14</f>
        <v>-- 施設データ提供開始日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milscm_2023_009.sny_202310_backup_mt_shori_shisetsu_manage.facility_contract_start IS '施設データ提供開始日';</v>
      </c>
    </row>
    <row r="15" spans="1:45" s="25" customFormat="1" ht="69.599999999999994">
      <c r="A15" s="4"/>
      <c r="B15" s="21">
        <f t="shared" si="2"/>
        <v>3</v>
      </c>
      <c r="C15" s="6" t="s">
        <v>2432</v>
      </c>
      <c r="D15" s="6" t="s">
        <v>2433</v>
      </c>
      <c r="E15" s="8"/>
      <c r="F15" s="7" t="s">
        <v>867</v>
      </c>
      <c r="G15" s="7" t="str">
        <f t="shared" si="3"/>
        <v>text</v>
      </c>
      <c r="H15" s="26"/>
      <c r="I15" s="10"/>
      <c r="J15" s="11" t="s">
        <v>2444</v>
      </c>
      <c r="M15" s="4"/>
      <c r="N15" s="78"/>
      <c r="O15" s="78"/>
      <c r="P15" s="78" t="str">
        <f t="shared" si="4"/>
        <v>,facility_contract_end</v>
      </c>
      <c r="Q15" s="78" t="str">
        <f t="shared" si="0"/>
        <v>TEXT</v>
      </c>
      <c r="R15" s="78" t="str">
        <f t="shared" si="1"/>
        <v/>
      </c>
      <c r="S15" s="78" t="str">
        <f t="shared" si="5"/>
        <v/>
      </c>
      <c r="T15" s="78" t="str">
        <f t="shared" si="6"/>
        <v>-- 施設データ提供終了日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2434</v>
      </c>
      <c r="D16" s="6" t="s">
        <v>2435</v>
      </c>
      <c r="E16" s="8"/>
      <c r="F16" s="7" t="s">
        <v>1867</v>
      </c>
      <c r="G16" s="7" t="str">
        <f t="shared" si="3"/>
        <v>integer</v>
      </c>
      <c r="H16" s="26">
        <v>0</v>
      </c>
      <c r="I16" s="10"/>
      <c r="J16" s="11"/>
      <c r="M16" s="4"/>
      <c r="N16" s="78"/>
      <c r="O16" s="78"/>
      <c r="P16" s="78" t="str">
        <f t="shared" si="4"/>
        <v>,size</v>
      </c>
      <c r="Q16" s="78" t="str">
        <f t="shared" si="0"/>
        <v>INTEGER</v>
      </c>
      <c r="R16" s="78" t="str">
        <f t="shared" si="1"/>
        <v>default 0</v>
      </c>
      <c r="S16" s="78" t="str">
        <f t="shared" si="5"/>
        <v/>
      </c>
      <c r="T16" s="78" t="str">
        <f t="shared" si="6"/>
        <v>-- 施設規模</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milscm_2023_009.sny_202310_backup_mt_shori_shisetsu_manage.size IS '施設規模';</v>
      </c>
    </row>
    <row r="17" spans="1:52" s="25" customFormat="1" ht="52.2">
      <c r="A17" s="4"/>
      <c r="B17" s="21">
        <f t="shared" si="2"/>
        <v>5</v>
      </c>
      <c r="C17" s="6" t="s">
        <v>2436</v>
      </c>
      <c r="D17" s="6" t="s">
        <v>2437</v>
      </c>
      <c r="E17" s="8"/>
      <c r="F17" s="7" t="s">
        <v>2438</v>
      </c>
      <c r="G17" s="7" t="str">
        <f t="shared" si="3"/>
        <v>boolean</v>
      </c>
      <c r="H17" s="26" t="s">
        <v>2445</v>
      </c>
      <c r="I17" s="10" t="s">
        <v>127</v>
      </c>
      <c r="J17" s="11" t="s">
        <v>2446</v>
      </c>
      <c r="M17" s="4"/>
      <c r="N17" s="78"/>
      <c r="O17" s="78"/>
      <c r="P17" s="78" t="str">
        <f t="shared" si="4"/>
        <v>,shori_f</v>
      </c>
      <c r="Q17" s="78" t="str">
        <f t="shared" si="0"/>
        <v>BOOLEAN</v>
      </c>
      <c r="R17" s="78" t="str">
        <f t="shared" si="1"/>
        <v>default TRUE</v>
      </c>
      <c r="S17" s="78" t="str">
        <f t="shared" si="5"/>
        <v>NOT NULL</v>
      </c>
      <c r="T17" s="78" t="str">
        <f t="shared" si="6"/>
        <v>-- データ取得対象フラグ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milscm_2023_009.sny_202310_backup_mt_shori_shisetsu_manage.shori_f IS 'データ取得対象フラグ';</v>
      </c>
    </row>
    <row r="18" spans="1:52" s="25" customFormat="1" ht="35.4" thickBot="1">
      <c r="A18" s="4"/>
      <c r="B18" s="27">
        <f>ROW()-12</f>
        <v>6</v>
      </c>
      <c r="C18" s="57" t="s">
        <v>2439</v>
      </c>
      <c r="D18" s="57" t="s">
        <v>2440</v>
      </c>
      <c r="E18" s="56"/>
      <c r="F18" s="56" t="s">
        <v>2438</v>
      </c>
      <c r="G18" s="56" t="str">
        <f t="shared" si="3"/>
        <v>boolean</v>
      </c>
      <c r="H18" s="59" t="s">
        <v>2447</v>
      </c>
      <c r="I18" s="60" t="s">
        <v>127</v>
      </c>
      <c r="J18" s="64" t="s">
        <v>2448</v>
      </c>
      <c r="N18" s="78"/>
      <c r="O18" s="78"/>
      <c r="P18" s="78" t="str">
        <f t="shared" si="4"/>
        <v>,feasibility_f</v>
      </c>
      <c r="Q18" s="78" t="str">
        <f t="shared" si="0"/>
        <v>BOOLEAN</v>
      </c>
      <c r="R18" s="78" t="str">
        <f t="shared" si="1"/>
        <v>default FALSE</v>
      </c>
      <c r="S18" s="78" t="str">
        <f t="shared" si="5"/>
        <v>NOT NULL</v>
      </c>
      <c r="T18" s="78" t="str">
        <f t="shared" si="6"/>
        <v>-- フィジビリティ対象フラグ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milscm_2023_009.sny_202310_backup_mt_shori_shisetsu_manage.feasibility_f IS 'フィジビリティ対象フラグ';</v>
      </c>
    </row>
    <row r="19" spans="1:52">
      <c r="L19" s="25"/>
      <c r="M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ENT_01_A3-18</v>
      </c>
      <c r="E6" s="251"/>
      <c r="F6" s="251"/>
      <c r="G6" s="251"/>
      <c r="H6" s="251"/>
      <c r="I6" s="251"/>
      <c r="J6" s="252"/>
    </row>
    <row r="7" spans="1:45">
      <c r="B7" s="240" t="s">
        <v>115</v>
      </c>
      <c r="C7" s="241"/>
      <c r="D7" s="242" t="s">
        <v>3304</v>
      </c>
      <c r="E7" s="243"/>
      <c r="F7" s="243"/>
      <c r="G7" s="243"/>
      <c r="H7" s="243"/>
      <c r="I7" s="243"/>
      <c r="J7" s="244"/>
    </row>
    <row r="8" spans="1:45">
      <c r="B8" s="240" t="s">
        <v>116</v>
      </c>
      <c r="C8" s="241"/>
      <c r="D8" s="242" t="str">
        <f>エンティティ一覧!AE2&amp;"_"&amp;D5&amp;"_mt_iyakuhin"</f>
        <v>sny_202310_backup_mt_iyakuhin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milscm_2023_009.sny_202310_backup_mt_iyakuhin;</v>
      </c>
      <c r="O10" s="78"/>
      <c r="P10" s="78"/>
      <c r="Q10" s="78"/>
      <c r="R10" s="78"/>
      <c r="S10" s="78"/>
      <c r="T10" s="78"/>
      <c r="AJ10" s="78" t="str">
        <f>"ALTER TABLE ONLY "&amp;エンティティ一覧!$O$2&amp;"."&amp;D$8</f>
        <v>ALTER TABLE ONLY milscm_2023_009.sny_202310_backup_mt_iyakuhin</v>
      </c>
      <c r="AS10" s="78" t="str">
        <f>"ALTER TABLE "&amp;エンティティ一覧!$O$2&amp;"."&amp;D$8&amp;" OWNER TO pgmisgrp1;"</f>
        <v>ALTER TABLE milscm_2023_009.sny_202310_backup_mt_iyakuhin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v>
      </c>
      <c r="O11" s="78"/>
      <c r="P11" s="78"/>
      <c r="Q11" s="78"/>
      <c r="R11" s="78"/>
      <c r="S11" s="78"/>
      <c r="T11" s="78"/>
      <c r="AJ11" s="78" t="str">
        <f>"ADD CONSTRAINT "&amp;D$8&amp;"_pkey PRIMARY KEY"</f>
        <v>ADD CONSTRAINT sny_202310_backup_mt_iyakuhin_pkey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 IS 'バックアップ_医薬品マスタ';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4" si="0">UPPER(G13)</f>
        <v>TEXT</v>
      </c>
      <c r="R13" s="78" t="str">
        <f t="shared" ref="R13:R3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3307</v>
      </c>
      <c r="D14" s="6" t="s">
        <v>2067</v>
      </c>
      <c r="E14" s="8" t="s">
        <v>127</v>
      </c>
      <c r="F14" s="7" t="s">
        <v>317</v>
      </c>
      <c r="G14" s="7" t="str">
        <f t="shared" ref="G14:G34" si="3">IF(F14="フラグ","boolean",IF(F14="文字列","text",IF(F14="整数","integer",IF(F14="実数","numeric",""))))</f>
        <v>text</v>
      </c>
      <c r="H14" s="26"/>
      <c r="I14" s="10" t="s">
        <v>127</v>
      </c>
      <c r="J14" s="11" t="s">
        <v>3332</v>
      </c>
      <c r="M14" s="4"/>
      <c r="N14" s="78"/>
      <c r="O14" s="78"/>
      <c r="P14" s="78" t="str">
        <f t="shared" ref="P14:P34" si="4">IF(B14&lt;&gt;1,","&amp;D14,D14)</f>
        <v>,koshin_kubun</v>
      </c>
      <c r="Q14" s="78" t="str">
        <f t="shared" si="0"/>
        <v>TEXT</v>
      </c>
      <c r="R14" s="78" t="str">
        <f t="shared" si="1"/>
        <v/>
      </c>
      <c r="S14" s="78" t="str">
        <f t="shared" ref="S14:S34" si="5">IF(I14="○","NOT NULL","")</f>
        <v>NOT NULL</v>
      </c>
      <c r="T14" s="78" t="str">
        <f t="shared" ref="T14:T3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2572</v>
      </c>
      <c r="D16" s="6" t="s">
        <v>3308</v>
      </c>
      <c r="E16" s="8"/>
      <c r="F16" s="7" t="s">
        <v>317</v>
      </c>
      <c r="G16" s="7" t="str">
        <f t="shared" si="3"/>
        <v>text</v>
      </c>
      <c r="H16" s="26"/>
      <c r="I16" s="10" t="s">
        <v>127</v>
      </c>
      <c r="J16" s="11"/>
      <c r="M16" s="4"/>
      <c r="N16" s="78"/>
      <c r="O16" s="78"/>
      <c r="P16" s="78" t="str">
        <f t="shared" si="4"/>
        <v>,yakko_bunrui1_code</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2574</v>
      </c>
      <c r="D17" s="6" t="s">
        <v>3309</v>
      </c>
      <c r="E17" s="8"/>
      <c r="F17" s="7" t="s">
        <v>317</v>
      </c>
      <c r="G17" s="7" t="str">
        <f t="shared" si="3"/>
        <v>text</v>
      </c>
      <c r="H17" s="26"/>
      <c r="I17" s="10" t="s">
        <v>127</v>
      </c>
      <c r="J17" s="11"/>
      <c r="M17" s="4"/>
      <c r="N17" s="78"/>
      <c r="O17" s="78"/>
      <c r="P17" s="78" t="str">
        <f t="shared" si="4"/>
        <v>,yakko_bunrui2_code</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2576</v>
      </c>
      <c r="D18" s="6" t="s">
        <v>3310</v>
      </c>
      <c r="E18" s="8"/>
      <c r="F18" s="7" t="s">
        <v>317</v>
      </c>
      <c r="G18" s="7" t="str">
        <f t="shared" ref="G18:G21" si="7">IF(F18="フラグ","boolean",IF(F18="文字列","text",IF(F18="整数","integer",IF(F18="実数","numeric",""))))</f>
        <v>text</v>
      </c>
      <c r="H18" s="26"/>
      <c r="I18" s="10" t="s">
        <v>127</v>
      </c>
      <c r="J18" s="11"/>
      <c r="M18" s="4"/>
      <c r="N18" s="78"/>
      <c r="O18" s="78"/>
      <c r="P18" s="78" t="str">
        <f t="shared" ref="P18:P21" si="8">IF(B18&lt;&gt;1,","&amp;D18,D18)</f>
        <v>,yakko_bunrui3_code</v>
      </c>
      <c r="Q18" s="78" t="str">
        <f t="shared" ref="Q18:Q21" si="9">UPPER(G18)</f>
        <v>TEXT</v>
      </c>
      <c r="R18" s="78" t="str">
        <f t="shared" ref="R18:R21" si="10">IF(H18&lt;&gt;"","default "&amp;IF(G18="text","'"&amp;H18&amp;"'",H18),"")</f>
        <v/>
      </c>
      <c r="S18" s="78" t="str">
        <f t="shared" ref="S18:S21" si="11">IF(I18="○","NOT NULL","")</f>
        <v>NOT NULL</v>
      </c>
      <c r="T18" s="78" t="str">
        <f t="shared" ref="T18:T21" si="12">"-- "&amp;C18</f>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2578</v>
      </c>
      <c r="D19" s="6" t="s">
        <v>3311</v>
      </c>
      <c r="E19" s="8"/>
      <c r="F19" s="7" t="s">
        <v>317</v>
      </c>
      <c r="G19" s="7" t="str">
        <f t="shared" si="7"/>
        <v>text</v>
      </c>
      <c r="H19" s="26"/>
      <c r="I19" s="10" t="s">
        <v>127</v>
      </c>
      <c r="J19" s="11"/>
      <c r="M19" s="4"/>
      <c r="N19" s="78"/>
      <c r="O19" s="78"/>
      <c r="P19" s="78" t="str">
        <f t="shared" si="8"/>
        <v>,yakko_bunrui4_code</v>
      </c>
      <c r="Q19" s="78" t="str">
        <f t="shared" si="9"/>
        <v>TEXT</v>
      </c>
      <c r="R19" s="78" t="str">
        <f t="shared" si="10"/>
        <v/>
      </c>
      <c r="S19" s="78" t="str">
        <f t="shared" si="11"/>
        <v>NOT NULL</v>
      </c>
      <c r="T19" s="78" t="str">
        <f t="shared" si="12"/>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2580</v>
      </c>
      <c r="D20" s="6" t="s">
        <v>3312</v>
      </c>
      <c r="E20" s="8"/>
      <c r="F20" s="7" t="s">
        <v>317</v>
      </c>
      <c r="G20" s="7" t="str">
        <f t="shared" si="7"/>
        <v>text</v>
      </c>
      <c r="H20" s="26"/>
      <c r="I20" s="10" t="s">
        <v>127</v>
      </c>
      <c r="J20" s="11"/>
      <c r="M20" s="4"/>
      <c r="N20" s="78"/>
      <c r="O20" s="78"/>
      <c r="P20" s="78" t="str">
        <f t="shared" si="8"/>
        <v>,yakko_bunrui5_code</v>
      </c>
      <c r="Q20" s="78" t="str">
        <f t="shared" si="9"/>
        <v>TEXT</v>
      </c>
      <c r="R20" s="78" t="str">
        <f t="shared" si="10"/>
        <v/>
      </c>
      <c r="S20" s="78" t="str">
        <f t="shared" si="11"/>
        <v>NOT NULL</v>
      </c>
      <c r="T20" s="78" t="str">
        <f t="shared" si="12"/>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2582</v>
      </c>
      <c r="D21" s="6" t="s">
        <v>3313</v>
      </c>
      <c r="E21" s="8"/>
      <c r="F21" s="7" t="s">
        <v>317</v>
      </c>
      <c r="G21" s="7" t="str">
        <f t="shared" si="7"/>
        <v>text</v>
      </c>
      <c r="H21" s="26"/>
      <c r="I21" s="10" t="s">
        <v>127</v>
      </c>
      <c r="J21" s="11"/>
      <c r="M21" s="4"/>
      <c r="N21" s="78"/>
      <c r="O21" s="78"/>
      <c r="P21" s="78" t="str">
        <f t="shared" si="8"/>
        <v>,seizo_maker_code</v>
      </c>
      <c r="Q21" s="78" t="str">
        <f t="shared" si="9"/>
        <v>TEXT</v>
      </c>
      <c r="R21" s="78" t="str">
        <f t="shared" si="10"/>
        <v/>
      </c>
      <c r="S21" s="78" t="str">
        <f t="shared" si="11"/>
        <v>NOT NULL</v>
      </c>
      <c r="T21" s="78" t="str">
        <f t="shared" si="12"/>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3314</v>
      </c>
      <c r="D22" s="6" t="s">
        <v>2134</v>
      </c>
      <c r="E22" s="8"/>
      <c r="F22" s="7" t="s">
        <v>317</v>
      </c>
      <c r="G22" s="7" t="str">
        <f t="shared" ref="G22:G32" si="13">IF(F22="フラグ","boolean",IF(F22="文字列","text",IF(F22="整数","integer",IF(F22="実数","numeric",""))))</f>
        <v>text</v>
      </c>
      <c r="H22" s="26"/>
      <c r="I22" s="10" t="s">
        <v>127</v>
      </c>
      <c r="J22" s="11"/>
      <c r="M22" s="4"/>
      <c r="N22" s="78"/>
      <c r="O22" s="78"/>
      <c r="P22" s="78" t="str">
        <f t="shared" ref="P22:P32" si="14">IF(B22&lt;&gt;1,","&amp;D22,D22)</f>
        <v>,iyakuhin_name</v>
      </c>
      <c r="Q22" s="78" t="str">
        <f t="shared" ref="Q22:Q32" si="15">UPPER(G22)</f>
        <v>TEXT</v>
      </c>
      <c r="R22" s="78" t="str">
        <f t="shared" ref="R22:R32" si="16">IF(H22&lt;&gt;"","default "&amp;IF(G22="text","'"&amp;H22&amp;"'",H22),"")</f>
        <v/>
      </c>
      <c r="S22" s="78" t="str">
        <f t="shared" ref="S22:S32" si="17">IF(I22="○","NOT NULL","")</f>
        <v>NOT NULL</v>
      </c>
      <c r="T22" s="78" t="str">
        <f t="shared" ref="T22:T32" si="18">"-- "&amp;C22</f>
        <v>-- 医薬品名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2584</v>
      </c>
      <c r="D23" s="6" t="s">
        <v>2585</v>
      </c>
      <c r="E23" s="8"/>
      <c r="F23" s="7" t="s">
        <v>317</v>
      </c>
      <c r="G23" s="7" t="str">
        <f t="shared" si="13"/>
        <v>text</v>
      </c>
      <c r="H23" s="26"/>
      <c r="I23" s="10" t="s">
        <v>127</v>
      </c>
      <c r="J23" s="11"/>
      <c r="M23" s="4"/>
      <c r="N23" s="78"/>
      <c r="O23" s="78"/>
      <c r="P23" s="78" t="str">
        <f t="shared" si="14"/>
        <v>,iyakuhin_jpn_name</v>
      </c>
      <c r="Q23" s="78" t="str">
        <f t="shared" si="15"/>
        <v>TEXT</v>
      </c>
      <c r="R23" s="78" t="str">
        <f t="shared" si="16"/>
        <v/>
      </c>
      <c r="S23" s="78" t="str">
        <f t="shared" si="17"/>
        <v>NOT NULL</v>
      </c>
      <c r="T23" s="78" t="str">
        <f t="shared" si="18"/>
        <v>-- 医薬品日本語名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2602</v>
      </c>
      <c r="D24" s="6" t="s">
        <v>3315</v>
      </c>
      <c r="E24" s="8"/>
      <c r="F24" s="7" t="s">
        <v>317</v>
      </c>
      <c r="G24" s="7" t="str">
        <f t="shared" si="13"/>
        <v>text</v>
      </c>
      <c r="H24" s="26"/>
      <c r="I24" s="10" t="s">
        <v>127</v>
      </c>
      <c r="J24" s="11"/>
      <c r="M24" s="4"/>
      <c r="N24" s="78"/>
      <c r="O24" s="78"/>
      <c r="P24" s="78" t="str">
        <f t="shared" si="14"/>
        <v>,kohatsuhin_flag</v>
      </c>
      <c r="Q24" s="78" t="str">
        <f t="shared" si="15"/>
        <v>TEXT</v>
      </c>
      <c r="R24" s="78" t="str">
        <f t="shared" si="16"/>
        <v/>
      </c>
      <c r="S24" s="78" t="str">
        <f t="shared" si="17"/>
        <v>NOT NULL</v>
      </c>
      <c r="T24" s="78" t="str">
        <f t="shared" si="18"/>
        <v>-- 後発品フラグ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3316</v>
      </c>
      <c r="D25" s="6" t="s">
        <v>3317</v>
      </c>
      <c r="E25" s="8"/>
      <c r="F25" s="7" t="s">
        <v>317</v>
      </c>
      <c r="G25" s="7" t="str">
        <f t="shared" si="13"/>
        <v>text</v>
      </c>
      <c r="H25" s="26"/>
      <c r="I25" s="10"/>
      <c r="J25" s="11"/>
      <c r="M25" s="4"/>
      <c r="N25" s="78"/>
      <c r="O25" s="78"/>
      <c r="P25" s="78" t="str">
        <f t="shared" si="14"/>
        <v>,shinyaku_code</v>
      </c>
      <c r="Q25" s="78" t="str">
        <f t="shared" si="15"/>
        <v>TEXT</v>
      </c>
      <c r="R25" s="78" t="str">
        <f t="shared" si="16"/>
        <v/>
      </c>
      <c r="S25" s="78" t="str">
        <f t="shared" si="17"/>
        <v/>
      </c>
      <c r="T25" s="78" t="str">
        <f t="shared" si="18"/>
        <v>-- 新薬コード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2568</v>
      </c>
      <c r="D26" s="6" t="s">
        <v>3318</v>
      </c>
      <c r="E26" s="8"/>
      <c r="F26" s="7" t="s">
        <v>317</v>
      </c>
      <c r="G26" s="7" t="str">
        <f t="shared" si="13"/>
        <v>text</v>
      </c>
      <c r="H26" s="26"/>
      <c r="I26" s="10" t="s">
        <v>127</v>
      </c>
      <c r="J26" s="11"/>
      <c r="M26" s="4"/>
      <c r="N26" s="78"/>
      <c r="O26" s="78"/>
      <c r="P26" s="78" t="str">
        <f t="shared" si="14"/>
        <v>,iyakuhin_brand_code</v>
      </c>
      <c r="Q26" s="78" t="str">
        <f t="shared" si="15"/>
        <v>TEXT</v>
      </c>
      <c r="R26" s="78" t="str">
        <f t="shared" si="16"/>
        <v/>
      </c>
      <c r="S26" s="78" t="str">
        <f t="shared" si="17"/>
        <v>NOT NULL</v>
      </c>
      <c r="T26" s="78" t="str">
        <f t="shared" si="18"/>
        <v>-- 医薬品ブランドコード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milscm_2023_009.sny_202310_backup_mt_iyakuhin.iyakuhin_brand_code IS '医薬品ブランドコード';</v>
      </c>
    </row>
    <row r="27" spans="1:45" s="25" customFormat="1" ht="30">
      <c r="A27" s="4"/>
      <c r="B27" s="21">
        <f t="shared" si="2"/>
        <v>15</v>
      </c>
      <c r="C27" s="6" t="s">
        <v>2570</v>
      </c>
      <c r="D27" s="6" t="s">
        <v>3319</v>
      </c>
      <c r="E27" s="8"/>
      <c r="F27" s="7" t="s">
        <v>317</v>
      </c>
      <c r="G27" s="7" t="str">
        <f t="shared" si="13"/>
        <v>text</v>
      </c>
      <c r="H27" s="26"/>
      <c r="I27" s="10" t="s">
        <v>127</v>
      </c>
      <c r="J27" s="11"/>
      <c r="M27" s="4"/>
      <c r="N27" s="78"/>
      <c r="O27" s="78"/>
      <c r="P27" s="78" t="str">
        <f t="shared" si="14"/>
        <v>,iyakuhin_ippan_name_code</v>
      </c>
      <c r="Q27" s="78" t="str">
        <f t="shared" si="15"/>
        <v>TEXT</v>
      </c>
      <c r="R27" s="78" t="str">
        <f t="shared" si="16"/>
        <v/>
      </c>
      <c r="S27" s="78" t="str">
        <f t="shared" si="17"/>
        <v>NOT NULL</v>
      </c>
      <c r="T27" s="78" t="str">
        <f t="shared" si="18"/>
        <v>-- 医薬品一般名コード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2604</v>
      </c>
      <c r="D28" s="6" t="s">
        <v>2605</v>
      </c>
      <c r="E28" s="8"/>
      <c r="F28" s="7" t="s">
        <v>317</v>
      </c>
      <c r="G28" s="7" t="str">
        <f t="shared" si="13"/>
        <v>text</v>
      </c>
      <c r="H28" s="26"/>
      <c r="I28" s="10" t="s">
        <v>127</v>
      </c>
      <c r="J28" s="11"/>
      <c r="M28" s="4"/>
      <c r="N28" s="78"/>
      <c r="O28" s="78"/>
      <c r="P28" s="78" t="str">
        <f t="shared" si="14"/>
        <v>,toyo_keiro_kubun</v>
      </c>
      <c r="Q28" s="78" t="str">
        <f t="shared" si="15"/>
        <v>TEXT</v>
      </c>
      <c r="R28" s="78" t="str">
        <f t="shared" si="16"/>
        <v/>
      </c>
      <c r="S28" s="78" t="str">
        <f t="shared" si="17"/>
        <v>NOT NULL</v>
      </c>
      <c r="T28" s="78" t="str">
        <f t="shared" si="18"/>
        <v>-- 投与経路区分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3320</v>
      </c>
      <c r="D29" s="6" t="s">
        <v>3321</v>
      </c>
      <c r="E29" s="8"/>
      <c r="F29" s="7" t="s">
        <v>317</v>
      </c>
      <c r="G29" s="7" t="str">
        <f t="shared" si="13"/>
        <v>text</v>
      </c>
      <c r="H29" s="26"/>
      <c r="I29" s="10"/>
      <c r="J29" s="11"/>
      <c r="M29" s="4"/>
      <c r="N29" s="78"/>
      <c r="O29" s="78"/>
      <c r="P29" s="78" t="str">
        <f t="shared" si="14"/>
        <v>,tokutei_kizai_unit_code</v>
      </c>
      <c r="Q29" s="78" t="str">
        <f t="shared" si="15"/>
        <v>TEXT</v>
      </c>
      <c r="R29" s="78" t="str">
        <f t="shared" si="16"/>
        <v/>
      </c>
      <c r="S29" s="78" t="str">
        <f t="shared" si="17"/>
        <v/>
      </c>
      <c r="T29" s="78" t="str">
        <f t="shared" si="18"/>
        <v>-- 特定器材単位コード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3322</v>
      </c>
      <c r="D30" s="6" t="s">
        <v>3323</v>
      </c>
      <c r="E30" s="8"/>
      <c r="F30" s="7" t="s">
        <v>317</v>
      </c>
      <c r="G30" s="7" t="str">
        <f t="shared" si="13"/>
        <v>text</v>
      </c>
      <c r="H30" s="26"/>
      <c r="I30" s="10" t="s">
        <v>127</v>
      </c>
      <c r="J30" s="11" t="s">
        <v>144</v>
      </c>
      <c r="M30" s="4"/>
      <c r="N30" s="78"/>
      <c r="O30" s="78"/>
      <c r="P30" s="78" t="str">
        <f t="shared" si="14"/>
        <v>,hatsubai_ymd</v>
      </c>
      <c r="Q30" s="78" t="str">
        <f t="shared" si="15"/>
        <v>TEXT</v>
      </c>
      <c r="R30" s="78" t="str">
        <f t="shared" si="16"/>
        <v/>
      </c>
      <c r="S30" s="78" t="str">
        <f t="shared" si="17"/>
        <v>NOT NULL</v>
      </c>
      <c r="T30" s="78" t="str">
        <f t="shared" si="18"/>
        <v>-- 発売年月日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3324</v>
      </c>
      <c r="D31" s="6" t="s">
        <v>3325</v>
      </c>
      <c r="E31" s="8"/>
      <c r="F31" s="7" t="s">
        <v>317</v>
      </c>
      <c r="G31" s="7" t="str">
        <f t="shared" si="13"/>
        <v>text</v>
      </c>
      <c r="H31" s="26"/>
      <c r="I31" s="10"/>
      <c r="J31" s="11" t="s">
        <v>3333</v>
      </c>
      <c r="M31" s="4"/>
      <c r="N31" s="78"/>
      <c r="O31" s="78"/>
      <c r="P31" s="78" t="str">
        <f t="shared" si="14"/>
        <v>,ikosaki</v>
      </c>
      <c r="Q31" s="78" t="str">
        <f t="shared" si="15"/>
        <v>TEXT</v>
      </c>
      <c r="R31" s="78" t="str">
        <f t="shared" si="16"/>
        <v/>
      </c>
      <c r="S31" s="78" t="str">
        <f t="shared" si="17"/>
        <v/>
      </c>
      <c r="T31" s="78" t="str">
        <f t="shared" si="18"/>
        <v>-- 移行先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milscm_2023_009.sny_202310_backup_mt_iyakuhin.ikosaki IS '移行先';</v>
      </c>
    </row>
    <row r="32" spans="1:45" s="25" customFormat="1">
      <c r="A32" s="4"/>
      <c r="B32" s="21">
        <f t="shared" si="2"/>
        <v>20</v>
      </c>
      <c r="C32" s="6" t="s">
        <v>3326</v>
      </c>
      <c r="D32" s="6" t="s">
        <v>3327</v>
      </c>
      <c r="E32" s="8"/>
      <c r="F32" s="7" t="s">
        <v>317</v>
      </c>
      <c r="G32" s="7" t="str">
        <f t="shared" si="13"/>
        <v>text</v>
      </c>
      <c r="H32" s="26"/>
      <c r="I32" s="10" t="s">
        <v>127</v>
      </c>
      <c r="J32" s="11" t="s">
        <v>3334</v>
      </c>
      <c r="M32" s="4"/>
      <c r="N32" s="78"/>
      <c r="O32" s="78"/>
      <c r="P32" s="78" t="str">
        <f t="shared" si="14"/>
        <v>,nen</v>
      </c>
      <c r="Q32" s="78" t="str">
        <f t="shared" si="15"/>
        <v>TEXT</v>
      </c>
      <c r="R32" s="78" t="str">
        <f t="shared" si="16"/>
        <v/>
      </c>
      <c r="S32" s="78" t="str">
        <f t="shared" si="17"/>
        <v>NOT NULL</v>
      </c>
      <c r="T32" s="78" t="str">
        <f t="shared" si="18"/>
        <v>-- 年</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milscm_2023_009.sny_202310_backup_mt_iyakuhin.nen IS '年';</v>
      </c>
    </row>
    <row r="33" spans="1:52" s="25" customFormat="1">
      <c r="A33" s="4"/>
      <c r="B33" s="21">
        <f t="shared" si="2"/>
        <v>21</v>
      </c>
      <c r="C33" s="6" t="s">
        <v>3328</v>
      </c>
      <c r="D33" s="6" t="s">
        <v>3329</v>
      </c>
      <c r="E33" s="8"/>
      <c r="F33" s="7" t="s">
        <v>317</v>
      </c>
      <c r="G33" s="7" t="str">
        <f t="shared" ref="G33" si="19">IF(F33="フラグ","boolean",IF(F33="文字列","text",IF(F33="整数","integer",IF(F33="実数","numeric",""))))</f>
        <v>text</v>
      </c>
      <c r="H33" s="26"/>
      <c r="I33" s="10" t="s">
        <v>127</v>
      </c>
      <c r="J33" s="11" t="s">
        <v>3335</v>
      </c>
      <c r="M33" s="4"/>
      <c r="N33" s="78"/>
      <c r="O33" s="78"/>
      <c r="P33" s="78" t="str">
        <f t="shared" ref="P33" si="20">IF(B33&lt;&gt;1,","&amp;D33,D33)</f>
        <v>,nengetsu</v>
      </c>
      <c r="Q33" s="78" t="str">
        <f t="shared" ref="Q33" si="21">UPPER(G33)</f>
        <v>TEXT</v>
      </c>
      <c r="R33" s="78" t="str">
        <f t="shared" ref="R33" si="22">IF(H33&lt;&gt;"","default "&amp;IF(G33="text","'"&amp;H33&amp;"'",H33),"")</f>
        <v/>
      </c>
      <c r="S33" s="78" t="str">
        <f t="shared" ref="S33" si="23">IF(I33="○","NOT NULL","")</f>
        <v>NOT NULL</v>
      </c>
      <c r="T33" s="78" t="str">
        <f t="shared" ref="T33" si="24">"-- "&amp;C33</f>
        <v>-- 年月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milscm_2023_009.sny_202310_backup_mt_iyakuhin.nengetsu IS '年月';</v>
      </c>
    </row>
    <row r="34" spans="1:52" s="25" customFormat="1" ht="18" thickBot="1">
      <c r="A34" s="4"/>
      <c r="B34" s="27">
        <f>ROW()-12</f>
        <v>22</v>
      </c>
      <c r="C34" s="57" t="s">
        <v>3330</v>
      </c>
      <c r="D34" s="57" t="s">
        <v>1901</v>
      </c>
      <c r="E34" s="56"/>
      <c r="F34" s="56" t="s">
        <v>317</v>
      </c>
      <c r="G34" s="56" t="str">
        <f t="shared" si="3"/>
        <v>text</v>
      </c>
      <c r="H34" s="59"/>
      <c r="I34" s="60" t="s">
        <v>127</v>
      </c>
      <c r="J34" s="64" t="s">
        <v>2419</v>
      </c>
      <c r="N34" s="78"/>
      <c r="O34" s="78"/>
      <c r="P34" s="78" t="str">
        <f t="shared" si="4"/>
        <v>,update_ymd</v>
      </c>
      <c r="Q34" s="78" t="str">
        <f t="shared" si="0"/>
        <v>TEXT</v>
      </c>
      <c r="R34" s="78" t="str">
        <f t="shared" si="1"/>
        <v/>
      </c>
      <c r="S34" s="78" t="str">
        <f t="shared" si="5"/>
        <v>NOT NULL</v>
      </c>
      <c r="T34" s="78" t="str">
        <f t="shared" si="6"/>
        <v>-- データ登録日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milscm_2023_009.sny_202310_backup_mt_iyakuhin.update_ymd IS 'データ登録日';</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ENT_01_A3-19</v>
      </c>
      <c r="E6" s="251"/>
      <c r="F6" s="251"/>
      <c r="G6" s="251"/>
      <c r="H6" s="251"/>
      <c r="I6" s="251"/>
      <c r="J6" s="252"/>
    </row>
    <row r="7" spans="1:45">
      <c r="B7" s="240" t="s">
        <v>115</v>
      </c>
      <c r="C7" s="241"/>
      <c r="D7" s="242" t="s">
        <v>3336</v>
      </c>
      <c r="E7" s="243"/>
      <c r="F7" s="243"/>
      <c r="G7" s="243"/>
      <c r="H7" s="243"/>
      <c r="I7" s="243"/>
      <c r="J7" s="244"/>
    </row>
    <row r="8" spans="1:45">
      <c r="B8" s="240" t="s">
        <v>116</v>
      </c>
      <c r="C8" s="241"/>
      <c r="D8" s="242" t="str">
        <f>エンティティ一覧!AE2&amp;"_"&amp;D5&amp;"_mt_iyakuhin_brand"</f>
        <v>sny_202310_backup_mt_iyakuhin_brand</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milscm_2023_009.sny_202310_backup_mt_iyakuhin_brand;</v>
      </c>
      <c r="O10" s="78"/>
      <c r="P10" s="78"/>
      <c r="Q10" s="78"/>
      <c r="R10" s="78"/>
      <c r="S10" s="78"/>
      <c r="T10" s="78"/>
      <c r="AJ10" s="78" t="str">
        <f>"ALTER TABLE ONLY "&amp;エンティティ一覧!$O$2&amp;"."&amp;D$8</f>
        <v>ALTER TABLE ONLY milscm_2023_009.sny_202310_backup_mt_iyakuhin_brand</v>
      </c>
      <c r="AS10" s="78" t="str">
        <f>"ALTER TABLE "&amp;エンティティ一覧!$O$2&amp;"."&amp;D$8&amp;" OWNER TO pgmisgrp1;"</f>
        <v>ALTER TABLE milscm_2023_009.sny_202310_backup_mt_iyakuhin_brand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milscm_2023_009.sny_202310_backup_mt_iyakuhin_brand</v>
      </c>
      <c r="O11" s="78"/>
      <c r="P11" s="78"/>
      <c r="Q11" s="78"/>
      <c r="R11" s="78"/>
      <c r="S11" s="78"/>
      <c r="T11" s="78"/>
      <c r="AJ11" s="78" t="str">
        <f>"ADD CONSTRAINT "&amp;D$8&amp;"_pkey PRIMARY KEY"</f>
        <v>ADD CONSTRAINT sny_202310_backup_mt_iyakuhin_brand_pkey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2568</v>
      </c>
      <c r="D15" s="6" t="s">
        <v>3318</v>
      </c>
      <c r="E15" s="8" t="s">
        <v>127</v>
      </c>
      <c r="F15" s="7" t="s">
        <v>317</v>
      </c>
      <c r="G15" s="7" t="str">
        <f t="shared" si="3"/>
        <v>text</v>
      </c>
      <c r="H15" s="26"/>
      <c r="I15" s="10" t="s">
        <v>127</v>
      </c>
      <c r="J15" s="11"/>
      <c r="M15" s="4"/>
      <c r="N15" s="78"/>
      <c r="O15" s="78"/>
      <c r="P15" s="78" t="str">
        <f t="shared" si="4"/>
        <v>,iyakuhin_brand_code</v>
      </c>
      <c r="Q15" s="78" t="str">
        <f t="shared" si="0"/>
        <v>TEXT</v>
      </c>
      <c r="R15" s="78" t="str">
        <f t="shared" si="1"/>
        <v/>
      </c>
      <c r="S15" s="78" t="str">
        <f t="shared" si="5"/>
        <v>NOT NULL</v>
      </c>
      <c r="T15" s="78" t="str">
        <f t="shared" si="6"/>
        <v>-- 医薬品ブランドコード</v>
      </c>
      <c r="U15" s="4"/>
      <c r="AA15" s="4"/>
      <c r="AB15" s="4"/>
      <c r="AC15" s="4"/>
      <c r="AD15" s="4"/>
      <c r="AE15" s="4"/>
      <c r="AF15" s="4"/>
      <c r="AG15" s="4"/>
      <c r="AH15" s="4"/>
      <c r="AI15" s="4"/>
      <c r="AJ15" s="78" t="str">
        <f>IF(E15="○",IF(COUNTA(E$13:E15)=1,"",",")&amp;D15,"")</f>
        <v>,iyakuhin_brand_code</v>
      </c>
      <c r="AK15" s="4"/>
      <c r="AL15" s="4"/>
      <c r="AM15" s="4"/>
      <c r="AN15" s="4"/>
      <c r="AO15" s="4"/>
      <c r="AP15" s="4"/>
      <c r="AQ15" s="4"/>
      <c r="AR15" s="4"/>
      <c r="AS15" s="78"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2586</v>
      </c>
      <c r="D16" s="6" t="s">
        <v>3337</v>
      </c>
      <c r="E16" s="8"/>
      <c r="F16" s="7" t="s">
        <v>317</v>
      </c>
      <c r="G16" s="7" t="str">
        <f t="shared" si="3"/>
        <v>text</v>
      </c>
      <c r="H16" s="26"/>
      <c r="I16" s="10" t="s">
        <v>127</v>
      </c>
      <c r="J16" s="11"/>
      <c r="M16" s="4"/>
      <c r="N16" s="78"/>
      <c r="O16" s="78"/>
      <c r="P16" s="78" t="str">
        <f t="shared" si="4"/>
        <v>,iyakuhin_brand_name</v>
      </c>
      <c r="Q16" s="78" t="str">
        <f t="shared" si="0"/>
        <v>TEXT</v>
      </c>
      <c r="R16" s="78" t="str">
        <f t="shared" si="1"/>
        <v/>
      </c>
      <c r="S16" s="78" t="str">
        <f t="shared" si="5"/>
        <v>NOT NULL</v>
      </c>
      <c r="T16" s="78" t="str">
        <f t="shared" si="6"/>
        <v>-- 医薬品ブランド名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milscm_2023_009.sny_202310_backup_mt_iyakuhin_brand.iyakuhin_brand_name IS '医薬品ブランド名';</v>
      </c>
    </row>
    <row r="17" spans="1:52" s="25" customFormat="1" ht="30">
      <c r="A17" s="4"/>
      <c r="B17" s="21">
        <f t="shared" si="2"/>
        <v>5</v>
      </c>
      <c r="C17" s="6" t="s">
        <v>3338</v>
      </c>
      <c r="D17" s="6" t="s">
        <v>2587</v>
      </c>
      <c r="E17" s="8"/>
      <c r="F17" s="7" t="s">
        <v>317</v>
      </c>
      <c r="G17" s="7" t="str">
        <f t="shared" si="3"/>
        <v>text</v>
      </c>
      <c r="H17" s="26"/>
      <c r="I17" s="10" t="s">
        <v>127</v>
      </c>
      <c r="J17" s="11"/>
      <c r="M17" s="4"/>
      <c r="N17" s="78"/>
      <c r="O17" s="78"/>
      <c r="P17" s="78" t="str">
        <f t="shared" si="4"/>
        <v>,iyakuhin_brand_jpn_name</v>
      </c>
      <c r="Q17" s="78" t="str">
        <f t="shared" si="0"/>
        <v>TEXT</v>
      </c>
      <c r="R17" s="78" t="str">
        <f t="shared" si="1"/>
        <v/>
      </c>
      <c r="S17" s="78" t="str">
        <f t="shared" si="5"/>
        <v>NOT NULL</v>
      </c>
      <c r="T17" s="78" t="str">
        <f t="shared" si="6"/>
        <v>-- 医薬品ブランド日本語名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milscm_2023_009.sny_202310_backup_mt_iyakuhin_brand.nen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milscm_2023_009.sny_202310_backup_mt_iyakuhin_brand.nengetsu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milscm_2023_009.sny_202310_backup_mt_iyakuhin_brand.update_ymd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ENT_01_A3-20</v>
      </c>
      <c r="E6" s="251"/>
      <c r="F6" s="251"/>
      <c r="G6" s="251"/>
      <c r="H6" s="251"/>
      <c r="I6" s="251"/>
      <c r="J6" s="252"/>
    </row>
    <row r="7" spans="1:45">
      <c r="B7" s="240" t="s">
        <v>115</v>
      </c>
      <c r="C7" s="241"/>
      <c r="D7" s="242" t="s">
        <v>3339</v>
      </c>
      <c r="E7" s="243"/>
      <c r="F7" s="243"/>
      <c r="G7" s="243"/>
      <c r="H7" s="243"/>
      <c r="I7" s="243"/>
      <c r="J7" s="244"/>
    </row>
    <row r="8" spans="1:45">
      <c r="B8" s="240" t="s">
        <v>116</v>
      </c>
      <c r="C8" s="241"/>
      <c r="D8" s="242" t="str">
        <f>エンティティ一覧!AE2&amp;"_"&amp;D5&amp;"_mt_iyakuhin_ippan_name"</f>
        <v>sny_202310_backup_mt_iyakuhin_ippan_name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milscm_2023_009.sny_202310_backup_mt_iyakuhin_ippan_name;</v>
      </c>
      <c r="O10" s="78"/>
      <c r="P10" s="78"/>
      <c r="Q10" s="78"/>
      <c r="R10" s="78"/>
      <c r="S10" s="78"/>
      <c r="T10" s="78"/>
      <c r="AJ10" s="78" t="str">
        <f>"ALTER TABLE ONLY "&amp;エンティティ一覧!$O$2&amp;"."&amp;D$8</f>
        <v>ALTER TABLE ONLY milscm_2023_009.sny_202310_backup_mt_iyakuhin_ippan_name</v>
      </c>
      <c r="AS10" s="78" t="str">
        <f>"ALTER TABLE "&amp;エンティティ一覧!$O$2&amp;"."&amp;D$8&amp;" OWNER TO pgmisgrp1;"</f>
        <v>ALTER TABLE milscm_2023_009.sny_202310_backup_mt_iyakuhin_ippan_name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milscm_2023_009.sny_202310_backup_mt_iyakuhin_ippan_name</v>
      </c>
      <c r="O11" s="78"/>
      <c r="P11" s="78"/>
      <c r="Q11" s="78"/>
      <c r="R11" s="78"/>
      <c r="S11" s="78"/>
      <c r="T11" s="78"/>
      <c r="AJ11" s="78" t="str">
        <f>"ADD CONSTRAINT "&amp;D$8&amp;"_pkey PRIMARY KEY"</f>
        <v>ADD CONSTRAINT sny_202310_backup_mt_iyakuhin_ippan_name_pkey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milscm_2023_009.sny_202310_backup_mt_iyakuhin_ippan_name.koshin_kubun IS '更新区分';</v>
      </c>
    </row>
    <row r="15" spans="1:45" s="25" customFormat="1" ht="30">
      <c r="A15" s="4"/>
      <c r="B15" s="21">
        <f t="shared" si="2"/>
        <v>3</v>
      </c>
      <c r="C15" s="6" t="s">
        <v>2570</v>
      </c>
      <c r="D15" s="6" t="s">
        <v>3319</v>
      </c>
      <c r="E15" s="8" t="s">
        <v>127</v>
      </c>
      <c r="F15" s="7" t="s">
        <v>317</v>
      </c>
      <c r="G15" s="7" t="str">
        <f t="shared" si="3"/>
        <v>text</v>
      </c>
      <c r="H15" s="26"/>
      <c r="I15" s="10" t="s">
        <v>127</v>
      </c>
      <c r="J15" s="11"/>
      <c r="M15" s="4"/>
      <c r="N15" s="78"/>
      <c r="O15" s="78"/>
      <c r="P15" s="78" t="str">
        <f t="shared" si="4"/>
        <v>,iyakuhin_ippan_name_code</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,iyakuhin_ippan_name_code</v>
      </c>
      <c r="AK15" s="4"/>
      <c r="AL15" s="4"/>
      <c r="AM15" s="4"/>
      <c r="AN15" s="4"/>
      <c r="AO15" s="4"/>
      <c r="AP15" s="4"/>
      <c r="AQ15" s="4"/>
      <c r="AR15" s="4"/>
      <c r="AS15" s="78"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2588</v>
      </c>
      <c r="D16" s="6" t="s">
        <v>2132</v>
      </c>
      <c r="E16" s="8"/>
      <c r="F16" s="7" t="s">
        <v>317</v>
      </c>
      <c r="G16" s="7" t="str">
        <f t="shared" si="3"/>
        <v>text</v>
      </c>
      <c r="H16" s="26"/>
      <c r="I16" s="10" t="s">
        <v>127</v>
      </c>
      <c r="J16" s="11"/>
      <c r="M16" s="4"/>
      <c r="N16" s="78"/>
      <c r="O16" s="78"/>
      <c r="P16" s="78" t="str">
        <f t="shared" si="4"/>
        <v>,iyakuhin_ippan_name</v>
      </c>
      <c r="Q16" s="78" t="str">
        <f t="shared" si="0"/>
        <v>TEXT</v>
      </c>
      <c r="R16" s="78" t="str">
        <f t="shared" si="1"/>
        <v/>
      </c>
      <c r="S16" s="78" t="str">
        <f t="shared" si="5"/>
        <v>NOT NULL</v>
      </c>
      <c r="T16" s="78" t="str">
        <f t="shared" si="6"/>
        <v>-- 医薬品一般名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milscm_2023_009.sny_202310_backup_mt_iyakuhin_ippan_name.iyakuhin_ippan_name IS '医薬品一般名';</v>
      </c>
    </row>
    <row r="17" spans="1:52" s="25" customFormat="1" ht="30">
      <c r="A17" s="4"/>
      <c r="B17" s="21">
        <f t="shared" si="2"/>
        <v>5</v>
      </c>
      <c r="C17" s="6" t="s">
        <v>2589</v>
      </c>
      <c r="D17" s="6" t="s">
        <v>3340</v>
      </c>
      <c r="E17" s="8"/>
      <c r="F17" s="7" t="s">
        <v>317</v>
      </c>
      <c r="G17" s="7" t="str">
        <f t="shared" si="3"/>
        <v>text</v>
      </c>
      <c r="H17" s="26"/>
      <c r="I17" s="10" t="s">
        <v>127</v>
      </c>
      <c r="J17" s="11"/>
      <c r="M17" s="4"/>
      <c r="N17" s="78"/>
      <c r="O17" s="78"/>
      <c r="P17" s="78" t="str">
        <f t="shared" si="4"/>
        <v>,iyakuhin_ippan_englishname</v>
      </c>
      <c r="Q17" s="78" t="str">
        <f t="shared" si="0"/>
        <v>TEXT</v>
      </c>
      <c r="R17" s="78" t="str">
        <f t="shared" si="1"/>
        <v/>
      </c>
      <c r="S17" s="78" t="str">
        <f t="shared" si="5"/>
        <v>NOT NULL</v>
      </c>
      <c r="T17" s="78" t="str">
        <f t="shared" si="6"/>
        <v>-- 医薬品一般名英名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milscm_2023_009.sny_202310_backup_mt_iyakuhin_ippan_name.nen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milscm_2023_009.sny_202310_backup_mt_iyakuhin_ippan_name.nengetsu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milscm_2023_009.sny_202310_backup_mt_iyakuhin_ippan_name.update_ymd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ENT_01_A3-21</v>
      </c>
      <c r="E6" s="251"/>
      <c r="F6" s="251"/>
      <c r="G6" s="251"/>
      <c r="H6" s="251"/>
      <c r="I6" s="251"/>
      <c r="J6" s="252"/>
    </row>
    <row r="7" spans="1:45">
      <c r="B7" s="240" t="s">
        <v>115</v>
      </c>
      <c r="C7" s="241"/>
      <c r="D7" s="242" t="s">
        <v>3341</v>
      </c>
      <c r="E7" s="243"/>
      <c r="F7" s="243"/>
      <c r="G7" s="243"/>
      <c r="H7" s="243"/>
      <c r="I7" s="243"/>
      <c r="J7" s="244"/>
    </row>
    <row r="8" spans="1:45">
      <c r="B8" s="240" t="s">
        <v>116</v>
      </c>
      <c r="C8" s="241"/>
      <c r="D8" s="242" t="str">
        <f>エンティティ一覧!AE2&amp;"_"&amp;D5&amp;"_mt_iyakuhin_sales_kaisha"</f>
        <v>sny_202310_backup_mt_iyakuhin_sales_kaisha</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milscm_2023_009.sny_202310_backup_mt_iyakuhin_sales_kaisha;</v>
      </c>
      <c r="O10" s="78"/>
      <c r="P10" s="78"/>
      <c r="Q10" s="78"/>
      <c r="R10" s="78"/>
      <c r="S10" s="78"/>
      <c r="T10" s="78"/>
      <c r="AJ10" s="78" t="str">
        <f>"ALTER TABLE ONLY "&amp;エンティティ一覧!$O$2&amp;"."&amp;D$8</f>
        <v>ALTER TABLE ONLY milscm_2023_009.sny_202310_backup_mt_iyakuhin_sales_kaisha</v>
      </c>
      <c r="AS10" s="78" t="str">
        <f>"ALTER TABLE "&amp;エンティティ一覧!$O$2&amp;"."&amp;D$8&amp;" OWNER TO pgmisgrp1;"</f>
        <v>ALTER TABLE milscm_2023_009.sny_202310_backup_mt_iyakuhin_sales_kaisha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milscm_2023_009.sny_202310_backup_mt_iyakuhin_sales_kaisha</v>
      </c>
      <c r="O11" s="78"/>
      <c r="P11" s="78"/>
      <c r="Q11" s="78"/>
      <c r="R11" s="78"/>
      <c r="S11" s="78"/>
      <c r="T11" s="78"/>
      <c r="AJ11" s="78" t="str">
        <f>"ADD CONSTRAINT "&amp;D$8&amp;"_pkey PRIMARY KEY"</f>
        <v>ADD CONSTRAINT sny_202310_backup_mt_iyakuhin_sales_kaisha_pkey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3342</v>
      </c>
      <c r="D16" s="6" t="s">
        <v>3343</v>
      </c>
      <c r="E16" s="8" t="s">
        <v>127</v>
      </c>
      <c r="F16" s="7" t="s">
        <v>317</v>
      </c>
      <c r="G16" s="7" t="str">
        <f t="shared" si="3"/>
        <v>text</v>
      </c>
      <c r="H16" s="26"/>
      <c r="I16" s="10" t="s">
        <v>127</v>
      </c>
      <c r="J16" s="11"/>
      <c r="M16" s="4"/>
      <c r="N16" s="78"/>
      <c r="O16" s="78"/>
      <c r="P16" s="78" t="str">
        <f t="shared" si="4"/>
        <v>,maker_code</v>
      </c>
      <c r="Q16" s="78" t="str">
        <f t="shared" si="0"/>
        <v>TEXT</v>
      </c>
      <c r="R16" s="78" t="str">
        <f t="shared" si="1"/>
        <v/>
      </c>
      <c r="S16" s="78" t="str">
        <f t="shared" si="5"/>
        <v>NOT NULL</v>
      </c>
      <c r="T16" s="78" t="str">
        <f t="shared" si="6"/>
        <v>-- メーカコード</v>
      </c>
      <c r="U16" s="4"/>
      <c r="AA16" s="4"/>
      <c r="AB16" s="4"/>
      <c r="AC16" s="4"/>
      <c r="AD16" s="4"/>
      <c r="AE16" s="4"/>
      <c r="AF16" s="4"/>
      <c r="AG16" s="4"/>
      <c r="AH16" s="4"/>
      <c r="AI16" s="4"/>
      <c r="AJ16" s="78" t="str">
        <f>IF(E16="○",IF(COUNTA(E$13:E16)=1,"",",")&amp;D16,"")</f>
        <v>,maker_code</v>
      </c>
      <c r="AK16" s="4"/>
      <c r="AL16" s="4"/>
      <c r="AM16" s="4"/>
      <c r="AN16" s="4"/>
      <c r="AO16" s="4"/>
      <c r="AP16" s="4"/>
      <c r="AQ16" s="4"/>
      <c r="AR16" s="4"/>
      <c r="AS16" s="78"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milscm_2023_009.sny_202310_backup_mt_iyakuhin_sales_kaisha.nen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milscm_2023_009.sny_202310_backup_mt_iyakuhin_sales_kaisha.nengetsu IS '年月';</v>
      </c>
    </row>
    <row r="19" spans="1:52" s="25" customFormat="1" ht="18"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milscm_2023_009.sny_202310_backup_mt_iyakuhin_sales_kaisha.update_ymd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ENT_01_A3-22</v>
      </c>
      <c r="E6" s="251"/>
      <c r="F6" s="251"/>
      <c r="G6" s="251"/>
      <c r="H6" s="251"/>
      <c r="I6" s="251"/>
      <c r="J6" s="252"/>
    </row>
    <row r="7" spans="1:45">
      <c r="B7" s="240" t="s">
        <v>115</v>
      </c>
      <c r="C7" s="241"/>
      <c r="D7" s="242" t="s">
        <v>3262</v>
      </c>
      <c r="E7" s="243"/>
      <c r="F7" s="243"/>
      <c r="G7" s="243"/>
      <c r="H7" s="243"/>
      <c r="I7" s="243"/>
      <c r="J7" s="244"/>
    </row>
    <row r="8" spans="1:45">
      <c r="B8" s="240" t="s">
        <v>116</v>
      </c>
      <c r="C8" s="241"/>
      <c r="D8" s="242" t="str">
        <f>エンティティ一覧!AE2&amp;"_"&amp;D5&amp;"_mt_maker"</f>
        <v>sny_202310_backup_mt_maker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メーカマスタテーブルから組入れ条件の第一条件で絞り込んだ結果を格納するテーブル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milscm_2023_009.sny_202310_backup_mt_maker;</v>
      </c>
      <c r="O10" s="78"/>
      <c r="P10" s="78"/>
      <c r="Q10" s="78"/>
      <c r="R10" s="78"/>
      <c r="S10" s="78"/>
      <c r="T10" s="78"/>
      <c r="AJ10" s="78" t="str">
        <f>"ALTER TABLE ONLY "&amp;エンティティ一覧!$O$2&amp;"."&amp;D$8</f>
        <v>ALTER TABLE ONLY milscm_2023_009.sny_202310_backup_mt_maker</v>
      </c>
      <c r="AS10" s="78" t="str">
        <f>"ALTER TABLE "&amp;エンティティ一覧!$O$2&amp;"."&amp;D$8&amp;" OWNER TO pgmisgrp1;"</f>
        <v>ALTER TABLE milscm_2023_009.sny_202310_backup_mt_maker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milscm_2023_009.sny_202310_backup_mt_maker</v>
      </c>
      <c r="O11" s="78"/>
      <c r="P11" s="78"/>
      <c r="Q11" s="78"/>
      <c r="R11" s="78"/>
      <c r="S11" s="78"/>
      <c r="T11" s="78"/>
      <c r="AJ11" s="78" t="str">
        <f>"ADD CONSTRAINT "&amp;D$8&amp;"_pkey PRIMARY KEY"</f>
        <v>ADD CONSTRAINT sny_202310_backup_mt_maker_pkey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milscm_2023_009.sny_202310_backup_mt_maker IS 'バックアップ_メーカマスタ';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milscm_2023_009.sny_202310_backup_mt_maker.koshin_kubun IS '更新区分';</v>
      </c>
    </row>
    <row r="15" spans="1:45" s="25" customFormat="1">
      <c r="A15" s="4"/>
      <c r="B15" s="21">
        <f t="shared" si="2"/>
        <v>3</v>
      </c>
      <c r="C15" s="6" t="s">
        <v>3342</v>
      </c>
      <c r="D15" s="6" t="s">
        <v>3343</v>
      </c>
      <c r="E15" s="8" t="s">
        <v>127</v>
      </c>
      <c r="F15" s="7" t="s">
        <v>317</v>
      </c>
      <c r="G15" s="7" t="str">
        <f t="shared" si="3"/>
        <v>text</v>
      </c>
      <c r="H15" s="26"/>
      <c r="I15" s="10" t="s">
        <v>127</v>
      </c>
      <c r="J15" s="11"/>
      <c r="M15" s="4"/>
      <c r="N15" s="78"/>
      <c r="O15" s="78"/>
      <c r="P15" s="78" t="str">
        <f t="shared" si="4"/>
        <v>,maker_code</v>
      </c>
      <c r="Q15" s="78" t="str">
        <f t="shared" si="0"/>
        <v>TEXT</v>
      </c>
      <c r="R15" s="78" t="str">
        <f t="shared" si="1"/>
        <v/>
      </c>
      <c r="S15" s="78" t="str">
        <f t="shared" si="5"/>
        <v>NOT NULL</v>
      </c>
      <c r="T15" s="78" t="str">
        <f t="shared" si="6"/>
        <v>-- メーカコード</v>
      </c>
      <c r="U15" s="4"/>
      <c r="AA15" s="4"/>
      <c r="AB15" s="4"/>
      <c r="AC15" s="4"/>
      <c r="AD15" s="4"/>
      <c r="AE15" s="4"/>
      <c r="AF15" s="4"/>
      <c r="AG15" s="4"/>
      <c r="AH15" s="4"/>
      <c r="AI15" s="4"/>
      <c r="AJ15" s="78" t="str">
        <f>IF(E15="○",IF(COUNTA(E$13:E15)=1,"",",")&amp;D15,"")</f>
        <v>,maker_code</v>
      </c>
      <c r="AK15" s="4"/>
      <c r="AL15" s="4"/>
      <c r="AM15" s="4"/>
      <c r="AN15" s="4"/>
      <c r="AO15" s="4"/>
      <c r="AP15" s="4"/>
      <c r="AQ15" s="4"/>
      <c r="AR15" s="4"/>
      <c r="AS15" s="78"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3344</v>
      </c>
      <c r="D16" s="6" t="s">
        <v>3345</v>
      </c>
      <c r="E16" s="8"/>
      <c r="F16" s="7" t="s">
        <v>317</v>
      </c>
      <c r="G16" s="7" t="str">
        <f t="shared" si="3"/>
        <v>text</v>
      </c>
      <c r="H16" s="26"/>
      <c r="I16" s="10" t="s">
        <v>127</v>
      </c>
      <c r="J16" s="11"/>
      <c r="M16" s="4"/>
      <c r="N16" s="78"/>
      <c r="O16" s="78"/>
      <c r="P16" s="78" t="str">
        <f t="shared" si="4"/>
        <v>,maker_name</v>
      </c>
      <c r="Q16" s="78" t="str">
        <f t="shared" si="0"/>
        <v>TEXT</v>
      </c>
      <c r="R16" s="78" t="str">
        <f t="shared" si="1"/>
        <v/>
      </c>
      <c r="S16" s="78" t="str">
        <f t="shared" si="5"/>
        <v>NOT NULL</v>
      </c>
      <c r="T16" s="78" t="str">
        <f t="shared" si="6"/>
        <v>-- メーカ名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milscm_2023_009.sny_202310_backup_mt_maker.maker_name IS 'メーカ名';</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milscm_2023_009.sny_202310_backup_mt_maker.nen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milscm_2023_009.sny_202310_backup_mt_maker.nengetsu IS '年月';</v>
      </c>
    </row>
    <row r="19" spans="1:52" s="25" customFormat="1" ht="18"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milscm_2023_009.sny_202310_backup_mt_maker.update_ymd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ENT_01_A3-23</v>
      </c>
      <c r="E6" s="251"/>
      <c r="F6" s="251"/>
      <c r="G6" s="251"/>
      <c r="H6" s="251"/>
      <c r="I6" s="251"/>
      <c r="J6" s="252"/>
    </row>
    <row r="7" spans="1:45">
      <c r="B7" s="240" t="s">
        <v>115</v>
      </c>
      <c r="C7" s="241"/>
      <c r="D7" s="242" t="s">
        <v>3346</v>
      </c>
      <c r="E7" s="243"/>
      <c r="F7" s="243"/>
      <c r="G7" s="243"/>
      <c r="H7" s="243"/>
      <c r="I7" s="243"/>
      <c r="J7" s="244"/>
    </row>
    <row r="8" spans="1:45">
      <c r="B8" s="240" t="s">
        <v>116</v>
      </c>
      <c r="C8" s="241"/>
      <c r="D8" s="242" t="str">
        <f>エンティティ一覧!AE2&amp;"_"&amp;D5&amp;"_mt_price"</f>
        <v>sny_202310_backup_mt_price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薬価マスタテーブルから組入れ条件の第一条件で絞り込んだ結果を格納するテーブル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milscm_2023_009.sny_202310_backup_mt_price;</v>
      </c>
      <c r="O10" s="78"/>
      <c r="P10" s="78"/>
      <c r="Q10" s="78"/>
      <c r="R10" s="78"/>
      <c r="S10" s="78"/>
      <c r="T10" s="78"/>
      <c r="AJ10" s="78" t="str">
        <f>"ALTER TABLE ONLY "&amp;エンティティ一覧!$O$2&amp;"."&amp;D$8</f>
        <v>ALTER TABLE ONLY milscm_2023_009.sny_202310_backup_mt_price</v>
      </c>
      <c r="AS10" s="78" t="str">
        <f>"ALTER TABLE "&amp;エンティティ一覧!$O$2&amp;"."&amp;D$8&amp;" OWNER TO pgmisgrp1;"</f>
        <v>ALTER TABLE milscm_2023_009.sny_202310_backup_mt_price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milscm_2023_009.sny_202310_backup_mt_price</v>
      </c>
      <c r="O11" s="78"/>
      <c r="P11" s="78"/>
      <c r="Q11" s="78"/>
      <c r="R11" s="78"/>
      <c r="S11" s="78"/>
      <c r="T11" s="78"/>
      <c r="AJ11" s="78" t="str">
        <f>"ADD CONSTRAINT "&amp;D$8&amp;"_pkey PRIMARY KEY"</f>
        <v>ADD CONSTRAINT sny_202310_backup_mt_price_pkey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milscm_2023_009.sny_202310_backup_mt_price IS 'バックアップ_薬価マスタ';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milscm_2023_009.sny_202310_backup_mt_price.koshin_kubun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3347</v>
      </c>
      <c r="D16" s="6" t="s">
        <v>3348</v>
      </c>
      <c r="E16" s="8"/>
      <c r="F16" s="7" t="s">
        <v>317</v>
      </c>
      <c r="G16" s="7" t="str">
        <f t="shared" si="3"/>
        <v>text</v>
      </c>
      <c r="H16" s="26"/>
      <c r="I16" s="10" t="s">
        <v>127</v>
      </c>
      <c r="J16" s="11" t="s">
        <v>3349</v>
      </c>
      <c r="M16" s="4"/>
      <c r="N16" s="78"/>
      <c r="O16" s="78"/>
      <c r="P16" s="78" t="str">
        <f t="shared" si="4"/>
        <v>,nendo</v>
      </c>
      <c r="Q16" s="78" t="str">
        <f t="shared" si="0"/>
        <v>TEXT</v>
      </c>
      <c r="R16" s="78" t="str">
        <f t="shared" si="1"/>
        <v/>
      </c>
      <c r="S16" s="78" t="str">
        <f t="shared" si="5"/>
        <v>NOT NULL</v>
      </c>
      <c r="T16" s="78" t="str">
        <f t="shared" si="6"/>
        <v>-- 年度</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milscm_2023_009.sny_202310_backup_mt_price.nendo IS '年度';</v>
      </c>
    </row>
    <row r="17" spans="1:52" s="25" customFormat="1" ht="34.799999999999997">
      <c r="A17" s="4"/>
      <c r="B17" s="21">
        <f t="shared" si="2"/>
        <v>5</v>
      </c>
      <c r="C17" s="6" t="s">
        <v>2623</v>
      </c>
      <c r="D17" s="6" t="s">
        <v>2624</v>
      </c>
      <c r="E17" s="8"/>
      <c r="F17" s="7" t="s">
        <v>332</v>
      </c>
      <c r="G17" s="7" t="str">
        <f t="shared" si="3"/>
        <v>numeric</v>
      </c>
      <c r="H17" s="26"/>
      <c r="I17" s="10" t="s">
        <v>127</v>
      </c>
      <c r="J17" s="11" t="s">
        <v>2415</v>
      </c>
      <c r="M17" s="4"/>
      <c r="N17" s="78"/>
      <c r="O17" s="78"/>
      <c r="P17" s="78" t="str">
        <f t="shared" si="4"/>
        <v>,price</v>
      </c>
      <c r="Q17" s="78" t="str">
        <f t="shared" si="0"/>
        <v>NUMERIC</v>
      </c>
      <c r="R17" s="78" t="str">
        <f t="shared" si="1"/>
        <v/>
      </c>
      <c r="S17" s="78" t="str">
        <f t="shared" si="5"/>
        <v>NOT NULL</v>
      </c>
      <c r="T17" s="78" t="str">
        <f t="shared" si="6"/>
        <v>-- 薬価</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milscm_2023_009.sny_202310_backup_mt_price.price IS '薬価';</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milscm_2023_009.sny_202310_backup_mt_price.nen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milscm_2023_009.sny_202310_backup_mt_price.nengetsu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milscm_2023_009.sny_202310_backup_mt_price.update_ymd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ENT_01_A3-24</v>
      </c>
      <c r="E6" s="251"/>
      <c r="F6" s="251"/>
      <c r="G6" s="251"/>
      <c r="H6" s="251"/>
      <c r="I6" s="251"/>
      <c r="J6" s="252"/>
    </row>
    <row r="7" spans="1:45">
      <c r="B7" s="240" t="s">
        <v>115</v>
      </c>
      <c r="C7" s="241"/>
      <c r="D7" s="242" t="s">
        <v>3264</v>
      </c>
      <c r="E7" s="243"/>
      <c r="F7" s="243"/>
      <c r="G7" s="243"/>
      <c r="H7" s="243"/>
      <c r="I7" s="243"/>
      <c r="J7" s="244"/>
    </row>
    <row r="8" spans="1:45">
      <c r="B8" s="240" t="s">
        <v>116</v>
      </c>
      <c r="C8" s="241"/>
      <c r="D8" s="242" t="str">
        <f>エンティティ一覧!AE2&amp;"_"&amp;D5&amp;"_mt_yakko_atc1"</f>
        <v>sny_202310_backup_mt_yakko_atc1</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薬効ATC分類1マスタテーブルから組入れ条件の第一条件で絞り込んだ結果を格納するテーブル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milscm_2023_009.sny_202310_backup_mt_yakko_atc1;</v>
      </c>
      <c r="O10" s="78"/>
      <c r="P10" s="78"/>
      <c r="Q10" s="78"/>
      <c r="R10" s="78"/>
      <c r="S10" s="78"/>
      <c r="T10" s="78"/>
      <c r="AJ10" s="78" t="str">
        <f>"ALTER TABLE ONLY "&amp;エンティティ一覧!$O$2&amp;"."&amp;D$8</f>
        <v>ALTER TABLE ONLY milscm_2023_009.sny_202310_backup_mt_yakko_atc1</v>
      </c>
      <c r="AS10" s="78" t="str">
        <f>"ALTER TABLE "&amp;エンティティ一覧!$O$2&amp;"."&amp;D$8&amp;" OWNER TO pgmisgrp1;"</f>
        <v>ALTER TABLE milscm_2023_009.sny_202310_backup_mt_yakko_atc1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milscm_2023_009.sny_202310_backup_mt_yakko_atc1</v>
      </c>
      <c r="O11" s="78"/>
      <c r="P11" s="78"/>
      <c r="Q11" s="78"/>
      <c r="R11" s="78"/>
      <c r="S11" s="78"/>
      <c r="T11" s="78"/>
      <c r="AJ11" s="78" t="str">
        <f>"ADD CONSTRAINT "&amp;D$8&amp;"_pkey PRIMARY KEY"</f>
        <v>ADD CONSTRAINT sny_202310_backup_mt_yakko_atc1_pkey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2590</v>
      </c>
      <c r="D16" s="6" t="s">
        <v>3350</v>
      </c>
      <c r="E16" s="8"/>
      <c r="F16" s="7" t="s">
        <v>317</v>
      </c>
      <c r="G16" s="7" t="str">
        <f t="shared" si="3"/>
        <v>text</v>
      </c>
      <c r="H16" s="26"/>
      <c r="I16" s="10" t="s">
        <v>127</v>
      </c>
      <c r="J16" s="11"/>
      <c r="M16" s="4"/>
      <c r="N16" s="78"/>
      <c r="O16" s="78"/>
      <c r="P16" s="78" t="str">
        <f t="shared" si="4"/>
        <v>,yakko_bunrui1_name</v>
      </c>
      <c r="Q16" s="78" t="str">
        <f t="shared" si="0"/>
        <v>TEXT</v>
      </c>
      <c r="R16" s="78" t="str">
        <f t="shared" si="1"/>
        <v/>
      </c>
      <c r="S16" s="78" t="str">
        <f t="shared" si="5"/>
        <v>NOT NULL</v>
      </c>
      <c r="T16" s="78" t="str">
        <f t="shared" si="6"/>
        <v>-- 薬効分類1名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milscm_2023_009.sny_202310_backup_mt_yakko_atc1.yakko_bunrui1_name IS '薬効分類1名';</v>
      </c>
    </row>
    <row r="17" spans="1:52" s="25" customFormat="1" ht="30">
      <c r="A17" s="4"/>
      <c r="B17" s="21">
        <f t="shared" si="2"/>
        <v>5</v>
      </c>
      <c r="C17" s="6" t="s">
        <v>3351</v>
      </c>
      <c r="D17" s="6" t="s">
        <v>2591</v>
      </c>
      <c r="E17" s="8"/>
      <c r="F17" s="7" t="s">
        <v>317</v>
      </c>
      <c r="G17" s="7" t="str">
        <f t="shared" si="3"/>
        <v>text</v>
      </c>
      <c r="H17" s="26"/>
      <c r="I17" s="10" t="s">
        <v>127</v>
      </c>
      <c r="J17" s="11"/>
      <c r="M17" s="4"/>
      <c r="N17" s="78"/>
      <c r="O17" s="78"/>
      <c r="P17" s="78" t="str">
        <f t="shared" si="4"/>
        <v>,yakko_bunrui1_jpn_name</v>
      </c>
      <c r="Q17" s="78" t="str">
        <f t="shared" si="0"/>
        <v>TEXT</v>
      </c>
      <c r="R17" s="78" t="str">
        <f t="shared" si="1"/>
        <v/>
      </c>
      <c r="S17" s="78" t="str">
        <f t="shared" si="5"/>
        <v>NOT NULL</v>
      </c>
      <c r="T17" s="78" t="str">
        <f t="shared" si="6"/>
        <v>-- 薬効分類1日本語名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milscm_2023_009.sny_202310_backup_mt_yakko_atc1.nen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milscm_2023_009.sny_202310_backup_mt_yakko_atc1.nengetsu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milscm_2023_009.sny_202310_backup_mt_yakko_atc1.update_ymd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ENT_01_A3-25</v>
      </c>
      <c r="E6" s="251"/>
      <c r="F6" s="251"/>
      <c r="G6" s="251"/>
      <c r="H6" s="251"/>
      <c r="I6" s="251"/>
      <c r="J6" s="252"/>
    </row>
    <row r="7" spans="1:45">
      <c r="B7" s="240" t="s">
        <v>115</v>
      </c>
      <c r="C7" s="241"/>
      <c r="D7" s="242" t="s">
        <v>3352</v>
      </c>
      <c r="E7" s="243"/>
      <c r="F7" s="243"/>
      <c r="G7" s="243"/>
      <c r="H7" s="243"/>
      <c r="I7" s="243"/>
      <c r="J7" s="244"/>
    </row>
    <row r="8" spans="1:45">
      <c r="B8" s="240" t="s">
        <v>116</v>
      </c>
      <c r="C8" s="241"/>
      <c r="D8" s="242" t="str">
        <f>エンティティ一覧!AE2&amp;"_"&amp;D5&amp;"_mt_yakko_atc2"</f>
        <v>sny_202310_backup_mt_yakko_atc2</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薬効ATC分類2マスタテーブルから組入れ条件の第一条件で絞り込んだ結果を格納するテーブル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milscm_2023_009.sny_202310_backup_mt_yakko_atc2;</v>
      </c>
      <c r="O10" s="78"/>
      <c r="P10" s="78"/>
      <c r="Q10" s="78"/>
      <c r="R10" s="78"/>
      <c r="S10" s="78"/>
      <c r="T10" s="78"/>
      <c r="AJ10" s="78" t="str">
        <f>"ALTER TABLE ONLY "&amp;エンティティ一覧!$O$2&amp;"."&amp;D$8</f>
        <v>ALTER TABLE ONLY milscm_2023_009.sny_202310_backup_mt_yakko_atc2</v>
      </c>
      <c r="AS10" s="78" t="str">
        <f>"ALTER TABLE "&amp;エンティティ一覧!$O$2&amp;"."&amp;D$8&amp;" OWNER TO pgmisgrp1;"</f>
        <v>ALTER TABLE milscm_2023_009.sny_202310_backup_mt_yakko_atc2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milscm_2023_009.sny_202310_backup_mt_yakko_atc2</v>
      </c>
      <c r="O11" s="78"/>
      <c r="P11" s="78"/>
      <c r="Q11" s="78"/>
      <c r="R11" s="78"/>
      <c r="S11" s="78"/>
      <c r="T11" s="78"/>
      <c r="AJ11" s="78" t="str">
        <f>"ADD CONSTRAINT "&amp;D$8&amp;"_pkey PRIMARY KEY"</f>
        <v>ADD CONSTRAINT sny_202310_backup_mt_yakko_atc2_pkey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2592</v>
      </c>
      <c r="D17" s="6" t="s">
        <v>3353</v>
      </c>
      <c r="E17" s="8"/>
      <c r="F17" s="7" t="s">
        <v>317</v>
      </c>
      <c r="G17" s="7" t="str">
        <f t="shared" si="3"/>
        <v>text</v>
      </c>
      <c r="H17" s="26"/>
      <c r="I17" s="10" t="s">
        <v>127</v>
      </c>
      <c r="J17" s="11"/>
      <c r="M17" s="4"/>
      <c r="N17" s="78"/>
      <c r="O17" s="78"/>
      <c r="P17" s="78" t="str">
        <f t="shared" si="4"/>
        <v>,yakko_bunrui2_name</v>
      </c>
      <c r="Q17" s="78" t="str">
        <f t="shared" si="0"/>
        <v>TEXT</v>
      </c>
      <c r="R17" s="78" t="str">
        <f t="shared" si="1"/>
        <v/>
      </c>
      <c r="S17" s="78" t="str">
        <f t="shared" si="5"/>
        <v>NOT NULL</v>
      </c>
      <c r="T17" s="78" t="str">
        <f t="shared" si="6"/>
        <v>-- 薬効分類2名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milscm_2023_009.sny_202310_backup_mt_yakko_atc2.yakko_bunrui2_name IS '薬効分類2名';</v>
      </c>
    </row>
    <row r="18" spans="1:52" s="25" customFormat="1" ht="30">
      <c r="A18" s="4"/>
      <c r="B18" s="21">
        <f t="shared" si="2"/>
        <v>6</v>
      </c>
      <c r="C18" s="6" t="s">
        <v>3354</v>
      </c>
      <c r="D18" s="6" t="s">
        <v>2593</v>
      </c>
      <c r="E18" s="8"/>
      <c r="F18" s="7" t="s">
        <v>317</v>
      </c>
      <c r="G18" s="7" t="str">
        <f t="shared" ref="G18" si="7">IF(F18="フラグ","boolean",IF(F18="文字列","text",IF(F18="整数","integer",IF(F18="実数","numeric",""))))</f>
        <v>text</v>
      </c>
      <c r="H18" s="26"/>
      <c r="I18" s="10" t="s">
        <v>127</v>
      </c>
      <c r="J18" s="11"/>
      <c r="M18" s="4"/>
      <c r="N18" s="78"/>
      <c r="O18" s="78"/>
      <c r="P18" s="78" t="str">
        <f t="shared" ref="P18" si="8">IF(B18&lt;&gt;1,","&amp;D18,D18)</f>
        <v>,yakko_bunrui2_jpn_name</v>
      </c>
      <c r="Q18" s="78" t="str">
        <f t="shared" ref="Q18" si="9">UPPER(G18)</f>
        <v>TEXT</v>
      </c>
      <c r="R18" s="78" t="str">
        <f t="shared" ref="R18" si="10">IF(H18&lt;&gt;"","default "&amp;IF(G18="text","'"&amp;H18&amp;"'",H18),"")</f>
        <v/>
      </c>
      <c r="S18" s="78" t="str">
        <f t="shared" ref="S18" si="11">IF(I18="○","NOT NULL","")</f>
        <v>NOT NULL</v>
      </c>
      <c r="T18" s="78" t="str">
        <f t="shared" ref="T18" si="12">"-- "&amp;C18</f>
        <v>-- 薬効分類2日本語名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milscm_2023_009.sny_202310_backup_mt_yakko_atc2.nen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milscm_2023_009.sny_202310_backup_mt_yakko_atc2.nengetsu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milscm_2023_009.sny_202310_backup_mt_yakko_atc2.update_ymd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ENT_01_A3-26</v>
      </c>
      <c r="E6" s="251"/>
      <c r="F6" s="251"/>
      <c r="G6" s="251"/>
      <c r="H6" s="251"/>
      <c r="I6" s="251"/>
      <c r="J6" s="252"/>
    </row>
    <row r="7" spans="1:45">
      <c r="B7" s="240" t="s">
        <v>115</v>
      </c>
      <c r="C7" s="241"/>
      <c r="D7" s="242" t="s">
        <v>3355</v>
      </c>
      <c r="E7" s="243"/>
      <c r="F7" s="243"/>
      <c r="G7" s="243"/>
      <c r="H7" s="243"/>
      <c r="I7" s="243"/>
      <c r="J7" s="244"/>
    </row>
    <row r="8" spans="1:45">
      <c r="B8" s="240" t="s">
        <v>116</v>
      </c>
      <c r="C8" s="241"/>
      <c r="D8" s="242" t="str">
        <f>エンティティ一覧!AE2&amp;"_"&amp;D5&amp;"_mt_yakko_atc3"</f>
        <v>sny_202310_backup_mt_yakko_atc3</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薬効ATC分類3マスタテーブルから組入れ条件の第一条件で絞り込んだ結果を格納するテーブル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milscm_2023_009.sny_202310_backup_mt_yakko_atc3;</v>
      </c>
      <c r="O10" s="78"/>
      <c r="P10" s="78"/>
      <c r="Q10" s="78"/>
      <c r="R10" s="78"/>
      <c r="S10" s="78"/>
      <c r="T10" s="78"/>
      <c r="AJ10" s="78" t="str">
        <f>"ALTER TABLE ONLY "&amp;エンティティ一覧!$O$2&amp;"."&amp;D$8</f>
        <v>ALTER TABLE ONLY milscm_2023_009.sny_202310_backup_mt_yakko_atc3</v>
      </c>
      <c r="AS10" s="78" t="str">
        <f>"ALTER TABLE "&amp;エンティティ一覧!$O$2&amp;"."&amp;D$8&amp;" OWNER TO pgmisgrp1;"</f>
        <v>ALTER TABLE milscm_2023_009.sny_202310_backup_mt_yakko_atc3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milscm_2023_009.sny_202310_backup_mt_yakko_atc3</v>
      </c>
      <c r="O11" s="78"/>
      <c r="P11" s="78"/>
      <c r="Q11" s="78"/>
      <c r="R11" s="78"/>
      <c r="S11" s="78"/>
      <c r="T11" s="78"/>
      <c r="AJ11" s="78" t="str">
        <f>"ADD CONSTRAINT "&amp;D$8&amp;"_pkey PRIMARY KEY"</f>
        <v>ADD CONSTRAINT sny_202310_backup_mt_yakko_atc3_pkey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2594</v>
      </c>
      <c r="D18" s="6" t="s">
        <v>3356</v>
      </c>
      <c r="E18" s="8"/>
      <c r="F18" s="7" t="s">
        <v>317</v>
      </c>
      <c r="G18" s="7" t="str">
        <f t="shared" si="3"/>
        <v>text</v>
      </c>
      <c r="H18" s="26"/>
      <c r="I18" s="10" t="s">
        <v>127</v>
      </c>
      <c r="J18" s="11"/>
      <c r="M18" s="4"/>
      <c r="N18" s="78"/>
      <c r="O18" s="78"/>
      <c r="P18" s="78" t="str">
        <f t="shared" si="4"/>
        <v>,yakko_bunrui3_name</v>
      </c>
      <c r="Q18" s="78" t="str">
        <f t="shared" si="0"/>
        <v>TEXT</v>
      </c>
      <c r="R18" s="78" t="str">
        <f t="shared" si="1"/>
        <v/>
      </c>
      <c r="S18" s="78" t="str">
        <f t="shared" si="5"/>
        <v>NOT NULL</v>
      </c>
      <c r="T18" s="78" t="str">
        <f t="shared" si="6"/>
        <v>-- 薬効分類3名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milscm_2023_009.sny_202310_backup_mt_yakko_atc3.yakko_bunrui3_name IS '薬効分類3名';</v>
      </c>
    </row>
    <row r="19" spans="1:52" s="25" customFormat="1" ht="30">
      <c r="A19" s="4"/>
      <c r="B19" s="21">
        <f t="shared" si="2"/>
        <v>7</v>
      </c>
      <c r="C19" s="6" t="s">
        <v>3357</v>
      </c>
      <c r="D19" s="6" t="s">
        <v>2595</v>
      </c>
      <c r="E19" s="8"/>
      <c r="F19" s="7" t="s">
        <v>317</v>
      </c>
      <c r="G19" s="7" t="str">
        <f t="shared" si="3"/>
        <v>text</v>
      </c>
      <c r="H19" s="26"/>
      <c r="I19" s="10" t="s">
        <v>127</v>
      </c>
      <c r="J19" s="11"/>
      <c r="M19" s="4"/>
      <c r="N19" s="78"/>
      <c r="O19" s="78"/>
      <c r="P19" s="78" t="str">
        <f t="shared" si="4"/>
        <v>,yakko_bunrui3_jpn_name</v>
      </c>
      <c r="Q19" s="78" t="str">
        <f t="shared" si="0"/>
        <v>TEXT</v>
      </c>
      <c r="R19" s="78" t="str">
        <f t="shared" si="1"/>
        <v/>
      </c>
      <c r="S19" s="78" t="str">
        <f t="shared" si="5"/>
        <v>NOT NULL</v>
      </c>
      <c r="T19" s="78" t="str">
        <f t="shared" si="6"/>
        <v>-- 薬効分類3日本語名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3326</v>
      </c>
      <c r="D20" s="6" t="s">
        <v>3327</v>
      </c>
      <c r="E20" s="8"/>
      <c r="F20" s="7" t="s">
        <v>317</v>
      </c>
      <c r="G20" s="7" t="str">
        <f t="shared" ref="G20" si="7">IF(F20="フラグ","boolean",IF(F20="文字列","text",IF(F20="整数","integer",IF(F20="実数","numeric",""))))</f>
        <v>text</v>
      </c>
      <c r="H20" s="26"/>
      <c r="I20" s="10" t="s">
        <v>127</v>
      </c>
      <c r="J20" s="11" t="s">
        <v>3334</v>
      </c>
      <c r="M20" s="4"/>
      <c r="N20" s="78"/>
      <c r="O20" s="78"/>
      <c r="P20" s="78" t="str">
        <f t="shared" ref="P20" si="8">IF(B20&lt;&gt;1,","&amp;D20,D20)</f>
        <v>,nen</v>
      </c>
      <c r="Q20" s="78" t="str">
        <f t="shared" ref="Q20" si="9">UPPER(G20)</f>
        <v>TEXT</v>
      </c>
      <c r="R20" s="78" t="str">
        <f t="shared" ref="R20" si="10">IF(H20&lt;&gt;"","default "&amp;IF(G20="text","'"&amp;H20&amp;"'",H20),"")</f>
        <v/>
      </c>
      <c r="S20" s="78" t="str">
        <f t="shared" ref="S20" si="11">IF(I20="○","NOT NULL","")</f>
        <v>NOT NULL</v>
      </c>
      <c r="T20" s="78" t="str">
        <f t="shared" ref="T20" si="12">"-- "&amp;C20</f>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milscm_2023_009.sny_202310_backup_mt_yakko_atc3.nen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milscm_2023_009.sny_202310_backup_mt_yakko_atc3.nengetsu IS '年月';</v>
      </c>
    </row>
    <row r="22" spans="1:52" s="25" customFormat="1" ht="18"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milscm_2023_009.sny_202310_backup_mt_yakko_atc3.update_ymd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ENT_01_A3-27</v>
      </c>
      <c r="E6" s="251"/>
      <c r="F6" s="251"/>
      <c r="G6" s="251"/>
      <c r="H6" s="251"/>
      <c r="I6" s="251"/>
      <c r="J6" s="252"/>
    </row>
    <row r="7" spans="1:45">
      <c r="B7" s="240" t="s">
        <v>115</v>
      </c>
      <c r="C7" s="241"/>
      <c r="D7" s="242" t="s">
        <v>3358</v>
      </c>
      <c r="E7" s="243"/>
      <c r="F7" s="243"/>
      <c r="G7" s="243"/>
      <c r="H7" s="243"/>
      <c r="I7" s="243"/>
      <c r="J7" s="244"/>
    </row>
    <row r="8" spans="1:45">
      <c r="B8" s="240" t="s">
        <v>116</v>
      </c>
      <c r="C8" s="241"/>
      <c r="D8" s="242" t="str">
        <f>エンティティ一覧!AE2&amp;"_"&amp;D5&amp;"_mt_yakko_atc4"</f>
        <v>sny_202310_backup_mt_yakko_atc4</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薬効ATC分類4マスタテーブルから組入れ条件の第一条件で絞り込んだ結果を格納するテーブル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milscm_2023_009.sny_202310_backup_mt_yakko_atc4;</v>
      </c>
      <c r="O10" s="78"/>
      <c r="P10" s="78"/>
      <c r="Q10" s="78"/>
      <c r="R10" s="78"/>
      <c r="S10" s="78"/>
      <c r="T10" s="78"/>
      <c r="AJ10" s="78" t="str">
        <f>"ALTER TABLE ONLY "&amp;エンティティ一覧!$O$2&amp;"."&amp;D$8</f>
        <v>ALTER TABLE ONLY milscm_2023_009.sny_202310_backup_mt_yakko_atc4</v>
      </c>
      <c r="AS10" s="78" t="str">
        <f>"ALTER TABLE "&amp;エンティティ一覧!$O$2&amp;"."&amp;D$8&amp;" OWNER TO pgmisgrp1;"</f>
        <v>ALTER TABLE milscm_2023_009.sny_202310_backup_mt_yakko_atc4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milscm_2023_009.sny_202310_backup_mt_yakko_atc4</v>
      </c>
      <c r="O11" s="78"/>
      <c r="P11" s="78"/>
      <c r="Q11" s="78"/>
      <c r="R11" s="78"/>
      <c r="S11" s="78"/>
      <c r="T11" s="78"/>
      <c r="AJ11" s="78" t="str">
        <f>"ADD CONSTRAINT "&amp;D$8&amp;"_pkey PRIMARY KEY"</f>
        <v>ADD CONSTRAINT sny_202310_backup_mt_yakko_atc4_pkey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2596</v>
      </c>
      <c r="D19" s="6" t="s">
        <v>3359</v>
      </c>
      <c r="E19" s="8"/>
      <c r="F19" s="7" t="s">
        <v>317</v>
      </c>
      <c r="G19" s="7" t="str">
        <f t="shared" ref="G19" si="7">IF(F19="フラグ","boolean",IF(F19="文字列","text",IF(F19="整数","integer",IF(F19="実数","numeric",""))))</f>
        <v>text</v>
      </c>
      <c r="H19" s="26"/>
      <c r="I19" s="10" t="s">
        <v>127</v>
      </c>
      <c r="J19" s="11"/>
      <c r="M19" s="4"/>
      <c r="N19" s="78"/>
      <c r="O19" s="78"/>
      <c r="P19" s="78" t="str">
        <f t="shared" ref="P19" si="8">IF(B19&lt;&gt;1,","&amp;D19,D19)</f>
        <v>,yakko_bunrui4_name</v>
      </c>
      <c r="Q19" s="78" t="str">
        <f t="shared" ref="Q19" si="9">UPPER(G19)</f>
        <v>TEXT</v>
      </c>
      <c r="R19" s="78" t="str">
        <f t="shared" ref="R19" si="10">IF(H19&lt;&gt;"","default "&amp;IF(G19="text","'"&amp;H19&amp;"'",H19),"")</f>
        <v/>
      </c>
      <c r="S19" s="78" t="str">
        <f t="shared" ref="S19" si="11">IF(I19="○","NOT NULL","")</f>
        <v>NOT NULL</v>
      </c>
      <c r="T19" s="78" t="str">
        <f t="shared" ref="T19" si="12">"-- "&amp;C19</f>
        <v>-- 薬効分類4名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milscm_2023_009.sny_202310_backup_mt_yakko_atc4.yakko_bunrui4_name IS '薬効分類4名';</v>
      </c>
    </row>
    <row r="20" spans="1:52" s="25" customFormat="1" ht="30">
      <c r="A20" s="4"/>
      <c r="B20" s="21">
        <f t="shared" si="2"/>
        <v>8</v>
      </c>
      <c r="C20" s="6" t="s">
        <v>3360</v>
      </c>
      <c r="D20" s="6" t="s">
        <v>2597</v>
      </c>
      <c r="E20" s="8"/>
      <c r="F20" s="7" t="s">
        <v>317</v>
      </c>
      <c r="G20" s="7" t="str">
        <f t="shared" si="3"/>
        <v>text</v>
      </c>
      <c r="H20" s="26"/>
      <c r="I20" s="10" t="s">
        <v>127</v>
      </c>
      <c r="J20" s="11"/>
      <c r="M20" s="4"/>
      <c r="N20" s="78"/>
      <c r="O20" s="78"/>
      <c r="P20" s="78" t="str">
        <f t="shared" si="4"/>
        <v>,yakko_bunrui4_jpn_name</v>
      </c>
      <c r="Q20" s="78" t="str">
        <f t="shared" si="0"/>
        <v>TEXT</v>
      </c>
      <c r="R20" s="78" t="str">
        <f t="shared" si="1"/>
        <v/>
      </c>
      <c r="S20" s="78" t="str">
        <f t="shared" si="5"/>
        <v>NOT NULL</v>
      </c>
      <c r="T20" s="78" t="str">
        <f t="shared" si="6"/>
        <v>-- 薬効分類4日本語名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milscm_2023_009.sny_202310_backup_mt_yakko_atc4.nen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milscm_2023_009.sny_202310_backup_mt_yakko_atc4.nengetsu IS '年月';</v>
      </c>
    </row>
    <row r="23" spans="1:52" s="25" customFormat="1" ht="18"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milscm_2023_009.sny_202310_backup_mt_yakko_atc4.update_ymd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ENT_01_A3-28</v>
      </c>
      <c r="E6" s="251"/>
      <c r="F6" s="251"/>
      <c r="G6" s="251"/>
      <c r="H6" s="251"/>
      <c r="I6" s="251"/>
      <c r="J6" s="252"/>
    </row>
    <row r="7" spans="1:45">
      <c r="B7" s="240" t="s">
        <v>115</v>
      </c>
      <c r="C7" s="241"/>
      <c r="D7" s="242" t="s">
        <v>3361</v>
      </c>
      <c r="E7" s="243"/>
      <c r="F7" s="243"/>
      <c r="G7" s="243"/>
      <c r="H7" s="243"/>
      <c r="I7" s="243"/>
      <c r="J7" s="244"/>
    </row>
    <row r="8" spans="1:45">
      <c r="B8" s="240" t="s">
        <v>116</v>
      </c>
      <c r="C8" s="241"/>
      <c r="D8" s="242" t="str">
        <f>エンティティ一覧!AE2&amp;"_"&amp;D5&amp;"_mt_yakko_atc5"</f>
        <v>sny_202310_backup_mt_yakko_atc5</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薬効ATC分類5マスタテーブルから組入れ条件の第一条件で絞り込んだ結果を格納するテーブル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milscm_2023_009.sny_202310_backup_mt_yakko_atc5;</v>
      </c>
      <c r="O10" s="78"/>
      <c r="P10" s="78"/>
      <c r="Q10" s="78"/>
      <c r="R10" s="78"/>
      <c r="S10" s="78"/>
      <c r="T10" s="78"/>
      <c r="AJ10" s="78" t="str">
        <f>"ALTER TABLE ONLY "&amp;エンティティ一覧!$O$2&amp;"."&amp;D$8</f>
        <v>ALTER TABLE ONLY milscm_2023_009.sny_202310_backup_mt_yakko_atc5</v>
      </c>
      <c r="AS10" s="78" t="str">
        <f>"ALTER TABLE "&amp;エンティティ一覧!$O$2&amp;"."&amp;D$8&amp;" OWNER TO pgmisgrp1;"</f>
        <v>ALTER TABLE milscm_2023_009.sny_202310_backup_mt_yakko_atc5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milscm_2023_009.sny_202310_backup_mt_yakko_atc5</v>
      </c>
      <c r="O11" s="78"/>
      <c r="P11" s="78"/>
      <c r="Q11" s="78"/>
      <c r="R11" s="78"/>
      <c r="S11" s="78"/>
      <c r="T11" s="78"/>
      <c r="AJ11" s="78" t="str">
        <f>"ADD CONSTRAINT "&amp;D$8&amp;"_pkey PRIMARY KEY"</f>
        <v>ADD CONSTRAINT sny_202310_backup_mt_yakko_atc5_pkey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4" si="0">UPPER(G13)</f>
        <v>TEXT</v>
      </c>
      <c r="R13" s="78" t="str">
        <f t="shared" ref="R13:R2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3307</v>
      </c>
      <c r="D14" s="6" t="s">
        <v>2067</v>
      </c>
      <c r="E14" s="8" t="s">
        <v>127</v>
      </c>
      <c r="F14" s="7" t="s">
        <v>317</v>
      </c>
      <c r="G14" s="7" t="str">
        <f t="shared" ref="G14:G24" si="3">IF(F14="フラグ","boolean",IF(F14="文字列","text",IF(F14="整数","integer",IF(F14="実数","numeric",""))))</f>
        <v>text</v>
      </c>
      <c r="H14" s="26"/>
      <c r="I14" s="10" t="s">
        <v>127</v>
      </c>
      <c r="J14" s="11" t="s">
        <v>3332</v>
      </c>
      <c r="M14" s="4"/>
      <c r="N14" s="78"/>
      <c r="O14" s="78"/>
      <c r="P14" s="78" t="str">
        <f t="shared" ref="P14:P24" si="4">IF(B14&lt;&gt;1,","&amp;D14,D14)</f>
        <v>,koshin_kubun</v>
      </c>
      <c r="Q14" s="78" t="str">
        <f t="shared" si="0"/>
        <v>TEXT</v>
      </c>
      <c r="R14" s="78" t="str">
        <f t="shared" si="1"/>
        <v/>
      </c>
      <c r="S14" s="78" t="str">
        <f t="shared" ref="S14:S24" si="5">IF(I14="○","NOT NULL","")</f>
        <v>NOT NULL</v>
      </c>
      <c r="T14" s="78" t="str">
        <f t="shared" ref="T14:T2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2580</v>
      </c>
      <c r="D19" s="6" t="s">
        <v>3312</v>
      </c>
      <c r="E19" s="8" t="s">
        <v>127</v>
      </c>
      <c r="F19" s="7" t="s">
        <v>317</v>
      </c>
      <c r="G19" s="7" t="str">
        <f t="shared" si="3"/>
        <v>text</v>
      </c>
      <c r="H19" s="26"/>
      <c r="I19" s="10" t="s">
        <v>127</v>
      </c>
      <c r="J19" s="11"/>
      <c r="M19" s="4"/>
      <c r="N19" s="78"/>
      <c r="O19" s="78"/>
      <c r="P19" s="78" t="str">
        <f t="shared" si="4"/>
        <v>,yakko_bunrui5_code</v>
      </c>
      <c r="Q19" s="78" t="str">
        <f t="shared" si="0"/>
        <v>TEXT</v>
      </c>
      <c r="R19" s="78" t="str">
        <f t="shared" si="1"/>
        <v/>
      </c>
      <c r="S19" s="78" t="str">
        <f t="shared" si="5"/>
        <v>NOT NULL</v>
      </c>
      <c r="T19" s="78" t="str">
        <f t="shared" si="6"/>
        <v>-- 薬効分類5コード</v>
      </c>
      <c r="U19" s="4"/>
      <c r="AA19" s="4"/>
      <c r="AB19" s="4"/>
      <c r="AC19" s="4"/>
      <c r="AD19" s="4"/>
      <c r="AE19" s="4"/>
      <c r="AF19" s="4"/>
      <c r="AG19" s="4"/>
      <c r="AH19" s="4"/>
      <c r="AI19" s="4"/>
      <c r="AJ19" s="78" t="str">
        <f>IF(E19="○",IF(COUNTA(E$13:E19)=1,"",",")&amp;D19,"")</f>
        <v>,yakko_bunrui5_code</v>
      </c>
      <c r="AK19" s="4"/>
      <c r="AL19" s="4"/>
      <c r="AM19" s="4"/>
      <c r="AN19" s="4"/>
      <c r="AO19" s="4"/>
      <c r="AP19" s="4"/>
      <c r="AQ19" s="4"/>
      <c r="AR19" s="4"/>
      <c r="AS19" s="78"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2598</v>
      </c>
      <c r="D20" s="6" t="s">
        <v>3362</v>
      </c>
      <c r="E20" s="8"/>
      <c r="F20" s="7" t="s">
        <v>317</v>
      </c>
      <c r="G20" s="7" t="str">
        <f t="shared" si="3"/>
        <v>text</v>
      </c>
      <c r="H20" s="26"/>
      <c r="I20" s="10" t="s">
        <v>127</v>
      </c>
      <c r="J20" s="11"/>
      <c r="M20" s="4"/>
      <c r="N20" s="78"/>
      <c r="O20" s="78"/>
      <c r="P20" s="78" t="str">
        <f t="shared" si="4"/>
        <v>,yakko_bunrui5_name</v>
      </c>
      <c r="Q20" s="78" t="str">
        <f t="shared" si="0"/>
        <v>TEXT</v>
      </c>
      <c r="R20" s="78" t="str">
        <f t="shared" si="1"/>
        <v/>
      </c>
      <c r="S20" s="78" t="str">
        <f t="shared" si="5"/>
        <v>NOT NULL</v>
      </c>
      <c r="T20" s="78" t="str">
        <f t="shared" si="6"/>
        <v>-- 薬効分類5名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milscm_2023_009.sny_202310_backup_mt_yakko_atc5.yakko_bunrui5_name IS '薬効分類5名';</v>
      </c>
    </row>
    <row r="21" spans="1:52" s="25" customFormat="1" ht="30">
      <c r="A21" s="4"/>
      <c r="B21" s="21">
        <f t="shared" si="2"/>
        <v>9</v>
      </c>
      <c r="C21" s="6" t="s">
        <v>3363</v>
      </c>
      <c r="D21" s="6" t="s">
        <v>2599</v>
      </c>
      <c r="E21" s="8"/>
      <c r="F21" s="7" t="s">
        <v>317</v>
      </c>
      <c r="G21" s="7" t="str">
        <f t="shared" ref="G21" si="7">IF(F21="フラグ","boolean",IF(F21="文字列","text",IF(F21="整数","integer",IF(F21="実数","numeric",""))))</f>
        <v>text</v>
      </c>
      <c r="H21" s="26"/>
      <c r="I21" s="10" t="s">
        <v>127</v>
      </c>
      <c r="J21" s="11"/>
      <c r="M21" s="4"/>
      <c r="N21" s="78"/>
      <c r="O21" s="78"/>
      <c r="P21" s="78" t="str">
        <f t="shared" ref="P21" si="8">IF(B21&lt;&gt;1,","&amp;D21,D21)</f>
        <v>,yakko_bunrui5_jpn_name</v>
      </c>
      <c r="Q21" s="78" t="str">
        <f t="shared" ref="Q21" si="9">UPPER(G21)</f>
        <v>TEXT</v>
      </c>
      <c r="R21" s="78" t="str">
        <f t="shared" ref="R21" si="10">IF(H21&lt;&gt;"","default "&amp;IF(G21="text","'"&amp;H21&amp;"'",H21),"")</f>
        <v/>
      </c>
      <c r="S21" s="78" t="str">
        <f t="shared" ref="S21" si="11">IF(I21="○","NOT NULL","")</f>
        <v>NOT NULL</v>
      </c>
      <c r="T21" s="78" t="str">
        <f t="shared" ref="T21" si="12">"-- "&amp;C21</f>
        <v>-- 薬効分類5日本語名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3326</v>
      </c>
      <c r="D22" s="6" t="s">
        <v>3327</v>
      </c>
      <c r="E22" s="8"/>
      <c r="F22" s="7" t="s">
        <v>317</v>
      </c>
      <c r="G22" s="7" t="str">
        <f t="shared" si="3"/>
        <v>text</v>
      </c>
      <c r="H22" s="26"/>
      <c r="I22" s="10" t="s">
        <v>127</v>
      </c>
      <c r="J22" s="11" t="s">
        <v>3334</v>
      </c>
      <c r="M22" s="4"/>
      <c r="N22" s="78"/>
      <c r="O22" s="78"/>
      <c r="P22" s="78" t="str">
        <f t="shared" si="4"/>
        <v>,nen</v>
      </c>
      <c r="Q22" s="78" t="str">
        <f t="shared" si="0"/>
        <v>TEXT</v>
      </c>
      <c r="R22" s="78" t="str">
        <f t="shared" si="1"/>
        <v/>
      </c>
      <c r="S22" s="78" t="str">
        <f t="shared" si="5"/>
        <v>NOT NULL</v>
      </c>
      <c r="T22" s="78" t="str">
        <f t="shared" si="6"/>
        <v>-- 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milscm_2023_009.sny_202310_backup_mt_yakko_atc5.nen IS '年';</v>
      </c>
    </row>
    <row r="23" spans="1:52" s="25" customFormat="1">
      <c r="A23" s="4"/>
      <c r="B23" s="21">
        <f t="shared" si="2"/>
        <v>11</v>
      </c>
      <c r="C23" s="6" t="s">
        <v>3328</v>
      </c>
      <c r="D23" s="6" t="s">
        <v>3329</v>
      </c>
      <c r="E23" s="8"/>
      <c r="F23" s="7" t="s">
        <v>317</v>
      </c>
      <c r="G23" s="7" t="str">
        <f t="shared" si="3"/>
        <v>text</v>
      </c>
      <c r="H23" s="26"/>
      <c r="I23" s="10" t="s">
        <v>127</v>
      </c>
      <c r="J23" s="11" t="s">
        <v>3335</v>
      </c>
      <c r="M23" s="4"/>
      <c r="N23" s="78"/>
      <c r="O23" s="78"/>
      <c r="P23" s="78" t="str">
        <f t="shared" si="4"/>
        <v>,nengetsu</v>
      </c>
      <c r="Q23" s="78" t="str">
        <f t="shared" si="0"/>
        <v>TEXT</v>
      </c>
      <c r="R23" s="78" t="str">
        <f t="shared" si="1"/>
        <v/>
      </c>
      <c r="S23" s="78" t="str">
        <f t="shared" si="5"/>
        <v>NOT NULL</v>
      </c>
      <c r="T23" s="78" t="str">
        <f t="shared" si="6"/>
        <v>-- 年月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milscm_2023_009.sny_202310_backup_mt_yakko_atc5.nengetsu IS '年月';</v>
      </c>
    </row>
    <row r="24" spans="1:52" s="25" customFormat="1" ht="18" thickBot="1">
      <c r="A24" s="4"/>
      <c r="B24" s="27">
        <f>ROW()-12</f>
        <v>12</v>
      </c>
      <c r="C24" s="57" t="s">
        <v>3330</v>
      </c>
      <c r="D24" s="57" t="s">
        <v>1901</v>
      </c>
      <c r="E24" s="56"/>
      <c r="F24" s="56" t="s">
        <v>317</v>
      </c>
      <c r="G24" s="56" t="str">
        <f t="shared" si="3"/>
        <v>text</v>
      </c>
      <c r="H24" s="59"/>
      <c r="I24" s="60" t="s">
        <v>127</v>
      </c>
      <c r="J24" s="64" t="s">
        <v>2419</v>
      </c>
      <c r="N24" s="78"/>
      <c r="O24" s="78"/>
      <c r="P24" s="78" t="str">
        <f t="shared" si="4"/>
        <v>,update_ymd</v>
      </c>
      <c r="Q24" s="78" t="str">
        <f t="shared" si="0"/>
        <v>TEXT</v>
      </c>
      <c r="R24" s="78" t="str">
        <f t="shared" si="1"/>
        <v/>
      </c>
      <c r="S24" s="78" t="str">
        <f t="shared" si="5"/>
        <v>NOT NULL</v>
      </c>
      <c r="T24" s="78" t="str">
        <f t="shared" si="6"/>
        <v>-- データ登録日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milscm_2023_009.sny_202310_backup_mt_yakko_atc5.update_ymd IS 'データ登録日';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ENT_01_A3-29</v>
      </c>
      <c r="E6" s="251"/>
      <c r="F6" s="251"/>
      <c r="G6" s="251"/>
      <c r="H6" s="251"/>
      <c r="I6" s="251"/>
      <c r="J6" s="252"/>
    </row>
    <row r="7" spans="1:45">
      <c r="B7" s="240" t="s">
        <v>115</v>
      </c>
      <c r="C7" s="241"/>
      <c r="D7" s="242" t="s">
        <v>3364</v>
      </c>
      <c r="E7" s="243"/>
      <c r="F7" s="243"/>
      <c r="G7" s="243"/>
      <c r="H7" s="243"/>
      <c r="I7" s="243"/>
      <c r="J7" s="244"/>
    </row>
    <row r="8" spans="1:45">
      <c r="B8" s="240" t="s">
        <v>116</v>
      </c>
      <c r="C8" s="241"/>
      <c r="D8" s="242" t="str">
        <f>エンティティ一覧!AE2&amp;"_"&amp;D5&amp;"_mt_shippei"</f>
        <v>sny_202310_backup_mt_shippei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疾病マスタテーブルから組入れ条件の第一条件で絞り込んだ結果を格納するテーブル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milscm_2023_009.sny_202310_backup_mt_shippei;</v>
      </c>
      <c r="O10" s="78"/>
      <c r="P10" s="78"/>
      <c r="Q10" s="78"/>
      <c r="R10" s="78"/>
      <c r="S10" s="78"/>
      <c r="T10" s="78"/>
      <c r="AJ10" s="78" t="str">
        <f>"ALTER TABLE ONLY "&amp;エンティティ一覧!$O$2&amp;"."&amp;D$8</f>
        <v>ALTER TABLE ONLY milscm_2023_009.sny_202310_backup_mt_shippei</v>
      </c>
      <c r="AS10" s="78" t="str">
        <f>"ALTER TABLE "&amp;エンティティ一覧!$O$2&amp;"."&amp;D$8&amp;" OWNER TO pgmisgrp1;"</f>
        <v>ALTER TABLE milscm_2023_009.sny_202310_backup_mt_shippei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milscm_2023_009.sny_202310_backup_mt_shippei</v>
      </c>
      <c r="O11" s="78"/>
      <c r="P11" s="78"/>
      <c r="Q11" s="78"/>
      <c r="R11" s="78"/>
      <c r="S11" s="78"/>
      <c r="T11" s="78"/>
      <c r="AJ11" s="78" t="str">
        <f>"ADD CONSTRAINT "&amp;D$8&amp;"_pkey PRIMARY KEY"</f>
        <v>ADD CONSTRAINT sny_202310_backup_mt_shippei_pkey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milscm_2023_009.sny_202310_backup_mt_shippei IS 'バックアップ_疾病マスタ';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7" si="0">UPPER(G13)</f>
        <v>TEXT</v>
      </c>
      <c r="R13" s="78" t="str">
        <f t="shared" ref="R13:R27"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3307</v>
      </c>
      <c r="D14" s="6" t="s">
        <v>2067</v>
      </c>
      <c r="E14" s="8" t="s">
        <v>127</v>
      </c>
      <c r="F14" s="7" t="s">
        <v>317</v>
      </c>
      <c r="G14" s="7" t="str">
        <f t="shared" ref="G14:G27" si="3">IF(F14="フラグ","boolean",IF(F14="文字列","text",IF(F14="整数","integer",IF(F14="実数","numeric",""))))</f>
        <v>text</v>
      </c>
      <c r="H14" s="26"/>
      <c r="I14" s="10" t="s">
        <v>127</v>
      </c>
      <c r="J14" s="11" t="s">
        <v>3332</v>
      </c>
      <c r="M14" s="4"/>
      <c r="N14" s="78"/>
      <c r="O14" s="78"/>
      <c r="P14" s="78" t="str">
        <f t="shared" ref="P14:P27" si="4">IF(B14&lt;&gt;1,","&amp;D14,D14)</f>
        <v>,koshin_kubun</v>
      </c>
      <c r="Q14" s="78" t="str">
        <f t="shared" si="0"/>
        <v>TEXT</v>
      </c>
      <c r="R14" s="78" t="str">
        <f t="shared" si="1"/>
        <v/>
      </c>
      <c r="S14" s="78" t="str">
        <f t="shared" ref="S14:S27" si="5">IF(I14="○","NOT NULL","")</f>
        <v>NOT NULL</v>
      </c>
      <c r="T14" s="78" t="str">
        <f t="shared" ref="T14:T27"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milscm_2023_009.sny_202310_backup_mt_shippei.koshin_kubun IS '更新区分';</v>
      </c>
    </row>
    <row r="15" spans="1:45" s="25" customFormat="1">
      <c r="A15" s="4"/>
      <c r="B15" s="21">
        <f t="shared" si="2"/>
        <v>3</v>
      </c>
      <c r="C15" s="6" t="s">
        <v>3365</v>
      </c>
      <c r="D15" s="6" t="s">
        <v>3366</v>
      </c>
      <c r="E15" s="8" t="s">
        <v>127</v>
      </c>
      <c r="F15" s="7" t="s">
        <v>317</v>
      </c>
      <c r="G15" s="7" t="str">
        <f t="shared" si="3"/>
        <v>text</v>
      </c>
      <c r="H15" s="26"/>
      <c r="I15" s="10" t="s">
        <v>127</v>
      </c>
      <c r="J15" s="11"/>
      <c r="M15" s="4"/>
      <c r="N15" s="78"/>
      <c r="O15" s="78"/>
      <c r="P15" s="78" t="str">
        <f t="shared" si="4"/>
        <v>,shippei_code</v>
      </c>
      <c r="Q15" s="78" t="str">
        <f t="shared" si="0"/>
        <v>TEXT</v>
      </c>
      <c r="R15" s="78" t="str">
        <f t="shared" si="1"/>
        <v/>
      </c>
      <c r="S15" s="78" t="str">
        <f t="shared" si="5"/>
        <v>NOT NULL</v>
      </c>
      <c r="T15" s="78" t="str">
        <f t="shared" si="6"/>
        <v>-- 疾病コード</v>
      </c>
      <c r="U15" s="4"/>
      <c r="AA15" s="4"/>
      <c r="AB15" s="4"/>
      <c r="AC15" s="4"/>
      <c r="AD15" s="4"/>
      <c r="AE15" s="4"/>
      <c r="AF15" s="4"/>
      <c r="AG15" s="4"/>
      <c r="AH15" s="4"/>
      <c r="AI15" s="4"/>
      <c r="AJ15" s="78" t="str">
        <f>IF(E15="○",IF(COUNTA(E$13:E15)=1,"",",")&amp;D15,"")</f>
        <v>,shippei_code</v>
      </c>
      <c r="AK15" s="4"/>
      <c r="AL15" s="4"/>
      <c r="AM15" s="4"/>
      <c r="AN15" s="4"/>
      <c r="AO15" s="4"/>
      <c r="AP15" s="4"/>
      <c r="AQ15" s="4"/>
      <c r="AR15" s="4"/>
      <c r="AS15" s="78"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3367</v>
      </c>
      <c r="D16" s="6" t="s">
        <v>3368</v>
      </c>
      <c r="E16" s="8"/>
      <c r="F16" s="7" t="s">
        <v>317</v>
      </c>
      <c r="G16" s="7" t="str">
        <f t="shared" si="3"/>
        <v>text</v>
      </c>
      <c r="H16" s="26"/>
      <c r="I16" s="10"/>
      <c r="J16" s="11"/>
      <c r="M16" s="4"/>
      <c r="N16" s="78"/>
      <c r="O16" s="78"/>
      <c r="P16" s="78" t="str">
        <f t="shared" si="4"/>
        <v>,icd10_1_l_code</v>
      </c>
      <c r="Q16" s="78" t="str">
        <f t="shared" si="0"/>
        <v>TEXT</v>
      </c>
      <c r="R16" s="78" t="str">
        <f t="shared" si="1"/>
        <v/>
      </c>
      <c r="S16" s="78" t="str">
        <f t="shared" si="5"/>
        <v/>
      </c>
      <c r="T16" s="78" t="str">
        <f t="shared" si="6"/>
        <v>-- ICD10-1大分類コード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3369</v>
      </c>
      <c r="D17" s="6" t="s">
        <v>3370</v>
      </c>
      <c r="E17" s="8"/>
      <c r="F17" s="7" t="s">
        <v>317</v>
      </c>
      <c r="G17" s="7" t="str">
        <f t="shared" si="3"/>
        <v>text</v>
      </c>
      <c r="H17" s="26"/>
      <c r="I17" s="10"/>
      <c r="J17" s="11"/>
      <c r="M17" s="4"/>
      <c r="N17" s="78"/>
      <c r="O17" s="78"/>
      <c r="P17" s="78" t="str">
        <f t="shared" si="4"/>
        <v>,icd10_1_m_code</v>
      </c>
      <c r="Q17" s="78" t="str">
        <f t="shared" si="0"/>
        <v>TEXT</v>
      </c>
      <c r="R17" s="78" t="str">
        <f t="shared" si="1"/>
        <v/>
      </c>
      <c r="S17" s="78" t="str">
        <f t="shared" si="5"/>
        <v/>
      </c>
      <c r="T17" s="78" t="str">
        <f t="shared" si="6"/>
        <v>-- ICD10-1中分類コード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3371</v>
      </c>
      <c r="D18" s="6" t="s">
        <v>3372</v>
      </c>
      <c r="E18" s="8"/>
      <c r="F18" s="7" t="s">
        <v>317</v>
      </c>
      <c r="G18" s="7" t="str">
        <f t="shared" si="3"/>
        <v>text</v>
      </c>
      <c r="H18" s="26"/>
      <c r="I18" s="10"/>
      <c r="J18" s="11"/>
      <c r="M18" s="4"/>
      <c r="N18" s="78"/>
      <c r="O18" s="78"/>
      <c r="P18" s="78" t="str">
        <f t="shared" si="4"/>
        <v>,icd10_1_s_code</v>
      </c>
      <c r="Q18" s="78" t="str">
        <f t="shared" si="0"/>
        <v>TEXT</v>
      </c>
      <c r="R18" s="78" t="str">
        <f t="shared" si="1"/>
        <v/>
      </c>
      <c r="S18" s="78" t="str">
        <f t="shared" si="5"/>
        <v/>
      </c>
      <c r="T18" s="78" t="str">
        <f t="shared" si="6"/>
        <v>-- ICD10-1小分類コード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3373</v>
      </c>
      <c r="D19" s="6" t="s">
        <v>3374</v>
      </c>
      <c r="E19" s="8"/>
      <c r="F19" s="7" t="s">
        <v>317</v>
      </c>
      <c r="G19" s="7" t="str">
        <f t="shared" si="3"/>
        <v>text</v>
      </c>
      <c r="H19" s="26"/>
      <c r="I19" s="10"/>
      <c r="J19" s="11"/>
      <c r="M19" s="4"/>
      <c r="N19" s="78"/>
      <c r="O19" s="78"/>
      <c r="P19" s="78" t="str">
        <f t="shared" si="4"/>
        <v>,icd10_1_ss_code</v>
      </c>
      <c r="Q19" s="78" t="str">
        <f t="shared" si="0"/>
        <v>TEXT</v>
      </c>
      <c r="R19" s="78" t="str">
        <f t="shared" si="1"/>
        <v/>
      </c>
      <c r="S19" s="78" t="str">
        <f t="shared" si="5"/>
        <v/>
      </c>
      <c r="T19" s="78" t="str">
        <f t="shared" si="6"/>
        <v>-- ICD10-1細分類コード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3375</v>
      </c>
      <c r="D20" s="6" t="s">
        <v>3376</v>
      </c>
      <c r="E20" s="8"/>
      <c r="F20" s="7" t="s">
        <v>317</v>
      </c>
      <c r="G20" s="7" t="str">
        <f t="shared" si="3"/>
        <v>text</v>
      </c>
      <c r="H20" s="26"/>
      <c r="I20" s="10"/>
      <c r="J20" s="11"/>
      <c r="M20" s="4"/>
      <c r="N20" s="78"/>
      <c r="O20" s="78"/>
      <c r="P20" s="78" t="str">
        <f t="shared" si="4"/>
        <v>,icd10_2_l_code</v>
      </c>
      <c r="Q20" s="78" t="str">
        <f t="shared" si="0"/>
        <v>TEXT</v>
      </c>
      <c r="R20" s="78" t="str">
        <f t="shared" si="1"/>
        <v/>
      </c>
      <c r="S20" s="78" t="str">
        <f t="shared" si="5"/>
        <v/>
      </c>
      <c r="T20" s="78" t="str">
        <f t="shared" si="6"/>
        <v>-- ICD10-2大分類コード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3377</v>
      </c>
      <c r="D21" s="6" t="s">
        <v>3378</v>
      </c>
      <c r="E21" s="8"/>
      <c r="F21" s="7" t="s">
        <v>317</v>
      </c>
      <c r="G21" s="7" t="str">
        <f t="shared" ref="G21:G23" si="7">IF(F21="フラグ","boolean",IF(F21="文字列","text",IF(F21="整数","integer",IF(F21="実数","numeric",""))))</f>
        <v>text</v>
      </c>
      <c r="H21" s="26"/>
      <c r="I21" s="10"/>
      <c r="J21" s="11"/>
      <c r="M21" s="4"/>
      <c r="N21" s="78"/>
      <c r="O21" s="78"/>
      <c r="P21" s="78" t="str">
        <f t="shared" ref="P21:P23" si="8">IF(B21&lt;&gt;1,","&amp;D21,D21)</f>
        <v>,icd10_2_m_code</v>
      </c>
      <c r="Q21" s="78" t="str">
        <f t="shared" ref="Q21:Q23" si="9">UPPER(G21)</f>
        <v>TEXT</v>
      </c>
      <c r="R21" s="78" t="str">
        <f t="shared" ref="R21:R23" si="10">IF(H21&lt;&gt;"","default "&amp;IF(G21="text","'"&amp;H21&amp;"'",H21),"")</f>
        <v/>
      </c>
      <c r="S21" s="78" t="str">
        <f t="shared" ref="S21:S23" si="11">IF(I21="○","NOT NULL","")</f>
        <v/>
      </c>
      <c r="T21" s="78" t="str">
        <f t="shared" ref="T21:T23" si="12">"-- "&amp;C21</f>
        <v>-- ICD10-2中分類コード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3379</v>
      </c>
      <c r="D22" s="6" t="s">
        <v>3380</v>
      </c>
      <c r="E22" s="8"/>
      <c r="F22" s="7" t="s">
        <v>317</v>
      </c>
      <c r="G22" s="7" t="str">
        <f t="shared" si="7"/>
        <v>text</v>
      </c>
      <c r="H22" s="26"/>
      <c r="I22" s="10"/>
      <c r="J22" s="11"/>
      <c r="M22" s="4"/>
      <c r="N22" s="78"/>
      <c r="O22" s="78"/>
      <c r="P22" s="78" t="str">
        <f t="shared" si="8"/>
        <v>,icd10_2_s_code</v>
      </c>
      <c r="Q22" s="78" t="str">
        <f t="shared" si="9"/>
        <v>TEXT</v>
      </c>
      <c r="R22" s="78" t="str">
        <f t="shared" si="10"/>
        <v/>
      </c>
      <c r="S22" s="78" t="str">
        <f t="shared" si="11"/>
        <v/>
      </c>
      <c r="T22" s="78" t="str">
        <f t="shared" si="12"/>
        <v>-- ICD10-2小分類コード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3381</v>
      </c>
      <c r="D23" s="6" t="s">
        <v>3382</v>
      </c>
      <c r="E23" s="8"/>
      <c r="F23" s="7" t="s">
        <v>317</v>
      </c>
      <c r="G23" s="7" t="str">
        <f t="shared" si="7"/>
        <v>text</v>
      </c>
      <c r="H23" s="26"/>
      <c r="I23" s="10"/>
      <c r="J23" s="11"/>
      <c r="M23" s="4"/>
      <c r="N23" s="78"/>
      <c r="O23" s="78"/>
      <c r="P23" s="78" t="str">
        <f t="shared" si="8"/>
        <v>,icd10_2_ss_code</v>
      </c>
      <c r="Q23" s="78" t="str">
        <f t="shared" si="9"/>
        <v>TEXT</v>
      </c>
      <c r="R23" s="78" t="str">
        <f t="shared" si="10"/>
        <v/>
      </c>
      <c r="S23" s="78" t="str">
        <f t="shared" si="11"/>
        <v/>
      </c>
      <c r="T23" s="78" t="str">
        <f t="shared" si="12"/>
        <v>-- ICD10-2細分類コード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3383</v>
      </c>
      <c r="D24" s="6" t="s">
        <v>3384</v>
      </c>
      <c r="E24" s="8"/>
      <c r="F24" s="7" t="s">
        <v>317</v>
      </c>
      <c r="G24" s="7" t="str">
        <f t="shared" si="3"/>
        <v>text</v>
      </c>
      <c r="H24" s="26"/>
      <c r="I24" s="10" t="s">
        <v>127</v>
      </c>
      <c r="J24" s="11"/>
      <c r="M24" s="4"/>
      <c r="N24" s="78"/>
      <c r="O24" s="78"/>
      <c r="P24" s="78" t="str">
        <f t="shared" si="4"/>
        <v>,shippei_name</v>
      </c>
      <c r="Q24" s="78" t="str">
        <f t="shared" si="0"/>
        <v>TEXT</v>
      </c>
      <c r="R24" s="78" t="str">
        <f t="shared" si="1"/>
        <v/>
      </c>
      <c r="S24" s="78" t="str">
        <f t="shared" si="5"/>
        <v>NOT NULL</v>
      </c>
      <c r="T24" s="78" t="str">
        <f t="shared" si="6"/>
        <v>-- 疾病名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milscm_2023_009.sny_202310_backup_mt_shippei.shippei_name IS '疾病名';</v>
      </c>
    </row>
    <row r="25" spans="1:52" s="25" customFormat="1">
      <c r="A25" s="4"/>
      <c r="B25" s="21">
        <f t="shared" si="2"/>
        <v>13</v>
      </c>
      <c r="C25" s="6" t="s">
        <v>3326</v>
      </c>
      <c r="D25" s="6" t="s">
        <v>3327</v>
      </c>
      <c r="E25" s="8"/>
      <c r="F25" s="7" t="s">
        <v>317</v>
      </c>
      <c r="G25" s="7" t="str">
        <f t="shared" si="3"/>
        <v>text</v>
      </c>
      <c r="H25" s="26"/>
      <c r="I25" s="10" t="s">
        <v>127</v>
      </c>
      <c r="J25" s="11" t="s">
        <v>3334</v>
      </c>
      <c r="M25" s="4"/>
      <c r="N25" s="78"/>
      <c r="O25" s="78"/>
      <c r="P25" s="78" t="str">
        <f t="shared" si="4"/>
        <v>,nen</v>
      </c>
      <c r="Q25" s="78" t="str">
        <f t="shared" si="0"/>
        <v>TEXT</v>
      </c>
      <c r="R25" s="78" t="str">
        <f t="shared" si="1"/>
        <v/>
      </c>
      <c r="S25" s="78" t="str">
        <f t="shared" si="5"/>
        <v>NOT NULL</v>
      </c>
      <c r="T25" s="78" t="str">
        <f t="shared" si="6"/>
        <v>-- 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milscm_2023_009.sny_202310_backup_mt_shippei.nen IS '年';</v>
      </c>
    </row>
    <row r="26" spans="1:52" s="25" customFormat="1">
      <c r="A26" s="4"/>
      <c r="B26" s="21">
        <f t="shared" si="2"/>
        <v>14</v>
      </c>
      <c r="C26" s="6" t="s">
        <v>3328</v>
      </c>
      <c r="D26" s="6" t="s">
        <v>3329</v>
      </c>
      <c r="E26" s="8"/>
      <c r="F26" s="7" t="s">
        <v>317</v>
      </c>
      <c r="G26" s="7" t="str">
        <f t="shared" si="3"/>
        <v>text</v>
      </c>
      <c r="H26" s="26"/>
      <c r="I26" s="10" t="s">
        <v>127</v>
      </c>
      <c r="J26" s="11" t="s">
        <v>3335</v>
      </c>
      <c r="M26" s="4"/>
      <c r="N26" s="78"/>
      <c r="O26" s="78"/>
      <c r="P26" s="78" t="str">
        <f t="shared" si="4"/>
        <v>,nengetsu</v>
      </c>
      <c r="Q26" s="78" t="str">
        <f t="shared" si="0"/>
        <v>TEXT</v>
      </c>
      <c r="R26" s="78" t="str">
        <f t="shared" si="1"/>
        <v/>
      </c>
      <c r="S26" s="78" t="str">
        <f t="shared" si="5"/>
        <v>NOT NULL</v>
      </c>
      <c r="T26" s="78" t="str">
        <f t="shared" si="6"/>
        <v>-- 年月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milscm_2023_009.sny_202310_backup_mt_shippei.nengetsu IS '年月';</v>
      </c>
    </row>
    <row r="27" spans="1:52" s="25" customFormat="1" ht="18" thickBot="1">
      <c r="A27" s="4"/>
      <c r="B27" s="27">
        <f>ROW()-12</f>
        <v>15</v>
      </c>
      <c r="C27" s="57" t="s">
        <v>3330</v>
      </c>
      <c r="D27" s="57" t="s">
        <v>1901</v>
      </c>
      <c r="E27" s="56"/>
      <c r="F27" s="56" t="s">
        <v>317</v>
      </c>
      <c r="G27" s="56" t="str">
        <f t="shared" si="3"/>
        <v>text</v>
      </c>
      <c r="H27" s="59"/>
      <c r="I27" s="60" t="s">
        <v>127</v>
      </c>
      <c r="J27" s="64" t="s">
        <v>2419</v>
      </c>
      <c r="N27" s="78"/>
      <c r="O27" s="78"/>
      <c r="P27" s="78" t="str">
        <f t="shared" si="4"/>
        <v>,update_ymd</v>
      </c>
      <c r="Q27" s="78" t="str">
        <f t="shared" si="0"/>
        <v>TEXT</v>
      </c>
      <c r="R27" s="78" t="str">
        <f t="shared" si="1"/>
        <v/>
      </c>
      <c r="S27" s="78" t="str">
        <f t="shared" si="5"/>
        <v>NOT NULL</v>
      </c>
      <c r="T27" s="78" t="str">
        <f t="shared" si="6"/>
        <v>-- データ登録日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milscm_2023_009.sny_202310_backup_mt_shippei.update_ymd IS 'データ登録日';</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ENT_01_A3-30</v>
      </c>
      <c r="E6" s="251"/>
      <c r="F6" s="251"/>
      <c r="G6" s="251"/>
      <c r="H6" s="251"/>
      <c r="I6" s="251"/>
      <c r="J6" s="252"/>
    </row>
    <row r="7" spans="1:45">
      <c r="B7" s="240" t="s">
        <v>115</v>
      </c>
      <c r="C7" s="241"/>
      <c r="D7" s="242" t="s">
        <v>3270</v>
      </c>
      <c r="E7" s="243"/>
      <c r="F7" s="243"/>
      <c r="G7" s="243"/>
      <c r="H7" s="243"/>
      <c r="I7" s="243"/>
      <c r="J7" s="244"/>
    </row>
    <row r="8" spans="1:45">
      <c r="B8" s="240" t="s">
        <v>116</v>
      </c>
      <c r="C8" s="241"/>
      <c r="D8" s="242" t="str">
        <f>エンティティ一覧!AE2&amp;"_"&amp;D5&amp;"_mt_icd10_l"</f>
        <v>sny_202310_backup_mt_icd10_l</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ICD10大分類マスタテーブルから組入れ条件の第一条件で絞り込んだ結果を格納するテーブル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milscm_2023_009.sny_202310_backup_mt_icd10_l;</v>
      </c>
      <c r="O10" s="78"/>
      <c r="P10" s="78"/>
      <c r="Q10" s="78"/>
      <c r="R10" s="78"/>
      <c r="S10" s="78"/>
      <c r="T10" s="78"/>
      <c r="AJ10" s="78" t="str">
        <f>"ALTER TABLE ONLY "&amp;エンティティ一覧!$O$2&amp;"."&amp;D$8</f>
        <v>ALTER TABLE ONLY milscm_2023_009.sny_202310_backup_mt_icd10_l</v>
      </c>
      <c r="AS10" s="78" t="str">
        <f>"ALTER TABLE "&amp;エンティティ一覧!$O$2&amp;"."&amp;D$8&amp;" OWNER TO pgmisgrp1;"</f>
        <v>ALTER TABLE milscm_2023_009.sny_202310_backup_mt_icd10_l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milscm_2023_009.sny_202310_backup_mt_icd10_l</v>
      </c>
      <c r="O11" s="78"/>
      <c r="P11" s="78"/>
      <c r="Q11" s="78"/>
      <c r="R11" s="78"/>
      <c r="S11" s="78"/>
      <c r="T11" s="78"/>
      <c r="AJ11" s="78" t="str">
        <f>"ADD CONSTRAINT "&amp;D$8&amp;"_pkey PRIMARY KEY"</f>
        <v>ADD CONSTRAINT sny_202310_backup_mt_icd10_l_pkey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milscm_2023_009.sny_202310_backup_mt_icd10_l IS 'バックアップ_ICD10大分類マスタ';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milscm_2023_009.sny_202310_backup_mt_icd10_l.koshin_kubun IS '更新区分';</v>
      </c>
    </row>
    <row r="15" spans="1:45" s="25" customFormat="1">
      <c r="A15" s="4"/>
      <c r="B15" s="21">
        <f t="shared" si="2"/>
        <v>3</v>
      </c>
      <c r="C15" s="6" t="s">
        <v>2673</v>
      </c>
      <c r="D15" s="6" t="s">
        <v>3385</v>
      </c>
      <c r="E15" s="8" t="s">
        <v>127</v>
      </c>
      <c r="F15" s="7" t="s">
        <v>317</v>
      </c>
      <c r="G15" s="7" t="str">
        <f t="shared" si="3"/>
        <v>text</v>
      </c>
      <c r="H15" s="26"/>
      <c r="I15" s="10" t="s">
        <v>127</v>
      </c>
      <c r="J15" s="11"/>
      <c r="M15" s="4"/>
      <c r="N15" s="78"/>
      <c r="O15" s="78"/>
      <c r="P15" s="78" t="str">
        <f t="shared" si="4"/>
        <v>,icd10_l_code</v>
      </c>
      <c r="Q15" s="78" t="str">
        <f t="shared" si="0"/>
        <v>TEXT</v>
      </c>
      <c r="R15" s="78" t="str">
        <f t="shared" si="1"/>
        <v/>
      </c>
      <c r="S15" s="78" t="str">
        <f t="shared" si="5"/>
        <v>NOT NULL</v>
      </c>
      <c r="T15" s="78" t="str">
        <f t="shared" si="6"/>
        <v>-- ICD10大分類コード</v>
      </c>
      <c r="U15" s="4"/>
      <c r="AA15" s="4"/>
      <c r="AB15" s="4"/>
      <c r="AC15" s="4"/>
      <c r="AD15" s="4"/>
      <c r="AE15" s="4"/>
      <c r="AF15" s="4"/>
      <c r="AG15" s="4"/>
      <c r="AH15" s="4"/>
      <c r="AI15" s="4"/>
      <c r="AJ15" s="78" t="str">
        <f>IF(E15="○",IF(COUNTA(E$13:E15)=1,"",",")&amp;D15,"")</f>
        <v>,icd10_l_code</v>
      </c>
      <c r="AK15" s="4"/>
      <c r="AL15" s="4"/>
      <c r="AM15" s="4"/>
      <c r="AN15" s="4"/>
      <c r="AO15" s="4"/>
      <c r="AP15" s="4"/>
      <c r="AQ15" s="4"/>
      <c r="AR15" s="4"/>
      <c r="AS15" s="78"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2680</v>
      </c>
      <c r="D16" s="6" t="s">
        <v>2681</v>
      </c>
      <c r="E16" s="8"/>
      <c r="F16" s="7" t="s">
        <v>317</v>
      </c>
      <c r="G16" s="7" t="str">
        <f t="shared" si="3"/>
        <v>text</v>
      </c>
      <c r="H16" s="26"/>
      <c r="I16" s="10" t="s">
        <v>127</v>
      </c>
      <c r="J16" s="11"/>
      <c r="M16" s="4"/>
      <c r="N16" s="78"/>
      <c r="O16" s="78"/>
      <c r="P16" s="78" t="str">
        <f t="shared" si="4"/>
        <v>,icd10_l_name</v>
      </c>
      <c r="Q16" s="78" t="str">
        <f t="shared" si="0"/>
        <v>TEXT</v>
      </c>
      <c r="R16" s="78" t="str">
        <f t="shared" si="1"/>
        <v/>
      </c>
      <c r="S16" s="78" t="str">
        <f t="shared" si="5"/>
        <v>NOT NULL</v>
      </c>
      <c r="T16" s="78" t="str">
        <f t="shared" si="6"/>
        <v>-- ICD10大分類名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milscm_2023_009.sny_202310_backup_mt_icd10_l.ikosaki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milscm_2023_009.sny_202310_backup_mt_icd10_l.nen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milscm_2023_009.sny_202310_backup_mt_icd10_l.nengetsu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milscm_2023_009.sny_202310_backup_mt_icd10_l.update_ymd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ENT_01_A3-31</v>
      </c>
      <c r="E6" s="251"/>
      <c r="F6" s="251"/>
      <c r="G6" s="251"/>
      <c r="H6" s="251"/>
      <c r="I6" s="251"/>
      <c r="J6" s="252"/>
    </row>
    <row r="7" spans="1:45">
      <c r="B7" s="240" t="s">
        <v>115</v>
      </c>
      <c r="C7" s="241"/>
      <c r="D7" s="242" t="s">
        <v>3271</v>
      </c>
      <c r="E7" s="243"/>
      <c r="F7" s="243"/>
      <c r="G7" s="243"/>
      <c r="H7" s="243"/>
      <c r="I7" s="243"/>
      <c r="J7" s="244"/>
    </row>
    <row r="8" spans="1:45">
      <c r="B8" s="240" t="s">
        <v>116</v>
      </c>
      <c r="C8" s="241"/>
      <c r="D8" s="242" t="str">
        <f>エンティティ一覧!AE2&amp;"_"&amp;D5&amp;"_mt_icd10_m"</f>
        <v>sny_202310_backup_mt_icd10_m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ICD10中分類マスタテーブルから組入れ条件の第一条件で絞り込んだ結果を格納するテーブル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milscm_2023_009.sny_202310_backup_mt_icd10_m;</v>
      </c>
      <c r="O10" s="78"/>
      <c r="P10" s="78"/>
      <c r="Q10" s="78"/>
      <c r="R10" s="78"/>
      <c r="S10" s="78"/>
      <c r="T10" s="78"/>
      <c r="AJ10" s="78" t="str">
        <f>"ALTER TABLE ONLY "&amp;エンティティ一覧!$O$2&amp;"."&amp;D$8</f>
        <v>ALTER TABLE ONLY milscm_2023_009.sny_202310_backup_mt_icd10_m</v>
      </c>
      <c r="AS10" s="78" t="str">
        <f>"ALTER TABLE "&amp;エンティティ一覧!$O$2&amp;"."&amp;D$8&amp;" OWNER TO pgmisgrp1;"</f>
        <v>ALTER TABLE milscm_2023_009.sny_202310_backup_mt_icd10_m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milscm_2023_009.sny_202310_backup_mt_icd10_m</v>
      </c>
      <c r="O11" s="78"/>
      <c r="P11" s="78"/>
      <c r="Q11" s="78"/>
      <c r="R11" s="78"/>
      <c r="S11" s="78"/>
      <c r="T11" s="78"/>
      <c r="AJ11" s="78" t="str">
        <f>"ADD CONSTRAINT "&amp;D$8&amp;"_pkey PRIMARY KEY"</f>
        <v>ADD CONSTRAINT sny_202310_backup_mt_icd10_m_pkey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milscm_2023_009.sny_202310_backup_mt_icd10_m IS 'バックアップ_ICD10中分類マスタ';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milscm_2023_009.sny_202310_backup_mt_icd10_m.koshin_kubun IS '更新区分';</v>
      </c>
    </row>
    <row r="15" spans="1:45" s="25" customFormat="1">
      <c r="A15" s="4"/>
      <c r="B15" s="21">
        <f t="shared" si="2"/>
        <v>3</v>
      </c>
      <c r="C15" s="6" t="s">
        <v>2675</v>
      </c>
      <c r="D15" s="6" t="s">
        <v>3386</v>
      </c>
      <c r="E15" s="8" t="s">
        <v>127</v>
      </c>
      <c r="F15" s="7" t="s">
        <v>317</v>
      </c>
      <c r="G15" s="7" t="str">
        <f t="shared" si="3"/>
        <v>text</v>
      </c>
      <c r="H15" s="26"/>
      <c r="I15" s="10" t="s">
        <v>127</v>
      </c>
      <c r="J15" s="11"/>
      <c r="M15" s="4"/>
      <c r="N15" s="78"/>
      <c r="O15" s="78"/>
      <c r="P15" s="78" t="str">
        <f t="shared" si="4"/>
        <v>,icd10_m_code</v>
      </c>
      <c r="Q15" s="78" t="str">
        <f t="shared" si="0"/>
        <v>TEXT</v>
      </c>
      <c r="R15" s="78" t="str">
        <f t="shared" si="1"/>
        <v/>
      </c>
      <c r="S15" s="78" t="str">
        <f t="shared" si="5"/>
        <v>NOT NULL</v>
      </c>
      <c r="T15" s="78" t="str">
        <f t="shared" si="6"/>
        <v>-- ICD10中分類コード</v>
      </c>
      <c r="U15" s="4"/>
      <c r="AA15" s="4"/>
      <c r="AB15" s="4"/>
      <c r="AC15" s="4"/>
      <c r="AD15" s="4"/>
      <c r="AE15" s="4"/>
      <c r="AF15" s="4"/>
      <c r="AG15" s="4"/>
      <c r="AH15" s="4"/>
      <c r="AI15" s="4"/>
      <c r="AJ15" s="78" t="str">
        <f>IF(E15="○",IF(COUNTA(E$13:E15)=1,"",",")&amp;D15,"")</f>
        <v>,icd10_m_code</v>
      </c>
      <c r="AK15" s="4"/>
      <c r="AL15" s="4"/>
      <c r="AM15" s="4"/>
      <c r="AN15" s="4"/>
      <c r="AO15" s="4"/>
      <c r="AP15" s="4"/>
      <c r="AQ15" s="4"/>
      <c r="AR15" s="4"/>
      <c r="AS15" s="78"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2682</v>
      </c>
      <c r="D16" s="6" t="s">
        <v>2683</v>
      </c>
      <c r="E16" s="8"/>
      <c r="F16" s="7" t="s">
        <v>317</v>
      </c>
      <c r="G16" s="7" t="str">
        <f t="shared" si="3"/>
        <v>text</v>
      </c>
      <c r="H16" s="26"/>
      <c r="I16" s="10" t="s">
        <v>127</v>
      </c>
      <c r="J16" s="11"/>
      <c r="M16" s="4"/>
      <c r="N16" s="78"/>
      <c r="O16" s="78"/>
      <c r="P16" s="78" t="str">
        <f t="shared" si="4"/>
        <v>,icd10_m_name</v>
      </c>
      <c r="Q16" s="78" t="str">
        <f t="shared" si="0"/>
        <v>TEXT</v>
      </c>
      <c r="R16" s="78" t="str">
        <f t="shared" si="1"/>
        <v/>
      </c>
      <c r="S16" s="78" t="str">
        <f t="shared" si="5"/>
        <v>NOT NULL</v>
      </c>
      <c r="T16" s="78" t="str">
        <f t="shared" si="6"/>
        <v>-- ICD10中分類名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3324</v>
      </c>
      <c r="D18" s="6" t="s">
        <v>3325</v>
      </c>
      <c r="E18" s="8"/>
      <c r="F18" s="7" t="s">
        <v>317</v>
      </c>
      <c r="G18" s="7" t="str">
        <f t="shared" ref="G18" si="7">IF(F18="フラグ","boolean",IF(F18="文字列","text",IF(F18="整数","integer",IF(F18="実数","numeric",""))))</f>
        <v>text</v>
      </c>
      <c r="H18" s="26"/>
      <c r="I18" s="10"/>
      <c r="J18" s="11" t="s">
        <v>3333</v>
      </c>
      <c r="M18" s="4"/>
      <c r="N18" s="78"/>
      <c r="O18" s="78"/>
      <c r="P18" s="78" t="str">
        <f t="shared" ref="P18" si="8">IF(B18&lt;&gt;1,","&amp;D18,D18)</f>
        <v>,ikosaki</v>
      </c>
      <c r="Q18" s="78" t="str">
        <f t="shared" ref="Q18" si="9">UPPER(G18)</f>
        <v>TEXT</v>
      </c>
      <c r="R18" s="78" t="str">
        <f t="shared" ref="R18" si="10">IF(H18&lt;&gt;"","default "&amp;IF(G18="text","'"&amp;H18&amp;"'",H18),"")</f>
        <v/>
      </c>
      <c r="S18" s="78" t="str">
        <f t="shared" ref="S18" si="11">IF(I18="○","NOT NULL","")</f>
        <v/>
      </c>
      <c r="T18" s="78" t="str">
        <f t="shared" ref="T18" si="12">"-- "&amp;C18</f>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milscm_2023_009.sny_202310_backup_mt_icd10_m.ikosaki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milscm_2023_009.sny_202310_backup_mt_icd10_m.nen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milscm_2023_009.sny_202310_backup_mt_icd10_m.nengetsu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milscm_2023_009.sny_202310_backup_mt_icd10_m.update_ymd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ENT_01_A3-32</v>
      </c>
      <c r="E6" s="251"/>
      <c r="F6" s="251"/>
      <c r="G6" s="251"/>
      <c r="H6" s="251"/>
      <c r="I6" s="251"/>
      <c r="J6" s="252"/>
    </row>
    <row r="7" spans="1:45">
      <c r="B7" s="240" t="s">
        <v>115</v>
      </c>
      <c r="C7" s="241"/>
      <c r="D7" s="242" t="s">
        <v>3272</v>
      </c>
      <c r="E7" s="243"/>
      <c r="F7" s="243"/>
      <c r="G7" s="243"/>
      <c r="H7" s="243"/>
      <c r="I7" s="243"/>
      <c r="J7" s="244"/>
    </row>
    <row r="8" spans="1:45">
      <c r="B8" s="240" t="s">
        <v>116</v>
      </c>
      <c r="C8" s="241"/>
      <c r="D8" s="242" t="str">
        <f>エンティティ一覧!AE2&amp;"_"&amp;D5&amp;"_mt_icd10_s"</f>
        <v>sny_202310_backup_mt_icd10_s</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ICD10小分類マスタテーブルから組入れ条件の第一条件で絞り込んだ結果を格納するテーブル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milscm_2023_009.sny_202310_backup_mt_icd10_s;</v>
      </c>
      <c r="O10" s="78"/>
      <c r="P10" s="78"/>
      <c r="Q10" s="78"/>
      <c r="R10" s="78"/>
      <c r="S10" s="78"/>
      <c r="T10" s="78"/>
      <c r="AJ10" s="78" t="str">
        <f>"ALTER TABLE ONLY "&amp;エンティティ一覧!$O$2&amp;"."&amp;D$8</f>
        <v>ALTER TABLE ONLY milscm_2023_009.sny_202310_backup_mt_icd10_s</v>
      </c>
      <c r="AS10" s="78" t="str">
        <f>"ALTER TABLE "&amp;エンティティ一覧!$O$2&amp;"."&amp;D$8&amp;" OWNER TO pgmisgrp1;"</f>
        <v>ALTER TABLE milscm_2023_009.sny_202310_backup_mt_icd10_s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milscm_2023_009.sny_202310_backup_mt_icd10_s</v>
      </c>
      <c r="O11" s="78"/>
      <c r="P11" s="78"/>
      <c r="Q11" s="78"/>
      <c r="R11" s="78"/>
      <c r="S11" s="78"/>
      <c r="T11" s="78"/>
      <c r="AJ11" s="78" t="str">
        <f>"ADD CONSTRAINT "&amp;D$8&amp;"_pkey PRIMARY KEY"</f>
        <v>ADD CONSTRAINT sny_202310_backup_mt_icd10_s_pkey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 IS 'バックアップ_ICD10小分類マスタ';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milscm_2023_009.sny_202310_backup_mt_icd10_s.koshin_kubun IS '更新区分';</v>
      </c>
    </row>
    <row r="15" spans="1:45" s="25" customFormat="1">
      <c r="A15" s="4"/>
      <c r="B15" s="21">
        <f t="shared" si="2"/>
        <v>3</v>
      </c>
      <c r="C15" s="6" t="s">
        <v>2677</v>
      </c>
      <c r="D15" s="6" t="s">
        <v>3387</v>
      </c>
      <c r="E15" s="8" t="s">
        <v>127</v>
      </c>
      <c r="F15" s="7" t="s">
        <v>317</v>
      </c>
      <c r="G15" s="7" t="str">
        <f t="shared" si="3"/>
        <v>text</v>
      </c>
      <c r="H15" s="26"/>
      <c r="I15" s="10" t="s">
        <v>127</v>
      </c>
      <c r="J15" s="11"/>
      <c r="M15" s="4"/>
      <c r="N15" s="78"/>
      <c r="O15" s="78"/>
      <c r="P15" s="78" t="str">
        <f t="shared" si="4"/>
        <v>,icd10_s_code</v>
      </c>
      <c r="Q15" s="78" t="str">
        <f t="shared" si="0"/>
        <v>TEXT</v>
      </c>
      <c r="R15" s="78" t="str">
        <f t="shared" si="1"/>
        <v/>
      </c>
      <c r="S15" s="78" t="str">
        <f t="shared" si="5"/>
        <v>NOT NULL</v>
      </c>
      <c r="T15" s="78" t="str">
        <f t="shared" si="6"/>
        <v>-- ICD10小分類コード</v>
      </c>
      <c r="U15" s="4"/>
      <c r="AA15" s="4"/>
      <c r="AB15" s="4"/>
      <c r="AC15" s="4"/>
      <c r="AD15" s="4"/>
      <c r="AE15" s="4"/>
      <c r="AF15" s="4"/>
      <c r="AG15" s="4"/>
      <c r="AH15" s="4"/>
      <c r="AI15" s="4"/>
      <c r="AJ15" s="78" t="str">
        <f>IF(E15="○",IF(COUNTA(E$13:E15)=1,"",",")&amp;D15,"")</f>
        <v>,icd10_s_code</v>
      </c>
      <c r="AK15" s="4"/>
      <c r="AL15" s="4"/>
      <c r="AM15" s="4"/>
      <c r="AN15" s="4"/>
      <c r="AO15" s="4"/>
      <c r="AP15" s="4"/>
      <c r="AQ15" s="4"/>
      <c r="AR15" s="4"/>
      <c r="AS15" s="78"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2684</v>
      </c>
      <c r="D16" s="6" t="s">
        <v>898</v>
      </c>
      <c r="E16" s="8"/>
      <c r="F16" s="7" t="s">
        <v>317</v>
      </c>
      <c r="G16" s="7" t="str">
        <f t="shared" si="3"/>
        <v>text</v>
      </c>
      <c r="H16" s="26"/>
      <c r="I16" s="10" t="s">
        <v>127</v>
      </c>
      <c r="J16" s="11"/>
      <c r="M16" s="4"/>
      <c r="N16" s="78"/>
      <c r="O16" s="78"/>
      <c r="P16" s="78" t="str">
        <f t="shared" si="4"/>
        <v>,icd10_s_name</v>
      </c>
      <c r="Q16" s="78" t="str">
        <f t="shared" si="0"/>
        <v>TEXT</v>
      </c>
      <c r="R16" s="78" t="str">
        <f t="shared" si="1"/>
        <v/>
      </c>
      <c r="S16" s="78" t="str">
        <f t="shared" si="5"/>
        <v>NOT NULL</v>
      </c>
      <c r="T16" s="78" t="str">
        <f t="shared" si="6"/>
        <v>-- ICD10小分類名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3324</v>
      </c>
      <c r="D19" s="6" t="s">
        <v>3325</v>
      </c>
      <c r="E19" s="8"/>
      <c r="F19" s="7" t="s">
        <v>317</v>
      </c>
      <c r="G19" s="7" t="str">
        <f t="shared" ref="G19" si="7">IF(F19="フラグ","boolean",IF(F19="文字列","text",IF(F19="整数","integer",IF(F19="実数","numeric",""))))</f>
        <v>text</v>
      </c>
      <c r="H19" s="26"/>
      <c r="I19" s="10"/>
      <c r="J19" s="11" t="s">
        <v>3333</v>
      </c>
      <c r="M19" s="4"/>
      <c r="N19" s="78"/>
      <c r="O19" s="78"/>
      <c r="P19" s="78" t="str">
        <f t="shared" ref="P19" si="8">IF(B19&lt;&gt;1,","&amp;D19,D19)</f>
        <v>,ikosaki</v>
      </c>
      <c r="Q19" s="78" t="str">
        <f t="shared" ref="Q19" si="9">UPPER(G19)</f>
        <v>TEXT</v>
      </c>
      <c r="R19" s="78" t="str">
        <f t="shared" ref="R19" si="10">IF(H19&lt;&gt;"","default "&amp;IF(G19="text","'"&amp;H19&amp;"'",H19),"")</f>
        <v/>
      </c>
      <c r="S19" s="78" t="str">
        <f t="shared" ref="S19" si="11">IF(I19="○","NOT NULL","")</f>
        <v/>
      </c>
      <c r="T19" s="78" t="str">
        <f t="shared" ref="T19" si="12">"-- "&amp;C19</f>
        <v>-- 移行先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milscm_2023_009.sny_202310_backup_mt_icd10_s.ikosaki IS '移行先';</v>
      </c>
    </row>
    <row r="20" spans="1:52" s="25" customFormat="1">
      <c r="A20" s="4"/>
      <c r="B20" s="21">
        <f t="shared" si="2"/>
        <v>8</v>
      </c>
      <c r="C20" s="6" t="s">
        <v>3326</v>
      </c>
      <c r="D20" s="6" t="s">
        <v>3327</v>
      </c>
      <c r="E20" s="8"/>
      <c r="F20" s="7" t="s">
        <v>317</v>
      </c>
      <c r="G20" s="7" t="str">
        <f t="shared" si="3"/>
        <v>text</v>
      </c>
      <c r="H20" s="26"/>
      <c r="I20" s="10" t="s">
        <v>127</v>
      </c>
      <c r="J20" s="11" t="s">
        <v>3334</v>
      </c>
      <c r="M20" s="4"/>
      <c r="N20" s="78"/>
      <c r="O20" s="78"/>
      <c r="P20" s="78" t="str">
        <f t="shared" si="4"/>
        <v>,nen</v>
      </c>
      <c r="Q20" s="78" t="str">
        <f t="shared" si="0"/>
        <v>TEXT</v>
      </c>
      <c r="R20" s="78" t="str">
        <f t="shared" si="1"/>
        <v/>
      </c>
      <c r="S20" s="78" t="str">
        <f t="shared" si="5"/>
        <v>NOT NULL</v>
      </c>
      <c r="T20" s="78" t="str">
        <f t="shared" si="6"/>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milscm_2023_009.sny_202310_backup_mt_icd10_s.nengetsu IS '年月';</v>
      </c>
    </row>
    <row r="22" spans="1:52" s="25" customFormat="1" ht="18"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ENT_01_A3-33</v>
      </c>
      <c r="E6" s="251"/>
      <c r="F6" s="251"/>
      <c r="G6" s="251"/>
      <c r="H6" s="251"/>
      <c r="I6" s="251"/>
      <c r="J6" s="252"/>
    </row>
    <row r="7" spans="1:45">
      <c r="B7" s="240" t="s">
        <v>115</v>
      </c>
      <c r="C7" s="241"/>
      <c r="D7" s="242" t="s">
        <v>3273</v>
      </c>
      <c r="E7" s="243"/>
      <c r="F7" s="243"/>
      <c r="G7" s="243"/>
      <c r="H7" s="243"/>
      <c r="I7" s="243"/>
      <c r="J7" s="244"/>
    </row>
    <row r="8" spans="1:45">
      <c r="B8" s="240" t="s">
        <v>116</v>
      </c>
      <c r="C8" s="241"/>
      <c r="D8" s="242" t="str">
        <f>エンティティ一覧!AE2&amp;"_"&amp;D5&amp;"_mt_icd10_ss"</f>
        <v>sny_202310_backup_mt_icd10_ss</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ICD10細分類マスタテーブルから組入れ条件の第一条件で絞り込んだ結果を格納するテーブル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milscm_2023_009.sny_202310_backup_mt_icd10_ss;</v>
      </c>
      <c r="O10" s="78"/>
      <c r="P10" s="78"/>
      <c r="Q10" s="78"/>
      <c r="R10" s="78"/>
      <c r="S10" s="78"/>
      <c r="T10" s="78"/>
      <c r="AJ10" s="78" t="str">
        <f>"ALTER TABLE ONLY "&amp;エンティティ一覧!$O$2&amp;"."&amp;D$8</f>
        <v>ALTER TABLE ONLY milscm_2023_009.sny_202310_backup_mt_icd10_ss</v>
      </c>
      <c r="AS10" s="78" t="str">
        <f>"ALTER TABLE "&amp;エンティティ一覧!$O$2&amp;"."&amp;D$8&amp;" OWNER TO pgmisgrp1;"</f>
        <v>ALTER TABLE milscm_2023_009.sny_202310_backup_mt_icd10_ss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milscm_2023_009.sny_202310_backup_mt_icd10_ss</v>
      </c>
      <c r="O11" s="78"/>
      <c r="P11" s="78"/>
      <c r="Q11" s="78"/>
      <c r="R11" s="78"/>
      <c r="S11" s="78"/>
      <c r="T11" s="78"/>
      <c r="AJ11" s="78" t="str">
        <f>"ADD CONSTRAINT "&amp;D$8&amp;"_pkey PRIMARY KEY"</f>
        <v>ADD CONSTRAINT sny_202310_backup_mt_icd10_ss_pkey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milscm_2023_009.sny_202310_backup_mt_icd10_ss IS 'バックアップ_ICD10細分類マスタ';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2678</v>
      </c>
      <c r="D15" s="6" t="s">
        <v>3388</v>
      </c>
      <c r="E15" s="8" t="s">
        <v>127</v>
      </c>
      <c r="F15" s="7" t="s">
        <v>317</v>
      </c>
      <c r="G15" s="7" t="str">
        <f t="shared" si="3"/>
        <v>text</v>
      </c>
      <c r="H15" s="26"/>
      <c r="I15" s="10" t="s">
        <v>127</v>
      </c>
      <c r="J15" s="11"/>
      <c r="M15" s="4"/>
      <c r="N15" s="78"/>
      <c r="O15" s="78"/>
      <c r="P15" s="78" t="str">
        <f t="shared" si="4"/>
        <v>,icd10_ss_code</v>
      </c>
      <c r="Q15" s="78" t="str">
        <f t="shared" si="0"/>
        <v>TEXT</v>
      </c>
      <c r="R15" s="78" t="str">
        <f t="shared" si="1"/>
        <v/>
      </c>
      <c r="S15" s="78" t="str">
        <f t="shared" si="5"/>
        <v>NOT NULL</v>
      </c>
      <c r="T15" s="78" t="str">
        <f t="shared" si="6"/>
        <v>-- ICD10細分類コード</v>
      </c>
      <c r="U15" s="4"/>
      <c r="AA15" s="4"/>
      <c r="AB15" s="4"/>
      <c r="AC15" s="4"/>
      <c r="AD15" s="4"/>
      <c r="AE15" s="4"/>
      <c r="AF15" s="4"/>
      <c r="AG15" s="4"/>
      <c r="AH15" s="4"/>
      <c r="AI15" s="4"/>
      <c r="AJ15" s="78" t="str">
        <f>IF(E15="○",IF(COUNTA(E$13:E15)=1,"",",")&amp;D15,"")</f>
        <v>,icd10_ss_code</v>
      </c>
      <c r="AK15" s="4"/>
      <c r="AL15" s="4"/>
      <c r="AM15" s="4"/>
      <c r="AN15" s="4"/>
      <c r="AO15" s="4"/>
      <c r="AP15" s="4"/>
      <c r="AQ15" s="4"/>
      <c r="AR15" s="4"/>
      <c r="AS15" s="78"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2685</v>
      </c>
      <c r="D16" s="6" t="s">
        <v>2686</v>
      </c>
      <c r="E16" s="8"/>
      <c r="F16" s="7" t="s">
        <v>317</v>
      </c>
      <c r="G16" s="7" t="str">
        <f t="shared" si="3"/>
        <v>text</v>
      </c>
      <c r="H16" s="26"/>
      <c r="I16" s="10" t="s">
        <v>127</v>
      </c>
      <c r="J16" s="11"/>
      <c r="M16" s="4"/>
      <c r="N16" s="78"/>
      <c r="O16" s="78"/>
      <c r="P16" s="78" t="str">
        <f t="shared" si="4"/>
        <v>,icd10_ss_name</v>
      </c>
      <c r="Q16" s="78" t="str">
        <f t="shared" si="0"/>
        <v>TEXT</v>
      </c>
      <c r="R16" s="78" t="str">
        <f t="shared" si="1"/>
        <v/>
      </c>
      <c r="S16" s="78" t="str">
        <f t="shared" si="5"/>
        <v>NOT NULL</v>
      </c>
      <c r="T16" s="78" t="str">
        <f t="shared" si="6"/>
        <v>-- ICD10細分類名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2673</v>
      </c>
      <c r="D17" s="6" t="s">
        <v>3385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,icd10_l_code</v>
      </c>
      <c r="Q17" s="78" t="str">
        <f t="shared" ref="Q17" si="9">UPPER(G17)</f>
        <v>TEXT</v>
      </c>
      <c r="R17" s="78" t="str">
        <f t="shared" ref="R17" si="10">IF(H17&lt;&gt;"","default "&amp;IF(G17="text","'"&amp;H17&amp;"'",H17),"")</f>
        <v/>
      </c>
      <c r="S17" s="78" t="str">
        <f t="shared" ref="S17" si="11">IF(I17="○","NOT NULL","")</f>
        <v>NOT NULL</v>
      </c>
      <c r="T17" s="78" t="str">
        <f t="shared" ref="T17" si="12">"-- "&amp;C17</f>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2677</v>
      </c>
      <c r="D19" s="6" t="s">
        <v>3387</v>
      </c>
      <c r="E19" s="8"/>
      <c r="F19" s="7" t="s">
        <v>317</v>
      </c>
      <c r="G19" s="7" t="str">
        <f t="shared" si="3"/>
        <v>text</v>
      </c>
      <c r="H19" s="26"/>
      <c r="I19" s="10" t="s">
        <v>127</v>
      </c>
      <c r="J19" s="11"/>
      <c r="M19" s="4"/>
      <c r="N19" s="78"/>
      <c r="O19" s="78"/>
      <c r="P19" s="78" t="str">
        <f t="shared" si="4"/>
        <v>,icd10_s_code</v>
      </c>
      <c r="Q19" s="78" t="str">
        <f t="shared" si="0"/>
        <v>TEXT</v>
      </c>
      <c r="R19" s="78" t="str">
        <f t="shared" si="1"/>
        <v/>
      </c>
      <c r="S19" s="78" t="str">
        <f t="shared" si="5"/>
        <v>NOT NULL</v>
      </c>
      <c r="T19" s="78" t="str">
        <f t="shared" si="6"/>
        <v>-- ICD10小分類コード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3324</v>
      </c>
      <c r="D20" s="6" t="s">
        <v>3325</v>
      </c>
      <c r="E20" s="8"/>
      <c r="F20" s="7" t="s">
        <v>317</v>
      </c>
      <c r="G20" s="7" t="str">
        <f t="shared" si="3"/>
        <v>text</v>
      </c>
      <c r="H20" s="26"/>
      <c r="I20" s="10"/>
      <c r="J20" s="11" t="s">
        <v>3333</v>
      </c>
      <c r="M20" s="4"/>
      <c r="N20" s="78"/>
      <c r="O20" s="78"/>
      <c r="P20" s="78" t="str">
        <f t="shared" si="4"/>
        <v>,ikosaki</v>
      </c>
      <c r="Q20" s="78" t="str">
        <f t="shared" si="0"/>
        <v>TEXT</v>
      </c>
      <c r="R20" s="78" t="str">
        <f t="shared" si="1"/>
        <v/>
      </c>
      <c r="S20" s="78" t="str">
        <f t="shared" si="5"/>
        <v/>
      </c>
      <c r="T20" s="78" t="str">
        <f t="shared" si="6"/>
        <v>-- 移行先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milscm_2023_009.sny_202310_backup_mt_icd10_ss.ikosaki IS '移行先';</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milscm_2023_009.sny_202310_backup_mt_icd10_ss.nen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milscm_2023_009.sny_202310_backup_mt_icd10_ss.nengetsu IS '年月';</v>
      </c>
    </row>
    <row r="23" spans="1:52" s="25" customFormat="1" ht="18"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milscm_2023_009.sny_202310_backup_mt_icd10_ss.update_ymd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ENT_01_A3-34</v>
      </c>
      <c r="E6" s="251"/>
      <c r="F6" s="251"/>
      <c r="G6" s="251"/>
      <c r="H6" s="251"/>
      <c r="I6" s="251"/>
      <c r="J6" s="252"/>
    </row>
    <row r="7" spans="1:45">
      <c r="B7" s="240" t="s">
        <v>115</v>
      </c>
      <c r="C7" s="241"/>
      <c r="D7" s="242" t="s">
        <v>3274</v>
      </c>
      <c r="E7" s="243"/>
      <c r="F7" s="243"/>
      <c r="G7" s="243"/>
      <c r="H7" s="243"/>
      <c r="I7" s="243"/>
      <c r="J7" s="244"/>
    </row>
    <row r="8" spans="1:45">
      <c r="B8" s="240" t="s">
        <v>116</v>
      </c>
      <c r="C8" s="241"/>
      <c r="D8" s="242" t="str">
        <f>エンティティ一覧!AE2&amp;"_"&amp;D5&amp;"_mt_dpc2"</f>
        <v>sny_202310_backup_mt_dpc2</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DPC2桁マスタテーブルから組入れ条件の第一条件で絞り込んだ結果を格納するテーブル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milscm_2023_009.sny_202310_backup_mt_dpc2;</v>
      </c>
      <c r="O10" s="78"/>
      <c r="P10" s="78"/>
      <c r="Q10" s="78"/>
      <c r="R10" s="78"/>
      <c r="S10" s="78"/>
      <c r="T10" s="78"/>
      <c r="AJ10" s="78" t="str">
        <f>"ALTER TABLE ONLY "&amp;エンティティ一覧!$O$2&amp;"."&amp;D$8</f>
        <v>ALTER TABLE ONLY milscm_2023_009.sny_202310_backup_mt_dpc2</v>
      </c>
      <c r="AS10" s="78" t="str">
        <f>"ALTER TABLE "&amp;エンティティ一覧!$O$2&amp;"."&amp;D$8&amp;" OWNER TO pgmisgrp1;"</f>
        <v>ALTER TABLE milscm_2023_009.sny_202310_backup_mt_dpc2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milscm_2023_009.sny_202310_backup_mt_dpc2</v>
      </c>
      <c r="O11" s="78"/>
      <c r="P11" s="78"/>
      <c r="Q11" s="78"/>
      <c r="R11" s="78"/>
      <c r="S11" s="78"/>
      <c r="T11" s="78"/>
      <c r="AJ11" s="78" t="str">
        <f>"ADD CONSTRAINT "&amp;D$8&amp;"_pkey PRIMARY KEY"</f>
        <v>ADD CONSTRAINT sny_202310_backup_mt_dpc2_pkey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milscm_2023_009.sny_202310_backup_mt_dpc2 IS 'バックアップ_DPC2桁マスタ';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3389</v>
      </c>
      <c r="D14" s="6" t="s">
        <v>1947</v>
      </c>
      <c r="E14" s="8"/>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,henkou_kubun</v>
      </c>
      <c r="Q14" s="78" t="str">
        <f t="shared" si="0"/>
        <v>TEXT</v>
      </c>
      <c r="R14" s="78" t="str">
        <f t="shared" si="1"/>
        <v/>
      </c>
      <c r="S14" s="78" t="str">
        <f t="shared" ref="S14:S20" si="5">IF(I14="○","NOT NULL","")</f>
        <v>NOT NULL</v>
      </c>
      <c r="T14" s="78" t="str">
        <f t="shared" ref="T14:T20"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milscm_2023_009.sny_202310_backup_mt_dpc2.henkou_kubun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milscm_2023_009.sny_202310_backup_mt_dpc2.dpc2_code IS 'DPCコード2桁';</v>
      </c>
    </row>
    <row r="16" spans="1:45" s="25" customFormat="1">
      <c r="A16" s="4"/>
      <c r="B16" s="21">
        <f t="shared" si="2"/>
        <v>4</v>
      </c>
      <c r="C16" s="6" t="s">
        <v>2662</v>
      </c>
      <c r="D16" s="6" t="s">
        <v>2663</v>
      </c>
      <c r="E16" s="8"/>
      <c r="F16" s="7" t="s">
        <v>317</v>
      </c>
      <c r="G16" s="7" t="str">
        <f t="shared" si="3"/>
        <v>text</v>
      </c>
      <c r="H16" s="26"/>
      <c r="I16" s="10" t="s">
        <v>127</v>
      </c>
      <c r="J16" s="11"/>
      <c r="M16" s="4"/>
      <c r="N16" s="78"/>
      <c r="O16" s="78"/>
      <c r="P16" s="78" t="str">
        <f t="shared" si="4"/>
        <v>,dpc2_name</v>
      </c>
      <c r="Q16" s="78" t="str">
        <f t="shared" si="0"/>
        <v>TEXT</v>
      </c>
      <c r="R16" s="78" t="str">
        <f t="shared" si="1"/>
        <v/>
      </c>
      <c r="S16" s="78" t="str">
        <f t="shared" si="5"/>
        <v>NOT NULL</v>
      </c>
      <c r="T16" s="78" t="str">
        <f t="shared" si="6"/>
        <v>-- DPC2桁名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milscm_2023_009.sny_202310_backup_mt_dpc2.dpc2_name IS 'DPC2桁名';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milscm_2023_009.sny_202310_backup_mt_dpc2.ikosaki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milscm_2023_009.sny_202310_backup_mt_dpc2.nen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milscm_2023_009.sny_202310_backup_mt_dpc2.nengetsu IS '年月';</v>
      </c>
    </row>
    <row r="20" spans="1:52" s="25" customFormat="1" ht="18"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milscm_2023_009.sny_202310_backup_mt_dpc2.update_ymd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ENT_01_A3-35</v>
      </c>
      <c r="E6" s="251"/>
      <c r="F6" s="251"/>
      <c r="G6" s="251"/>
      <c r="H6" s="251"/>
      <c r="I6" s="251"/>
      <c r="J6" s="252"/>
    </row>
    <row r="7" spans="1:45">
      <c r="B7" s="240" t="s">
        <v>115</v>
      </c>
      <c r="C7" s="241"/>
      <c r="D7" s="242" t="s">
        <v>3391</v>
      </c>
      <c r="E7" s="243"/>
      <c r="F7" s="243"/>
      <c r="G7" s="243"/>
      <c r="H7" s="243"/>
      <c r="I7" s="243"/>
      <c r="J7" s="244"/>
    </row>
    <row r="8" spans="1:45">
      <c r="B8" s="240" t="s">
        <v>116</v>
      </c>
      <c r="C8" s="241"/>
      <c r="D8" s="242" t="str">
        <f>エンティティ一覧!AE2&amp;"_"&amp;D5&amp;"_mt_dpc6"</f>
        <v>sny_202310_backup_mt_dpc6</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DPC6桁マスタテーブルから組入れ条件の第一条件で絞り込んだ結果を格納するテーブル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milscm_2023_009.sny_202310_backup_mt_dpc6;</v>
      </c>
      <c r="O10" s="78"/>
      <c r="P10" s="78"/>
      <c r="Q10" s="78"/>
      <c r="R10" s="78"/>
      <c r="S10" s="78"/>
      <c r="T10" s="78"/>
      <c r="AJ10" s="78" t="str">
        <f>"ALTER TABLE ONLY "&amp;エンティティ一覧!$O$2&amp;"."&amp;D$8</f>
        <v>ALTER TABLE ONLY milscm_2023_009.sny_202310_backup_mt_dpc6</v>
      </c>
      <c r="AS10" s="78" t="str">
        <f>"ALTER TABLE "&amp;エンティティ一覧!$O$2&amp;"."&amp;D$8&amp;" OWNER TO pgmisgrp1;"</f>
        <v>ALTER TABLE milscm_2023_009.sny_202310_backup_mt_dpc6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milscm_2023_009.sny_202310_backup_mt_dpc6</v>
      </c>
      <c r="O11" s="78"/>
      <c r="P11" s="78"/>
      <c r="Q11" s="78"/>
      <c r="R11" s="78"/>
      <c r="S11" s="78"/>
      <c r="T11" s="78"/>
      <c r="AJ11" s="78" t="str">
        <f>"ADD CONSTRAINT "&amp;D$8&amp;"_pkey PRIMARY KEY"</f>
        <v>ADD CONSTRAINT sny_202310_backup_mt_dpc6_pkey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 IS 'バックアップ_DPC6桁マスタ';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3389</v>
      </c>
      <c r="D14" s="6" t="s">
        <v>1947</v>
      </c>
      <c r="E14" s="8"/>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milscm_2023_009.sny_202310_backup_mt_dpc6.henkou_kubun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milscm_2023_009.sny_202310_backup_mt_dpc6.dpc2_code IS 'DPCコード2桁';</v>
      </c>
    </row>
    <row r="16" spans="1:45" s="25" customFormat="1">
      <c r="A16" s="4"/>
      <c r="B16" s="21">
        <f t="shared" si="2"/>
        <v>4</v>
      </c>
      <c r="C16" s="6" t="s">
        <v>3392</v>
      </c>
      <c r="D16" s="6" t="s">
        <v>3393</v>
      </c>
      <c r="E16" s="8" t="s">
        <v>127</v>
      </c>
      <c r="F16" s="7" t="s">
        <v>317</v>
      </c>
      <c r="G16" s="7" t="str">
        <f t="shared" si="3"/>
        <v>text</v>
      </c>
      <c r="H16" s="26"/>
      <c r="I16" s="10" t="s">
        <v>127</v>
      </c>
      <c r="J16" s="11"/>
      <c r="M16" s="4"/>
      <c r="N16" s="78"/>
      <c r="O16" s="78"/>
      <c r="P16" s="78" t="str">
        <f t="shared" si="4"/>
        <v>,dpc4_code</v>
      </c>
      <c r="Q16" s="78" t="str">
        <f t="shared" si="0"/>
        <v>TEXT</v>
      </c>
      <c r="R16" s="78" t="str">
        <f t="shared" si="1"/>
        <v/>
      </c>
      <c r="S16" s="78" t="str">
        <f t="shared" si="5"/>
        <v>NOT NULL</v>
      </c>
      <c r="T16" s="78" t="str">
        <f t="shared" si="6"/>
        <v>-- DPCコード4桁</v>
      </c>
      <c r="U16" s="4"/>
      <c r="AA16" s="4"/>
      <c r="AB16" s="4"/>
      <c r="AC16" s="4"/>
      <c r="AD16" s="4"/>
      <c r="AE16" s="4"/>
      <c r="AF16" s="4"/>
      <c r="AG16" s="4"/>
      <c r="AH16" s="4"/>
      <c r="AI16" s="4"/>
      <c r="AJ16" s="78" t="str">
        <f>IF(E16="○",IF(COUNTA(E$13:E16)=1,"",",")&amp;D16,"")</f>
        <v>,dpc4_code</v>
      </c>
      <c r="AK16" s="4"/>
      <c r="AL16" s="4"/>
      <c r="AM16" s="4"/>
      <c r="AN16" s="4"/>
      <c r="AO16" s="4"/>
      <c r="AP16" s="4"/>
      <c r="AQ16" s="4"/>
      <c r="AR16" s="4"/>
      <c r="AS16" s="78" t="str">
        <f>"COMMENT ON COLUMN "&amp;エンティティ一覧!$O$2&amp;"."&amp;D$8&amp;"."&amp;D16&amp;" IS '"&amp;C16&amp;"';"</f>
        <v>COMMENT ON COLUMN milscm_2023_009.sny_202310_backup_mt_dpc6.dpc4_code IS 'DPCコード4桁';</v>
      </c>
    </row>
    <row r="17" spans="1:52" s="25" customFormat="1">
      <c r="A17" s="4"/>
      <c r="B17" s="21">
        <f t="shared" si="2"/>
        <v>5</v>
      </c>
      <c r="C17" s="6" t="s">
        <v>2664</v>
      </c>
      <c r="D17" s="6" t="s">
        <v>2665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,dpc6_name</v>
      </c>
      <c r="Q17" s="78" t="str">
        <f t="shared" ref="Q17" si="9">UPPER(G17)</f>
        <v>TEXT</v>
      </c>
      <c r="R17" s="78" t="str">
        <f t="shared" ref="R17" si="10">IF(H17&lt;&gt;"","default "&amp;IF(G17="text","'"&amp;H17&amp;"'",H17),"")</f>
        <v/>
      </c>
      <c r="S17" s="78" t="str">
        <f t="shared" ref="S17" si="11">IF(I17="○","NOT NULL","")</f>
        <v>NOT NULL</v>
      </c>
      <c r="T17" s="78" t="str">
        <f t="shared" ref="T17" si="12">"-- "&amp;C17</f>
        <v>-- DPC6桁名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milscm_2023_009.sny_202310_backup_mt_dpc6.dpc6_name IS 'DPC6桁名';</v>
      </c>
    </row>
    <row r="18" spans="1:52" s="25" customFormat="1">
      <c r="A18" s="4"/>
      <c r="B18" s="21">
        <f t="shared" si="2"/>
        <v>6</v>
      </c>
      <c r="C18" s="6" t="s">
        <v>3324</v>
      </c>
      <c r="D18" s="6" t="s">
        <v>3325</v>
      </c>
      <c r="E18" s="8"/>
      <c r="F18" s="7" t="s">
        <v>317</v>
      </c>
      <c r="G18" s="7" t="str">
        <f t="shared" si="3"/>
        <v>text</v>
      </c>
      <c r="H18" s="26"/>
      <c r="I18" s="10"/>
      <c r="J18" s="11" t="s">
        <v>3333</v>
      </c>
      <c r="M18" s="4"/>
      <c r="N18" s="78"/>
      <c r="O18" s="78"/>
      <c r="P18" s="78" t="str">
        <f t="shared" si="4"/>
        <v>,ikosaki</v>
      </c>
      <c r="Q18" s="78" t="str">
        <f t="shared" si="0"/>
        <v>TEXT</v>
      </c>
      <c r="R18" s="78" t="str">
        <f t="shared" si="1"/>
        <v/>
      </c>
      <c r="S18" s="78" t="str">
        <f t="shared" si="5"/>
        <v/>
      </c>
      <c r="T18" s="78" t="str">
        <f t="shared" si="6"/>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milscm_2023_009.sny_202310_backup_mt_dpc6.nengetsu IS '年月';</v>
      </c>
    </row>
    <row r="21" spans="1:52" s="25" customFormat="1" ht="18"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ENT_01_A3-36</v>
      </c>
      <c r="E6" s="251"/>
      <c r="F6" s="251"/>
      <c r="G6" s="251"/>
      <c r="H6" s="251"/>
      <c r="I6" s="251"/>
      <c r="J6" s="252"/>
    </row>
    <row r="7" spans="1:45">
      <c r="B7" s="240" t="s">
        <v>115</v>
      </c>
      <c r="C7" s="241"/>
      <c r="D7" s="242" t="s">
        <v>3394</v>
      </c>
      <c r="E7" s="243"/>
      <c r="F7" s="243"/>
      <c r="G7" s="243"/>
      <c r="H7" s="243"/>
      <c r="I7" s="243"/>
      <c r="J7" s="244"/>
    </row>
    <row r="8" spans="1:45">
      <c r="B8" s="240" t="s">
        <v>116</v>
      </c>
      <c r="C8" s="241"/>
      <c r="D8" s="242" t="str">
        <f>エンティティ一覧!AE2&amp;"_"&amp;D5&amp;"_mt_postal"</f>
        <v>sny_202310_backup_mt_postal</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郵便番号マスタテーブルから組入れ条件の第一条件で絞り込んだ結果を格納するテーブル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milscm_2023_009.sny_202310_backup_mt_postal;</v>
      </c>
      <c r="O10" s="78"/>
      <c r="P10" s="78"/>
      <c r="Q10" s="78"/>
      <c r="R10" s="78"/>
      <c r="S10" s="78"/>
      <c r="T10" s="78"/>
      <c r="AJ10" s="78" t="str">
        <f>"ALTER TABLE ONLY "&amp;エンティティ一覧!$O$2&amp;"."&amp;D$8</f>
        <v>ALTER TABLE ONLY milscm_2023_009.sny_202310_backup_mt_postal</v>
      </c>
      <c r="AS10" s="78" t="str">
        <f>"ALTER TABLE "&amp;エンティティ一覧!$O$2&amp;"."&amp;D$8&amp;" OWNER TO pgmisgrp1;"</f>
        <v>ALTER TABLE milscm_2023_009.sny_202310_backup_mt_postal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milscm_2023_009.sny_202310_backup_mt_postal</v>
      </c>
      <c r="O11" s="78"/>
      <c r="P11" s="78"/>
      <c r="Q11" s="78"/>
      <c r="R11" s="78"/>
      <c r="S11" s="78"/>
      <c r="T11" s="78"/>
      <c r="AJ11" s="78" t="str">
        <f>"ADD CONSTRAINT "&amp;D$8&amp;"_pkey PRIMARY KEY"</f>
        <v>ADD CONSTRAINT sny_202310_backup_mt_postal_pkey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milscm_2023_009.sny_202310_backup_mt_postal IS 'バックアップ_郵便番号マスタ';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2" si="0">UPPER(G13)</f>
        <v>TEXT</v>
      </c>
      <c r="R13" s="78" t="str">
        <f t="shared" ref="R13:R3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3307</v>
      </c>
      <c r="D14" s="6" t="s">
        <v>2067</v>
      </c>
      <c r="E14" s="8" t="s">
        <v>127</v>
      </c>
      <c r="F14" s="7" t="s">
        <v>317</v>
      </c>
      <c r="G14" s="7" t="str">
        <f t="shared" ref="G14:G32" si="3">IF(F14="フラグ","boolean",IF(F14="文字列","text",IF(F14="整数","integer",IF(F14="実数","numeric",""))))</f>
        <v>text</v>
      </c>
      <c r="H14" s="26"/>
      <c r="I14" s="10" t="s">
        <v>127</v>
      </c>
      <c r="J14" s="11" t="s">
        <v>3332</v>
      </c>
      <c r="M14" s="4"/>
      <c r="N14" s="78"/>
      <c r="O14" s="78"/>
      <c r="P14" s="78" t="str">
        <f t="shared" ref="P14:P32" si="4">IF(B14&lt;&gt;1,","&amp;D14,D14)</f>
        <v>,koshin_kubun</v>
      </c>
      <c r="Q14" s="78" t="str">
        <f t="shared" si="0"/>
        <v>TEXT</v>
      </c>
      <c r="R14" s="78" t="str">
        <f t="shared" si="1"/>
        <v/>
      </c>
      <c r="S14" s="78" t="str">
        <f t="shared" ref="S14:S32" si="5">IF(I14="○","NOT NULL","")</f>
        <v>NOT NULL</v>
      </c>
      <c r="T14" s="78" t="str">
        <f t="shared" ref="T14:T3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milscm_2023_009.sny_202310_backup_mt_postal.koshin_kubun IS '更新区分';</v>
      </c>
    </row>
    <row r="15" spans="1:45" s="25" customFormat="1">
      <c r="A15" s="4"/>
      <c r="B15" s="21">
        <f t="shared" si="2"/>
        <v>3</v>
      </c>
      <c r="C15" s="6" t="s">
        <v>3087</v>
      </c>
      <c r="D15" s="6" t="s">
        <v>3395</v>
      </c>
      <c r="E15" s="8" t="s">
        <v>127</v>
      </c>
      <c r="F15" s="7" t="s">
        <v>317</v>
      </c>
      <c r="G15" s="7" t="str">
        <f t="shared" si="3"/>
        <v>text</v>
      </c>
      <c r="H15" s="26"/>
      <c r="I15" s="10" t="s">
        <v>127</v>
      </c>
      <c r="J15" s="11" t="s">
        <v>3413</v>
      </c>
      <c r="M15" s="4"/>
      <c r="N15" s="78"/>
      <c r="O15" s="78"/>
      <c r="P15" s="78" t="str">
        <f t="shared" si="4"/>
        <v>,postal_code</v>
      </c>
      <c r="Q15" s="78" t="str">
        <f t="shared" si="0"/>
        <v>TEXT</v>
      </c>
      <c r="R15" s="78" t="str">
        <f t="shared" si="1"/>
        <v/>
      </c>
      <c r="S15" s="78" t="str">
        <f t="shared" si="5"/>
        <v>NOT NULL</v>
      </c>
      <c r="T15" s="78" t="str">
        <f t="shared" si="6"/>
        <v>-- 郵便番号</v>
      </c>
      <c r="U15" s="4"/>
      <c r="AA15" s="4"/>
      <c r="AB15" s="4"/>
      <c r="AC15" s="4"/>
      <c r="AD15" s="4"/>
      <c r="AE15" s="4"/>
      <c r="AF15" s="4"/>
      <c r="AG15" s="4"/>
      <c r="AH15" s="4"/>
      <c r="AI15" s="4"/>
      <c r="AJ15" s="78" t="str">
        <f>IF(E15="○",IF(COUNTA(E$13:E15)=1,"",",")&amp;D15,"")</f>
        <v>,postal_code</v>
      </c>
      <c r="AK15" s="4"/>
      <c r="AL15" s="4"/>
      <c r="AM15" s="4"/>
      <c r="AN15" s="4"/>
      <c r="AO15" s="4"/>
      <c r="AP15" s="4"/>
      <c r="AQ15" s="4"/>
      <c r="AR15" s="4"/>
      <c r="AS15" s="78" t="str">
        <f>"COMMENT ON COLUMN "&amp;エンティティ一覧!$O$2&amp;"."&amp;D$8&amp;"."&amp;D15&amp;" IS '"&amp;C15&amp;"';"</f>
        <v>COMMENT ON COLUMN milscm_2023_009.sny_202310_backup_mt_postal.postal_code IS '郵便番号';</v>
      </c>
    </row>
    <row r="16" spans="1:45" s="25" customFormat="1">
      <c r="A16" s="4"/>
      <c r="B16" s="21">
        <f t="shared" si="2"/>
        <v>4</v>
      </c>
      <c r="C16" s="6" t="s">
        <v>1916</v>
      </c>
      <c r="D16" s="6" t="s">
        <v>3396</v>
      </c>
      <c r="E16" s="8" t="s">
        <v>127</v>
      </c>
      <c r="F16" s="7" t="s">
        <v>317</v>
      </c>
      <c r="G16" s="7" t="str">
        <f t="shared" si="3"/>
        <v>text</v>
      </c>
      <c r="H16" s="26"/>
      <c r="I16" s="10" t="s">
        <v>127</v>
      </c>
      <c r="J16" s="11"/>
      <c r="M16" s="4"/>
      <c r="N16" s="78"/>
      <c r="O16" s="78"/>
      <c r="P16" s="78" t="str">
        <f t="shared" si="4"/>
        <v>,prefecture_code</v>
      </c>
      <c r="Q16" s="78" t="str">
        <f t="shared" si="0"/>
        <v>TEXT</v>
      </c>
      <c r="R16" s="78" t="str">
        <f t="shared" si="1"/>
        <v/>
      </c>
      <c r="S16" s="78" t="str">
        <f t="shared" si="5"/>
        <v>NOT NULL</v>
      </c>
      <c r="T16" s="78" t="str">
        <f t="shared" si="6"/>
        <v>-- 都道府県コード</v>
      </c>
      <c r="U16" s="4"/>
      <c r="AA16" s="4"/>
      <c r="AB16" s="4"/>
      <c r="AC16" s="4"/>
      <c r="AD16" s="4"/>
      <c r="AE16" s="4"/>
      <c r="AF16" s="4"/>
      <c r="AG16" s="4"/>
      <c r="AH16" s="4"/>
      <c r="AI16" s="4"/>
      <c r="AJ16" s="78" t="str">
        <f>IF(E16="○",IF(COUNTA(E$13:E16)=1,"",",")&amp;D16,"")</f>
        <v>,prefecture_code</v>
      </c>
      <c r="AK16" s="4"/>
      <c r="AL16" s="4"/>
      <c r="AM16" s="4"/>
      <c r="AN16" s="4"/>
      <c r="AO16" s="4"/>
      <c r="AP16" s="4"/>
      <c r="AQ16" s="4"/>
      <c r="AR16" s="4"/>
      <c r="AS16" s="78"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1919</v>
      </c>
      <c r="D17" s="6" t="s">
        <v>1920</v>
      </c>
      <c r="E17" s="8" t="s">
        <v>127</v>
      </c>
      <c r="F17" s="7" t="s">
        <v>317</v>
      </c>
      <c r="G17" s="7" t="str">
        <f t="shared" si="3"/>
        <v>text</v>
      </c>
      <c r="H17" s="26"/>
      <c r="I17" s="10" t="s">
        <v>127</v>
      </c>
      <c r="J17" s="11"/>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3397</v>
      </c>
      <c r="D18" s="6" t="s">
        <v>3398</v>
      </c>
      <c r="E18" s="8"/>
      <c r="F18" s="7" t="s">
        <v>317</v>
      </c>
      <c r="G18" s="7" t="str">
        <f t="shared" ref="G18:G28" si="7">IF(F18="フラグ","boolean",IF(F18="文字列","text",IF(F18="整数","integer",IF(F18="実数","numeric",""))))</f>
        <v>text</v>
      </c>
      <c r="H18" s="26"/>
      <c r="I18" s="10" t="s">
        <v>127</v>
      </c>
      <c r="J18" s="11" t="s">
        <v>3414</v>
      </c>
      <c r="M18" s="4"/>
      <c r="N18" s="78"/>
      <c r="O18" s="78"/>
      <c r="P18" s="78" t="str">
        <f t="shared" ref="P18:P28" si="8">IF(B18&lt;&gt;1,","&amp;D18,D18)</f>
        <v>,town_code</v>
      </c>
      <c r="Q18" s="78" t="str">
        <f t="shared" ref="Q18:Q28" si="9">UPPER(G18)</f>
        <v>TEXT</v>
      </c>
      <c r="R18" s="78" t="str">
        <f t="shared" ref="R18:R28" si="10">IF(H18&lt;&gt;"","default "&amp;IF(G18="text","'"&amp;H18&amp;"'",H18),"")</f>
        <v/>
      </c>
      <c r="S18" s="78" t="str">
        <f t="shared" ref="S18:S28" si="11">IF(I18="○","NOT NULL","")</f>
        <v>NOT NULL</v>
      </c>
      <c r="T18" s="78" t="str">
        <f t="shared" ref="T18:T28" si="12">"-- "&amp;C18</f>
        <v>-- 町域コード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milscm_2023_009.sny_202310_backup_mt_postal.town_code IS '町域コード';</v>
      </c>
    </row>
    <row r="19" spans="1:45" s="25" customFormat="1">
      <c r="A19" s="4"/>
      <c r="B19" s="21">
        <f t="shared" si="2"/>
        <v>7</v>
      </c>
      <c r="C19" s="6" t="s">
        <v>936</v>
      </c>
      <c r="D19" s="6" t="s">
        <v>937</v>
      </c>
      <c r="E19" s="8"/>
      <c r="F19" s="7" t="s">
        <v>317</v>
      </c>
      <c r="G19" s="7" t="str">
        <f t="shared" si="7"/>
        <v>text</v>
      </c>
      <c r="H19" s="26"/>
      <c r="I19" s="10" t="s">
        <v>127</v>
      </c>
      <c r="J19" s="11"/>
      <c r="M19" s="4"/>
      <c r="N19" s="78"/>
      <c r="O19" s="78"/>
      <c r="P19" s="78" t="str">
        <f t="shared" si="8"/>
        <v>,prefecture</v>
      </c>
      <c r="Q19" s="78" t="str">
        <f t="shared" si="9"/>
        <v>TEXT</v>
      </c>
      <c r="R19" s="78" t="str">
        <f t="shared" si="10"/>
        <v/>
      </c>
      <c r="S19" s="78" t="str">
        <f t="shared" si="11"/>
        <v>NOT NULL</v>
      </c>
      <c r="T19" s="78" t="str">
        <f t="shared" si="12"/>
        <v>-- 都道府県</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milscm_2023_009.sny_202310_backup_mt_postal.prefecture IS '都道府県';</v>
      </c>
    </row>
    <row r="20" spans="1:45" s="25" customFormat="1">
      <c r="A20" s="4"/>
      <c r="B20" s="21">
        <f t="shared" si="2"/>
        <v>8</v>
      </c>
      <c r="C20" s="6" t="s">
        <v>3399</v>
      </c>
      <c r="D20" s="6" t="s">
        <v>3400</v>
      </c>
      <c r="E20" s="8"/>
      <c r="F20" s="7" t="s">
        <v>317</v>
      </c>
      <c r="G20" s="7" t="str">
        <f t="shared" si="7"/>
        <v>text</v>
      </c>
      <c r="H20" s="26"/>
      <c r="I20" s="10" t="s">
        <v>127</v>
      </c>
      <c r="J20" s="11"/>
      <c r="M20" s="4"/>
      <c r="N20" s="78"/>
      <c r="O20" s="78"/>
      <c r="P20" s="78" t="str">
        <f t="shared" si="8"/>
        <v>,prefecture_kana</v>
      </c>
      <c r="Q20" s="78" t="str">
        <f t="shared" si="9"/>
        <v>TEXT</v>
      </c>
      <c r="R20" s="78" t="str">
        <f t="shared" si="10"/>
        <v/>
      </c>
      <c r="S20" s="78" t="str">
        <f t="shared" si="11"/>
        <v>NOT NULL</v>
      </c>
      <c r="T20" s="78" t="str">
        <f t="shared" si="12"/>
        <v>-- 都道府県カナ</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1921</v>
      </c>
      <c r="D21" s="6" t="s">
        <v>1922</v>
      </c>
      <c r="E21" s="8"/>
      <c r="F21" s="7" t="s">
        <v>317</v>
      </c>
      <c r="G21" s="7" t="str">
        <f t="shared" si="7"/>
        <v>text</v>
      </c>
      <c r="H21" s="26"/>
      <c r="I21" s="10" t="s">
        <v>127</v>
      </c>
      <c r="J21" s="11"/>
      <c r="M21" s="4"/>
      <c r="N21" s="78"/>
      <c r="O21" s="78"/>
      <c r="P21" s="78" t="str">
        <f t="shared" si="8"/>
        <v>,city</v>
      </c>
      <c r="Q21" s="78" t="str">
        <f t="shared" si="9"/>
        <v>TEXT</v>
      </c>
      <c r="R21" s="78" t="str">
        <f t="shared" si="10"/>
        <v/>
      </c>
      <c r="S21" s="78" t="str">
        <f t="shared" si="11"/>
        <v>NOT NULL</v>
      </c>
      <c r="T21" s="78" t="str">
        <f t="shared" si="12"/>
        <v>-- 市区町村</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milscm_2023_009.sny_202310_backup_mt_postal.city IS '市区町村';</v>
      </c>
    </row>
    <row r="22" spans="1:45" s="25" customFormat="1">
      <c r="A22" s="4"/>
      <c r="B22" s="21">
        <f t="shared" si="2"/>
        <v>10</v>
      </c>
      <c r="C22" s="6" t="s">
        <v>3401</v>
      </c>
      <c r="D22" s="6" t="s">
        <v>3402</v>
      </c>
      <c r="E22" s="8"/>
      <c r="F22" s="7" t="s">
        <v>317</v>
      </c>
      <c r="G22" s="7" t="str">
        <f t="shared" si="7"/>
        <v>text</v>
      </c>
      <c r="H22" s="26"/>
      <c r="I22" s="10" t="s">
        <v>127</v>
      </c>
      <c r="J22" s="11"/>
      <c r="M22" s="4"/>
      <c r="N22" s="78"/>
      <c r="O22" s="78"/>
      <c r="P22" s="78" t="str">
        <f t="shared" si="8"/>
        <v>,city_kana</v>
      </c>
      <c r="Q22" s="78" t="str">
        <f t="shared" si="9"/>
        <v>TEXT</v>
      </c>
      <c r="R22" s="78" t="str">
        <f t="shared" si="10"/>
        <v/>
      </c>
      <c r="S22" s="78" t="str">
        <f t="shared" si="11"/>
        <v>NOT NULL</v>
      </c>
      <c r="T22" s="78" t="str">
        <f t="shared" si="12"/>
        <v>-- 市区町村カナ</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3403</v>
      </c>
      <c r="D23" s="6" t="s">
        <v>3084</v>
      </c>
      <c r="E23" s="8"/>
      <c r="F23" s="7" t="s">
        <v>317</v>
      </c>
      <c r="G23" s="7" t="str">
        <f t="shared" si="7"/>
        <v>text</v>
      </c>
      <c r="H23" s="26"/>
      <c r="I23" s="10"/>
      <c r="J23" s="11"/>
      <c r="M23" s="4"/>
      <c r="N23" s="78"/>
      <c r="O23" s="78"/>
      <c r="P23" s="78" t="str">
        <f t="shared" si="8"/>
        <v>,town</v>
      </c>
      <c r="Q23" s="78" t="str">
        <f t="shared" si="9"/>
        <v>TEXT</v>
      </c>
      <c r="R23" s="78" t="str">
        <f t="shared" si="10"/>
        <v/>
      </c>
      <c r="S23" s="78" t="str">
        <f t="shared" si="11"/>
        <v/>
      </c>
      <c r="T23" s="78" t="str">
        <f t="shared" si="12"/>
        <v>-- 町域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milscm_2023_009.sny_202310_backup_mt_postal.town IS '町域';</v>
      </c>
    </row>
    <row r="24" spans="1:45" s="25" customFormat="1">
      <c r="A24" s="4"/>
      <c r="B24" s="21">
        <f t="shared" si="2"/>
        <v>12</v>
      </c>
      <c r="C24" s="6" t="s">
        <v>3404</v>
      </c>
      <c r="D24" s="6" t="s">
        <v>3405</v>
      </c>
      <c r="E24" s="8"/>
      <c r="F24" s="7" t="s">
        <v>317</v>
      </c>
      <c r="G24" s="7" t="str">
        <f t="shared" si="7"/>
        <v>text</v>
      </c>
      <c r="H24" s="26"/>
      <c r="I24" s="10"/>
      <c r="J24" s="11"/>
      <c r="M24" s="4"/>
      <c r="N24" s="78"/>
      <c r="O24" s="78"/>
      <c r="P24" s="78" t="str">
        <f t="shared" si="8"/>
        <v>,town_kana</v>
      </c>
      <c r="Q24" s="78" t="str">
        <f t="shared" si="9"/>
        <v>TEXT</v>
      </c>
      <c r="R24" s="78" t="str">
        <f t="shared" si="10"/>
        <v/>
      </c>
      <c r="S24" s="78" t="str">
        <f t="shared" si="11"/>
        <v/>
      </c>
      <c r="T24" s="78" t="str">
        <f t="shared" si="12"/>
        <v>-- 町域カナ</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milscm_2023_009.sny_202310_backup_mt_postal.town_kana IS '町域カナ';</v>
      </c>
    </row>
    <row r="25" spans="1:45" s="25" customFormat="1">
      <c r="A25" s="4"/>
      <c r="B25" s="21">
        <f t="shared" si="2"/>
        <v>13</v>
      </c>
      <c r="C25" s="6" t="s">
        <v>3406</v>
      </c>
      <c r="D25" s="6" t="s">
        <v>3407</v>
      </c>
      <c r="E25" s="8"/>
      <c r="F25" s="7" t="s">
        <v>317</v>
      </c>
      <c r="G25" s="7" t="str">
        <f t="shared" si="7"/>
        <v>text</v>
      </c>
      <c r="H25" s="26"/>
      <c r="I25" s="10"/>
      <c r="J25" s="11"/>
      <c r="M25" s="4"/>
      <c r="N25" s="78"/>
      <c r="O25" s="78"/>
      <c r="P25" s="78" t="str">
        <f t="shared" si="8"/>
        <v>,town_hosoku</v>
      </c>
      <c r="Q25" s="78" t="str">
        <f t="shared" si="9"/>
        <v>TEXT</v>
      </c>
      <c r="R25" s="78" t="str">
        <f t="shared" si="10"/>
        <v/>
      </c>
      <c r="S25" s="78" t="str">
        <f t="shared" si="11"/>
        <v/>
      </c>
      <c r="T25" s="78" t="str">
        <f t="shared" si="12"/>
        <v>-- 町域補足</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milscm_2023_009.sny_202310_backup_mt_postal.town_hosoku IS '町域補足';</v>
      </c>
    </row>
    <row r="26" spans="1:45" s="25" customFormat="1">
      <c r="A26" s="4"/>
      <c r="B26" s="21">
        <f t="shared" si="2"/>
        <v>14</v>
      </c>
      <c r="C26" s="6" t="s">
        <v>3408</v>
      </c>
      <c r="D26" s="6" t="s">
        <v>3409</v>
      </c>
      <c r="E26" s="8"/>
      <c r="F26" s="7" t="s">
        <v>317</v>
      </c>
      <c r="G26" s="7" t="str">
        <f t="shared" si="7"/>
        <v>text</v>
      </c>
      <c r="H26" s="26"/>
      <c r="I26" s="10"/>
      <c r="J26" s="11"/>
      <c r="M26" s="4"/>
      <c r="N26" s="78"/>
      <c r="O26" s="78"/>
      <c r="P26" s="78" t="str">
        <f t="shared" si="8"/>
        <v>,kyoto_street</v>
      </c>
      <c r="Q26" s="78" t="str">
        <f t="shared" si="9"/>
        <v>TEXT</v>
      </c>
      <c r="R26" s="78" t="str">
        <f t="shared" si="10"/>
        <v/>
      </c>
      <c r="S26" s="78" t="str">
        <f t="shared" si="11"/>
        <v/>
      </c>
      <c r="T26" s="78" t="str">
        <f t="shared" si="12"/>
        <v>-- 京都通り名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3410</v>
      </c>
      <c r="D27" s="6" t="s">
        <v>3086</v>
      </c>
      <c r="E27" s="8"/>
      <c r="F27" s="7" t="s">
        <v>317</v>
      </c>
      <c r="G27" s="7" t="str">
        <f t="shared" si="7"/>
        <v>text</v>
      </c>
      <c r="H27" s="26"/>
      <c r="I27" s="10"/>
      <c r="J27" s="11"/>
      <c r="M27" s="4"/>
      <c r="N27" s="78"/>
      <c r="O27" s="78"/>
      <c r="P27" s="78" t="str">
        <f t="shared" si="8"/>
        <v>,home_number</v>
      </c>
      <c r="Q27" s="78" t="str">
        <f t="shared" si="9"/>
        <v>TEXT</v>
      </c>
      <c r="R27" s="78" t="str">
        <f t="shared" si="10"/>
        <v/>
      </c>
      <c r="S27" s="78" t="str">
        <f t="shared" si="11"/>
        <v/>
      </c>
      <c r="T27" s="78" t="str">
        <f t="shared" si="12"/>
        <v>-- 字丁目</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milscm_2023_009.sny_202310_backup_mt_postal.home_number IS '字丁目';</v>
      </c>
    </row>
    <row r="28" spans="1:45" s="25" customFormat="1">
      <c r="A28" s="4"/>
      <c r="B28" s="21">
        <f t="shared" si="2"/>
        <v>16</v>
      </c>
      <c r="C28" s="6" t="s">
        <v>3411</v>
      </c>
      <c r="D28" s="6" t="s">
        <v>3412</v>
      </c>
      <c r="E28" s="8"/>
      <c r="F28" s="7" t="s">
        <v>317</v>
      </c>
      <c r="G28" s="7" t="str">
        <f t="shared" si="7"/>
        <v>text</v>
      </c>
      <c r="H28" s="26"/>
      <c r="I28" s="10"/>
      <c r="J28" s="11"/>
      <c r="M28" s="4"/>
      <c r="N28" s="78"/>
      <c r="O28" s="78"/>
      <c r="P28" s="78" t="str">
        <f t="shared" si="8"/>
        <v>,home_number_kana</v>
      </c>
      <c r="Q28" s="78" t="str">
        <f t="shared" si="9"/>
        <v>TEXT</v>
      </c>
      <c r="R28" s="78" t="str">
        <f t="shared" si="10"/>
        <v/>
      </c>
      <c r="S28" s="78" t="str">
        <f t="shared" si="11"/>
        <v/>
      </c>
      <c r="T28" s="78" t="str">
        <f t="shared" si="12"/>
        <v>-- 字丁目カナ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milscm_2023_009.sny_202310_backup_mt_postal.home_number_kana IS '字丁目カナ';</v>
      </c>
    </row>
    <row r="29" spans="1:45" s="25" customFormat="1" ht="34.799999999999997">
      <c r="A29" s="4"/>
      <c r="B29" s="21">
        <f t="shared" si="2"/>
        <v>17</v>
      </c>
      <c r="C29" s="6" t="s">
        <v>3324</v>
      </c>
      <c r="D29" s="6" t="s">
        <v>3325</v>
      </c>
      <c r="E29" s="8"/>
      <c r="F29" s="7" t="s">
        <v>317</v>
      </c>
      <c r="G29" s="7" t="str">
        <f t="shared" si="3"/>
        <v>text</v>
      </c>
      <c r="H29" s="26"/>
      <c r="I29" s="10"/>
      <c r="J29" s="11" t="s">
        <v>3415</v>
      </c>
      <c r="M29" s="4"/>
      <c r="N29" s="78"/>
      <c r="O29" s="78"/>
      <c r="P29" s="78" t="str">
        <f t="shared" si="4"/>
        <v>,ikosaki</v>
      </c>
      <c r="Q29" s="78" t="str">
        <f t="shared" si="0"/>
        <v>TEXT</v>
      </c>
      <c r="R29" s="78" t="str">
        <f t="shared" si="1"/>
        <v/>
      </c>
      <c r="S29" s="78" t="str">
        <f t="shared" si="5"/>
        <v/>
      </c>
      <c r="T29" s="78" t="str">
        <f t="shared" si="6"/>
        <v>-- 移行先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milscm_2023_009.sny_202310_backup_mt_postal.ikosaki IS '移行先';</v>
      </c>
    </row>
    <row r="30" spans="1:45" s="25" customFormat="1">
      <c r="A30" s="4"/>
      <c r="B30" s="21">
        <f t="shared" si="2"/>
        <v>18</v>
      </c>
      <c r="C30" s="6" t="s">
        <v>3326</v>
      </c>
      <c r="D30" s="6" t="s">
        <v>3327</v>
      </c>
      <c r="E30" s="8"/>
      <c r="F30" s="7" t="s">
        <v>317</v>
      </c>
      <c r="G30" s="7" t="str">
        <f t="shared" si="3"/>
        <v>text</v>
      </c>
      <c r="H30" s="26"/>
      <c r="I30" s="10" t="s">
        <v>127</v>
      </c>
      <c r="J30" s="11" t="s">
        <v>3334</v>
      </c>
      <c r="M30" s="4"/>
      <c r="N30" s="78"/>
      <c r="O30" s="78"/>
      <c r="P30" s="78" t="str">
        <f t="shared" si="4"/>
        <v>,nen</v>
      </c>
      <c r="Q30" s="78" t="str">
        <f t="shared" si="0"/>
        <v>TEXT</v>
      </c>
      <c r="R30" s="78" t="str">
        <f t="shared" si="1"/>
        <v/>
      </c>
      <c r="S30" s="78" t="str">
        <f t="shared" si="5"/>
        <v>NOT NULL</v>
      </c>
      <c r="T30" s="78" t="str">
        <f t="shared" si="6"/>
        <v>-- 年</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milscm_2023_009.sny_202310_backup_mt_postal.nen IS '年';</v>
      </c>
    </row>
    <row r="31" spans="1:45" s="25" customFormat="1">
      <c r="A31" s="4"/>
      <c r="B31" s="21">
        <f t="shared" si="2"/>
        <v>19</v>
      </c>
      <c r="C31" s="6" t="s">
        <v>3328</v>
      </c>
      <c r="D31" s="6" t="s">
        <v>3329</v>
      </c>
      <c r="E31" s="8"/>
      <c r="F31" s="7" t="s">
        <v>317</v>
      </c>
      <c r="G31" s="7" t="str">
        <f t="shared" si="3"/>
        <v>text</v>
      </c>
      <c r="H31" s="26"/>
      <c r="I31" s="10" t="s">
        <v>127</v>
      </c>
      <c r="J31" s="11" t="s">
        <v>3335</v>
      </c>
      <c r="M31" s="4"/>
      <c r="N31" s="78"/>
      <c r="O31" s="78"/>
      <c r="P31" s="78" t="str">
        <f t="shared" si="4"/>
        <v>,nengetsu</v>
      </c>
      <c r="Q31" s="78" t="str">
        <f t="shared" si="0"/>
        <v>TEXT</v>
      </c>
      <c r="R31" s="78" t="str">
        <f t="shared" si="1"/>
        <v/>
      </c>
      <c r="S31" s="78" t="str">
        <f t="shared" si="5"/>
        <v>NOT NULL</v>
      </c>
      <c r="T31" s="78" t="str">
        <f t="shared" si="6"/>
        <v>-- 年月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milscm_2023_009.sny_202310_backup_mt_postal.nengetsu IS '年月';</v>
      </c>
    </row>
    <row r="32" spans="1:45" s="25" customFormat="1" ht="18" thickBot="1">
      <c r="A32" s="4"/>
      <c r="B32" s="27">
        <f>ROW()-12</f>
        <v>20</v>
      </c>
      <c r="C32" s="57" t="s">
        <v>3330</v>
      </c>
      <c r="D32" s="57" t="s">
        <v>1901</v>
      </c>
      <c r="E32" s="56"/>
      <c r="F32" s="56" t="s">
        <v>317</v>
      </c>
      <c r="G32" s="56" t="str">
        <f t="shared" si="3"/>
        <v>text</v>
      </c>
      <c r="H32" s="59"/>
      <c r="I32" s="60" t="s">
        <v>127</v>
      </c>
      <c r="J32" s="64" t="s">
        <v>2419</v>
      </c>
      <c r="N32" s="78"/>
      <c r="O32" s="78"/>
      <c r="P32" s="78" t="str">
        <f t="shared" si="4"/>
        <v>,update_ymd</v>
      </c>
      <c r="Q32" s="78" t="str">
        <f t="shared" si="0"/>
        <v>TEXT</v>
      </c>
      <c r="R32" s="78" t="str">
        <f t="shared" si="1"/>
        <v/>
      </c>
      <c r="S32" s="78" t="str">
        <f t="shared" si="5"/>
        <v>NOT NULL</v>
      </c>
      <c r="T32" s="78" t="str">
        <f t="shared" si="6"/>
        <v>-- データ登録日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milscm_2023_009.sny_202310_backup_mt_postal.update_ymd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ENT_01_A3-37</v>
      </c>
      <c r="E6" s="251"/>
      <c r="F6" s="251"/>
      <c r="G6" s="251"/>
      <c r="H6" s="251"/>
      <c r="I6" s="251"/>
      <c r="J6" s="252"/>
    </row>
    <row r="7" spans="1:45">
      <c r="B7" s="240" t="s">
        <v>115</v>
      </c>
      <c r="C7" s="241"/>
      <c r="D7" s="242" t="s">
        <v>3416</v>
      </c>
      <c r="E7" s="243"/>
      <c r="F7" s="243"/>
      <c r="G7" s="243"/>
      <c r="H7" s="243"/>
      <c r="I7" s="243"/>
      <c r="J7" s="244"/>
    </row>
    <row r="8" spans="1:45">
      <c r="B8" s="240" t="s">
        <v>116</v>
      </c>
      <c r="C8" s="241"/>
      <c r="D8" s="242" t="str">
        <f>エンティティ一覧!AE2&amp;"_"&amp;D5&amp;"_mt_tokutei_kizai"</f>
        <v>sny_202310_backup_mt_tokutei_kizai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特定機材マスタテーブルから組入れ条件の第一条件で絞り込んだ結果を格納するテーブル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milscm_2023_009.sny_202310_backup_mt_tokutei_kizai;</v>
      </c>
      <c r="O10" s="78"/>
      <c r="P10" s="78"/>
      <c r="Q10" s="78"/>
      <c r="R10" s="78"/>
      <c r="S10" s="78"/>
      <c r="T10" s="78"/>
      <c r="AJ10" s="78" t="str">
        <f>"ALTER TABLE ONLY "&amp;エンティティ一覧!$O$2&amp;"."&amp;D$8</f>
        <v>ALTER TABLE ONLY milscm_2023_009.sny_202310_backup_mt_tokutei_kizai</v>
      </c>
      <c r="AS10" s="78" t="str">
        <f>"ALTER TABLE "&amp;エンティティ一覧!$O$2&amp;"."&amp;D$8&amp;" OWNER TO pgmisgrp1;"</f>
        <v>ALTER TABLE milscm_2023_009.sny_202310_backup_mt_tokutei_kizai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milscm_2023_009.sny_202310_backup_mt_tokutei_kizai</v>
      </c>
      <c r="O11" s="78"/>
      <c r="P11" s="78"/>
      <c r="Q11" s="78"/>
      <c r="R11" s="78"/>
      <c r="S11" s="78"/>
      <c r="T11" s="78"/>
      <c r="AJ11" s="78" t="str">
        <f>"ADD CONSTRAINT "&amp;D$8&amp;"_pkey PRIMARY KEY"</f>
        <v>ADD CONSTRAINT sny_202310_backup_mt_tokutei_kizai_pkey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3417</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3420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2650</v>
      </c>
      <c r="D15" s="6" t="s">
        <v>2651</v>
      </c>
      <c r="E15" s="8" t="s">
        <v>127</v>
      </c>
      <c r="F15" s="7" t="s">
        <v>317</v>
      </c>
      <c r="G15" s="7" t="str">
        <f t="shared" si="3"/>
        <v>text</v>
      </c>
      <c r="H15" s="26"/>
      <c r="I15" s="10" t="s">
        <v>127</v>
      </c>
      <c r="J15" s="11"/>
      <c r="M15" s="4"/>
      <c r="N15" s="78"/>
      <c r="O15" s="78"/>
      <c r="P15" s="78" t="str">
        <f t="shared" si="4"/>
        <v>,tokutei_kizai_cd</v>
      </c>
      <c r="Q15" s="78" t="str">
        <f t="shared" si="0"/>
        <v>TEXT</v>
      </c>
      <c r="R15" s="78" t="str">
        <f t="shared" si="1"/>
        <v/>
      </c>
      <c r="S15" s="78" t="str">
        <f t="shared" si="5"/>
        <v>NOT NULL</v>
      </c>
      <c r="T15" s="78" t="str">
        <f t="shared" si="6"/>
        <v>-- 特定器材コード</v>
      </c>
      <c r="U15" s="4"/>
      <c r="AA15" s="4"/>
      <c r="AB15" s="4"/>
      <c r="AC15" s="4"/>
      <c r="AD15" s="4"/>
      <c r="AE15" s="4"/>
      <c r="AF15" s="4"/>
      <c r="AG15" s="4"/>
      <c r="AH15" s="4"/>
      <c r="AI15" s="4"/>
      <c r="AJ15" s="78" t="str">
        <f>IF(E15="○",IF(COUNTA(E$13:E15)=1,"",",")&amp;D15,"")</f>
        <v>,tokutei_kizai_cd</v>
      </c>
      <c r="AK15" s="4"/>
      <c r="AL15" s="4"/>
      <c r="AM15" s="4"/>
      <c r="AN15" s="4"/>
      <c r="AO15" s="4"/>
      <c r="AP15" s="4"/>
      <c r="AQ15" s="4"/>
      <c r="AR15" s="4"/>
      <c r="AS15" s="78"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2652</v>
      </c>
      <c r="D16" s="6" t="s">
        <v>2653</v>
      </c>
      <c r="E16" s="8"/>
      <c r="F16" s="7" t="s">
        <v>317</v>
      </c>
      <c r="G16" s="7" t="str">
        <f t="shared" si="3"/>
        <v>text</v>
      </c>
      <c r="H16" s="26"/>
      <c r="I16" s="10" t="s">
        <v>127</v>
      </c>
      <c r="J16" s="11"/>
      <c r="M16" s="4"/>
      <c r="N16" s="78"/>
      <c r="O16" s="78"/>
      <c r="P16" s="78" t="str">
        <f t="shared" si="4"/>
        <v>,tokutei_kizai_name</v>
      </c>
      <c r="Q16" s="78" t="str">
        <f t="shared" si="0"/>
        <v>TEXT</v>
      </c>
      <c r="R16" s="78" t="str">
        <f t="shared" si="1"/>
        <v/>
      </c>
      <c r="S16" s="78" t="str">
        <f t="shared" si="5"/>
        <v>NOT NULL</v>
      </c>
      <c r="T16" s="78" t="str">
        <f t="shared" si="6"/>
        <v>-- 特定器材名・規格名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1671</v>
      </c>
      <c r="D17" s="6" t="s">
        <v>2654</v>
      </c>
      <c r="E17" s="8"/>
      <c r="F17" s="7" t="s">
        <v>317</v>
      </c>
      <c r="G17" s="7" t="str">
        <f t="shared" si="3"/>
        <v>text</v>
      </c>
      <c r="H17" s="26"/>
      <c r="I17" s="10"/>
      <c r="J17" s="11"/>
      <c r="M17" s="4"/>
      <c r="N17" s="78"/>
      <c r="O17" s="78"/>
      <c r="P17" s="78" t="str">
        <f t="shared" si="4"/>
        <v>,tokutei_kizai_tani</v>
      </c>
      <c r="Q17" s="78" t="str">
        <f t="shared" si="0"/>
        <v>TEXT</v>
      </c>
      <c r="R17" s="78" t="str">
        <f t="shared" si="1"/>
        <v/>
      </c>
      <c r="S17" s="78" t="str">
        <f t="shared" si="5"/>
        <v/>
      </c>
      <c r="T17" s="78" t="str">
        <f t="shared" si="6"/>
        <v>-- 単位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milscm_2023_009.sny_202310_backup_mt_tokutei_kizai.tokutei_kizai_tani IS '単位';</v>
      </c>
    </row>
    <row r="18" spans="1:52" s="25" customFormat="1" ht="34.799999999999997">
      <c r="A18" s="4"/>
      <c r="B18" s="21">
        <f t="shared" si="2"/>
        <v>6</v>
      </c>
      <c r="C18" s="6" t="s">
        <v>2655</v>
      </c>
      <c r="D18" s="6" t="s">
        <v>3418</v>
      </c>
      <c r="E18" s="8"/>
      <c r="F18" s="7" t="s">
        <v>332</v>
      </c>
      <c r="G18" s="7" t="str">
        <f t="shared" si="3"/>
        <v>numeric</v>
      </c>
      <c r="H18" s="26"/>
      <c r="I18" s="10" t="s">
        <v>127</v>
      </c>
      <c r="J18" s="11" t="s">
        <v>2415</v>
      </c>
      <c r="M18" s="4"/>
      <c r="N18" s="78"/>
      <c r="O18" s="78"/>
      <c r="P18" s="78" t="str">
        <f t="shared" si="4"/>
        <v>,tokutei_kizai_kingaku</v>
      </c>
      <c r="Q18" s="78" t="str">
        <f t="shared" si="0"/>
        <v>NUMERIC</v>
      </c>
      <c r="R18" s="78" t="str">
        <f t="shared" si="1"/>
        <v/>
      </c>
      <c r="S18" s="78" t="str">
        <f t="shared" si="5"/>
        <v>NOT NULL</v>
      </c>
      <c r="T18" s="78" t="str">
        <f t="shared" si="6"/>
        <v>-- 金額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3419</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milscm_2023_009.sny_202310_backup_mt_tokutei_kizai.nen IS '年';</v>
      </c>
    </row>
    <row r="20" spans="1:52" s="25" customFormat="1">
      <c r="A20" s="4"/>
      <c r="B20" s="21">
        <f t="shared" si="2"/>
        <v>8</v>
      </c>
      <c r="C20" s="6" t="s">
        <v>2453</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milscm_2023_009.sny_202310_backup_mt_tokutei_kizai.nengetsu IS '年月';</v>
      </c>
    </row>
    <row r="21" spans="1:52" s="25" customFormat="1" ht="18" thickBot="1">
      <c r="A21" s="4"/>
      <c r="B21" s="27">
        <f>ROW()-12</f>
        <v>9</v>
      </c>
      <c r="C21" s="57" t="s">
        <v>2419</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milscm_2023_009.sny_202310_backup_mt_tokutei_kizai.update_ymd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ENT_01_A4-01</v>
      </c>
      <c r="E6" s="251"/>
      <c r="F6" s="251"/>
      <c r="G6" s="251"/>
      <c r="H6" s="251"/>
      <c r="I6" s="251"/>
      <c r="J6" s="252"/>
    </row>
    <row r="7" spans="1:45">
      <c r="B7" s="240" t="s">
        <v>115</v>
      </c>
      <c r="C7" s="241"/>
      <c r="D7" s="242" t="s">
        <v>2450</v>
      </c>
      <c r="E7" s="243"/>
      <c r="F7" s="243"/>
      <c r="G7" s="243"/>
      <c r="H7" s="243"/>
      <c r="I7" s="243"/>
      <c r="J7" s="244"/>
    </row>
    <row r="8" spans="1:45">
      <c r="B8" s="240" t="s">
        <v>116</v>
      </c>
      <c r="C8" s="241"/>
      <c r="D8" s="242" t="str">
        <f>エンティティ一覧!AE2&amp;"_"&amp;D5&amp;"_mt2_nendo"</f>
        <v>sny_202310_backup_mt2_nendo</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年度マスタテーブルから組入れ条件の第一条件で絞り込んだ結果を格納するテーブル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milscm_2023_009.sny_202310_backup_mt2_nendo;</v>
      </c>
      <c r="O10" s="78"/>
      <c r="P10" s="78"/>
      <c r="Q10" s="78"/>
      <c r="R10" s="78"/>
      <c r="S10" s="78"/>
      <c r="T10" s="78"/>
      <c r="AJ10" s="78" t="str">
        <f>"ALTER TABLE ONLY "&amp;エンティティ一覧!$O$2&amp;"."&amp;D$8</f>
        <v>ALTER TABLE ONLY milscm_2023_009.sny_202310_backup_mt2_nendo</v>
      </c>
      <c r="AS10" s="78" t="str">
        <f>"ALTER TABLE "&amp;エンティティ一覧!$O$2&amp;"."&amp;D$8&amp;" OWNER TO pgmisgrp1;"</f>
        <v>ALTER TABLE milscm_2023_009.sny_202310_backup_mt2_nendo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milscm_2023_009.sny_202310_backup_mt2_nendo</v>
      </c>
      <c r="O11" s="78"/>
      <c r="P11" s="78"/>
      <c r="Q11" s="78"/>
      <c r="R11" s="78"/>
      <c r="S11" s="78"/>
      <c r="T11" s="78"/>
      <c r="AJ11" s="78" t="str">
        <f>"ADD CONSTRAINT "&amp;D$8&amp;"_pkey PRIMARY KEY"</f>
        <v>ADD CONSTRAINT sny_202310_backup_mt2_nendo_pkey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milscm_2023_009.sny_202310_backup_mt2_nendo IS 'バックアップ_年度マスタ';</v>
      </c>
    </row>
    <row r="13" spans="1:45" s="25" customFormat="1">
      <c r="A13" s="4"/>
      <c r="B13" s="21">
        <f>ROW()-12</f>
        <v>1</v>
      </c>
      <c r="C13" s="6" t="s">
        <v>2451</v>
      </c>
      <c r="D13" s="6" t="s">
        <v>2452</v>
      </c>
      <c r="E13" s="8"/>
      <c r="F13" s="8" t="s">
        <v>204</v>
      </c>
      <c r="G13" s="7" t="str">
        <f>IF(F13="フラグ","boolean",IF(F13="文字列","text",IF(F13="整数","integer",IF(F13="実数","numeric",""))))</f>
        <v>integer</v>
      </c>
      <c r="H13" s="9"/>
      <c r="I13" s="10" t="s">
        <v>127</v>
      </c>
      <c r="J13" s="11" t="s">
        <v>2465</v>
      </c>
      <c r="M13" s="4"/>
      <c r="N13" s="78"/>
      <c r="O13" s="78"/>
      <c r="P13" s="78" t="str">
        <f>IF(B13&lt;&gt;1,","&amp;D13,D13)</f>
        <v>num</v>
      </c>
      <c r="Q13" s="78" t="str">
        <f t="shared" ref="Q13:Q19" si="0">UPPER(G13)</f>
        <v>INTEGER</v>
      </c>
      <c r="R13" s="78" t="str">
        <f t="shared" ref="R13:R19" si="1">IF(H13&lt;&gt;"","default "&amp;IF(G13="text","'"&amp;H13&amp;"'",H13),"")</f>
        <v/>
      </c>
      <c r="S13" s="78" t="str">
        <f>IF(I13="○","NOT NULL","")</f>
        <v>NOT NULL</v>
      </c>
      <c r="T13" s="78" t="str">
        <f>"-- "&amp;C13</f>
        <v>-- 項番</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milscm_2023_009.sny_202310_backup_mt2_nendo.num IS '項番';</v>
      </c>
    </row>
    <row r="14" spans="1:45" s="25" customFormat="1">
      <c r="A14" s="4"/>
      <c r="B14" s="21">
        <f t="shared" ref="B14:B18" si="2">ROW()-12</f>
        <v>2</v>
      </c>
      <c r="C14" s="6" t="s">
        <v>2453</v>
      </c>
      <c r="D14" s="6" t="s">
        <v>2454</v>
      </c>
      <c r="E14" s="8" t="s">
        <v>127</v>
      </c>
      <c r="F14" s="7" t="s">
        <v>739</v>
      </c>
      <c r="G14" s="7" t="str">
        <f t="shared" ref="G14:G19" si="3">IF(F14="フラグ","boolean",IF(F14="文字列","text",IF(F14="整数","integer",IF(F14="実数","numeric",""))))</f>
        <v>text</v>
      </c>
      <c r="H14" s="26" t="s">
        <v>2466</v>
      </c>
      <c r="I14" s="10" t="s">
        <v>127</v>
      </c>
      <c r="J14" s="11" t="s">
        <v>2453</v>
      </c>
      <c r="M14" s="4"/>
      <c r="N14" s="78"/>
      <c r="O14" s="78"/>
      <c r="P14" s="78" t="str">
        <f t="shared" ref="P14:P19" si="4">IF(B14&lt;&gt;1,","&amp;D14,D14)</f>
        <v>,ym</v>
      </c>
      <c r="Q14" s="78" t="str">
        <f t="shared" si="0"/>
        <v>TEXT</v>
      </c>
      <c r="R14" s="78" t="str">
        <f t="shared" si="1"/>
        <v>default '999999'</v>
      </c>
      <c r="S14" s="78" t="str">
        <f t="shared" ref="S14:S19" si="5">IF(I14="○","NOT NULL","")</f>
        <v>NOT NULL</v>
      </c>
      <c r="T14" s="78" t="str">
        <f t="shared" ref="T14:T19" si="6">"-- "&amp;C14</f>
        <v>-- 年月</v>
      </c>
      <c r="U14" s="4"/>
      <c r="AA14" s="4"/>
      <c r="AB14" s="4"/>
      <c r="AC14" s="4"/>
      <c r="AD14" s="4"/>
      <c r="AE14" s="4"/>
      <c r="AF14" s="4"/>
      <c r="AG14" s="4"/>
      <c r="AH14" s="4"/>
      <c r="AI14" s="4"/>
      <c r="AJ14" s="78" t="str">
        <f>IF(E14="○",IF(COUNTA(E$13:E14)=1,"",",")&amp;D14,"")</f>
        <v>ym</v>
      </c>
      <c r="AK14" s="4"/>
      <c r="AL14" s="4"/>
      <c r="AM14" s="4"/>
      <c r="AN14" s="4"/>
      <c r="AO14" s="4"/>
      <c r="AP14" s="4"/>
      <c r="AQ14" s="4"/>
      <c r="AR14" s="4"/>
      <c r="AS14" s="78" t="str">
        <f>"COMMENT ON COLUMN "&amp;エンティティ一覧!$O$2&amp;"."&amp;D$8&amp;"."&amp;D14&amp;" IS '"&amp;C14&amp;"';"</f>
        <v>COMMENT ON COLUMN milscm_2023_009.sny_202310_backup_mt2_nendo.ym IS '年月';</v>
      </c>
    </row>
    <row r="15" spans="1:45" s="25" customFormat="1">
      <c r="A15" s="4"/>
      <c r="B15" s="21">
        <f t="shared" si="2"/>
        <v>3</v>
      </c>
      <c r="C15" s="6" t="s">
        <v>2455</v>
      </c>
      <c r="D15" s="6" t="s">
        <v>2456</v>
      </c>
      <c r="E15" s="8"/>
      <c r="F15" s="7" t="s">
        <v>739</v>
      </c>
      <c r="G15" s="7" t="str">
        <f t="shared" ref="G15" si="7">IF(F15="フラグ","boolean",IF(F15="文字列","text",IF(F15="整数","integer",IF(F15="実数","numeric",""))))</f>
        <v>text</v>
      </c>
      <c r="H15" s="26" t="s">
        <v>2467</v>
      </c>
      <c r="I15" s="10" t="s">
        <v>127</v>
      </c>
      <c r="J15" s="11" t="s">
        <v>2468</v>
      </c>
      <c r="M15" s="4"/>
      <c r="N15" s="78"/>
      <c r="O15" s="78"/>
      <c r="P15" s="78" t="str">
        <f t="shared" ref="P15" si="8">IF(B15&lt;&gt;1,","&amp;D15,D15)</f>
        <v>,nendo_1</v>
      </c>
      <c r="Q15" s="78" t="str">
        <f t="shared" ref="Q15" si="9">UPPER(G15)</f>
        <v>TEXT</v>
      </c>
      <c r="R15" s="78" t="str">
        <f t="shared" ref="R15" si="10">IF(H15&lt;&gt;"","default "&amp;IF(G15="text","'"&amp;H15&amp;"'",H15),"")</f>
        <v>default '9999'</v>
      </c>
      <c r="S15" s="78" t="str">
        <f t="shared" ref="S15" si="11">IF(I15="○","NOT NULL","")</f>
        <v>NOT NULL</v>
      </c>
      <c r="T15" s="78" t="str">
        <f t="shared" ref="T15" si="12">"-- "&amp;C15</f>
        <v>-- 年度（1月始まり）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2457</v>
      </c>
      <c r="D16" s="6" t="s">
        <v>2458</v>
      </c>
      <c r="E16" s="8"/>
      <c r="F16" s="7" t="s">
        <v>739</v>
      </c>
      <c r="G16" s="7" t="str">
        <f t="shared" si="3"/>
        <v>text</v>
      </c>
      <c r="H16" s="26" t="s">
        <v>2467</v>
      </c>
      <c r="I16" s="10" t="s">
        <v>127</v>
      </c>
      <c r="J16" s="11" t="s">
        <v>2469</v>
      </c>
      <c r="M16" s="4"/>
      <c r="N16" s="78"/>
      <c r="O16" s="78"/>
      <c r="P16" s="78" t="str">
        <f t="shared" si="4"/>
        <v>,nendo_4</v>
      </c>
      <c r="Q16" s="78" t="str">
        <f t="shared" si="0"/>
        <v>TEXT</v>
      </c>
      <c r="R16" s="78" t="str">
        <f t="shared" si="1"/>
        <v>default '9999'</v>
      </c>
      <c r="S16" s="78" t="str">
        <f t="shared" si="5"/>
        <v>NOT NULL</v>
      </c>
      <c r="T16" s="78" t="str">
        <f t="shared" si="6"/>
        <v>-- 年度（4月始まり）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milscm_2023_009.sny_202310_backup_mt2_nendo.nendo_4 IS '年度（4月始まり）';</v>
      </c>
    </row>
    <row r="17" spans="1:52" s="25" customFormat="1" ht="52.2">
      <c r="A17" s="4"/>
      <c r="B17" s="21">
        <f t="shared" si="2"/>
        <v>5</v>
      </c>
      <c r="C17" s="6" t="s">
        <v>2459</v>
      </c>
      <c r="D17" s="6" t="s">
        <v>2460</v>
      </c>
      <c r="E17" s="8"/>
      <c r="F17" s="7" t="s">
        <v>739</v>
      </c>
      <c r="G17" s="7" t="str">
        <f t="shared" si="3"/>
        <v>text</v>
      </c>
      <c r="H17" s="26" t="s">
        <v>2470</v>
      </c>
      <c r="I17" s="10" t="s">
        <v>127</v>
      </c>
      <c r="J17" s="11" t="s">
        <v>2471</v>
      </c>
      <c r="M17" s="4"/>
      <c r="N17" s="78"/>
      <c r="O17" s="78"/>
      <c r="P17" s="78" t="str">
        <f t="shared" si="4"/>
        <v>,q1</v>
      </c>
      <c r="Q17" s="78" t="str">
        <f t="shared" si="0"/>
        <v>TEXT</v>
      </c>
      <c r="R17" s="78" t="str">
        <f t="shared" si="1"/>
        <v>default '9999-9Q'</v>
      </c>
      <c r="S17" s="78" t="str">
        <f t="shared" si="5"/>
        <v>NOT NULL</v>
      </c>
      <c r="T17" s="78" t="str">
        <f t="shared" si="6"/>
        <v>-- 四半期（1月始まり）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milscm_2023_009.sny_202310_backup_mt2_nendo.q1 IS '四半期（1月始まり）';</v>
      </c>
    </row>
    <row r="18" spans="1:52" s="25" customFormat="1" ht="52.2">
      <c r="A18" s="4"/>
      <c r="B18" s="21">
        <f t="shared" si="2"/>
        <v>6</v>
      </c>
      <c r="C18" s="6" t="s">
        <v>2461</v>
      </c>
      <c r="D18" s="6" t="s">
        <v>2462</v>
      </c>
      <c r="E18" s="8"/>
      <c r="F18" s="7" t="s">
        <v>739</v>
      </c>
      <c r="G18" s="7" t="str">
        <f t="shared" si="3"/>
        <v>text</v>
      </c>
      <c r="H18" s="26" t="s">
        <v>2470</v>
      </c>
      <c r="I18" s="10" t="s">
        <v>127</v>
      </c>
      <c r="J18" s="11" t="s">
        <v>2472</v>
      </c>
      <c r="M18" s="4"/>
      <c r="N18" s="78"/>
      <c r="O18" s="78"/>
      <c r="P18" s="78" t="str">
        <f t="shared" si="4"/>
        <v>,q4</v>
      </c>
      <c r="Q18" s="78" t="str">
        <f t="shared" si="0"/>
        <v>TEXT</v>
      </c>
      <c r="R18" s="78" t="str">
        <f t="shared" si="1"/>
        <v>default '9999-9Q'</v>
      </c>
      <c r="S18" s="78" t="str">
        <f t="shared" si="5"/>
        <v>NOT NULL</v>
      </c>
      <c r="T18" s="78" t="str">
        <f t="shared" si="6"/>
        <v>-- 四半期（4月始まり）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milscm_2023_009.sny_202310_backup_mt2_nendo.q4 IS '四半期（4月始まり）';</v>
      </c>
    </row>
    <row r="19" spans="1:52" s="25" customFormat="1" ht="18" thickBot="1">
      <c r="A19" s="4"/>
      <c r="B19" s="27">
        <f>ROW()-12</f>
        <v>7</v>
      </c>
      <c r="C19" s="57" t="s">
        <v>2463</v>
      </c>
      <c r="D19" s="57" t="s">
        <v>2464</v>
      </c>
      <c r="E19" s="56"/>
      <c r="F19" s="56" t="s">
        <v>204</v>
      </c>
      <c r="G19" s="56" t="str">
        <f t="shared" si="3"/>
        <v>integer</v>
      </c>
      <c r="H19" s="59">
        <v>0</v>
      </c>
      <c r="I19" s="60" t="s">
        <v>127</v>
      </c>
      <c r="J19" s="64" t="s">
        <v>2473</v>
      </c>
      <c r="N19" s="78"/>
      <c r="O19" s="78"/>
      <c r="P19" s="78" t="str">
        <f t="shared" si="4"/>
        <v>,nissu</v>
      </c>
      <c r="Q19" s="78" t="str">
        <f t="shared" si="0"/>
        <v>INTEGER</v>
      </c>
      <c r="R19" s="78" t="str">
        <f t="shared" si="1"/>
        <v>default 0</v>
      </c>
      <c r="S19" s="78" t="str">
        <f t="shared" si="5"/>
        <v>NOT NULL</v>
      </c>
      <c r="T19" s="78" t="str">
        <f t="shared" si="6"/>
        <v>-- 日数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milscm_2023_009.sny_202310_backup_mt2_nendo.nissu IS '日数';</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ENT_01_A4-02</v>
      </c>
      <c r="E6" s="251"/>
      <c r="F6" s="251"/>
      <c r="G6" s="251"/>
      <c r="H6" s="251"/>
      <c r="I6" s="251"/>
      <c r="J6" s="252"/>
    </row>
    <row r="7" spans="1:45">
      <c r="B7" s="240" t="s">
        <v>115</v>
      </c>
      <c r="C7" s="241"/>
      <c r="D7" s="242" t="s">
        <v>2474</v>
      </c>
      <c r="E7" s="243"/>
      <c r="F7" s="243"/>
      <c r="G7" s="243"/>
      <c r="H7" s="243"/>
      <c r="I7" s="243"/>
      <c r="J7" s="244"/>
    </row>
    <row r="8" spans="1:45">
      <c r="B8" s="240" t="s">
        <v>116</v>
      </c>
      <c r="C8" s="241"/>
      <c r="D8" s="242" t="str">
        <f>エンティティ一覧!AE2&amp;"_"&amp;D5&amp;"_mt2_prefecture_region"</f>
        <v>sny_202310_backup_mt2_prefecture_region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milscm_2023_009.sny_202310_backup_mt2_prefecture_region;</v>
      </c>
      <c r="O10" s="78"/>
      <c r="P10" s="78"/>
      <c r="Q10" s="78"/>
      <c r="R10" s="78"/>
      <c r="S10" s="78"/>
      <c r="T10" s="78"/>
      <c r="AJ10" s="78" t="str">
        <f>"ALTER TABLE ONLY "&amp;エンティティ一覧!$O$2&amp;"."&amp;D$8</f>
        <v>ALTER TABLE ONLY milscm_2023_009.sny_202310_backup_mt2_prefecture_region</v>
      </c>
      <c r="AS10" s="78" t="str">
        <f>"ALTER TABLE "&amp;エンティティ一覧!$O$2&amp;"."&amp;D$8&amp;" OWNER TO pgmisgrp1;"</f>
        <v>ALTER TABLE milscm_2023_009.sny_202310_backup_mt2_prefecture_region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milscm_2023_009.sny_202310_backup_mt2_prefecture_region</v>
      </c>
      <c r="O11" s="78"/>
      <c r="P11" s="78"/>
      <c r="Q11" s="78"/>
      <c r="R11" s="78"/>
      <c r="S11" s="78"/>
      <c r="T11" s="78"/>
      <c r="AJ11" s="78" t="str">
        <f>"ADD CONSTRAINT "&amp;D$8&amp;"_pkey PRIMARY KEY"</f>
        <v>ADD CONSTRAINT sny_202310_backup_mt2_prefecture_region_pkey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2475</v>
      </c>
      <c r="D13" s="6" t="s">
        <v>1917</v>
      </c>
      <c r="E13" s="8" t="s">
        <v>127</v>
      </c>
      <c r="F13" s="8" t="s">
        <v>739</v>
      </c>
      <c r="G13" s="7" t="str">
        <f>IF(F13="フラグ","boolean",IF(F13="文字列","text",IF(F13="整数","integer",IF(F13="実数","numeric",""))))</f>
        <v>text</v>
      </c>
      <c r="H13" s="9"/>
      <c r="I13" s="10" t="s">
        <v>127</v>
      </c>
      <c r="J13" s="11"/>
      <c r="M13" s="4"/>
      <c r="N13" s="78"/>
      <c r="O13" s="78"/>
      <c r="P13" s="78" t="str">
        <f>IF(B13&lt;&gt;1,","&amp;D13,D13)</f>
        <v>prefecture_cd</v>
      </c>
      <c r="Q13" s="78" t="str">
        <f t="shared" ref="Q13:Q16" si="0">UPPER(G13)</f>
        <v>TEXT</v>
      </c>
      <c r="R13" s="78" t="str">
        <f t="shared" ref="R13:R16" si="1">IF(H13&lt;&gt;"","default "&amp;IF(G13="text","'"&amp;H13&amp;"'",H13),"")</f>
        <v/>
      </c>
      <c r="S13" s="78" t="str">
        <f>IF(I13="○","NOT NULL","")</f>
        <v>NOT NULL</v>
      </c>
      <c r="T13" s="78" t="str">
        <f>"-- "&amp;C13</f>
        <v>-- 都道府県コード</v>
      </c>
      <c r="U13" s="4"/>
      <c r="AA13" s="4"/>
      <c r="AB13" s="4"/>
      <c r="AC13" s="4"/>
      <c r="AD13" s="4"/>
      <c r="AE13" s="4"/>
      <c r="AF13" s="4"/>
      <c r="AG13" s="4"/>
      <c r="AH13" s="4"/>
      <c r="AI13" s="4"/>
      <c r="AJ13" s="78" t="str">
        <f>IF(E13="○",IF(COUNTA(E$13:E13)=1,"",",")&amp;D13,"")</f>
        <v>prefecture_cd</v>
      </c>
      <c r="AK13" s="4"/>
      <c r="AL13" s="4"/>
      <c r="AM13" s="4"/>
      <c r="AN13" s="4"/>
      <c r="AO13" s="4"/>
      <c r="AP13" s="4"/>
      <c r="AQ13" s="4"/>
      <c r="AR13" s="4"/>
      <c r="AS13" s="78"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2476</v>
      </c>
      <c r="D14" s="6" t="s">
        <v>937</v>
      </c>
      <c r="E14" s="8"/>
      <c r="F14" s="7" t="s">
        <v>739</v>
      </c>
      <c r="G14" s="7" t="str">
        <f t="shared" ref="G14:G16" si="3">IF(F14="フラグ","boolean",IF(F14="文字列","text",IF(F14="整数","integer",IF(F14="実数","numeric",""))))</f>
        <v>text</v>
      </c>
      <c r="H14" s="26"/>
      <c r="I14" s="10" t="s">
        <v>127</v>
      </c>
      <c r="J14" s="11"/>
      <c r="M14" s="4"/>
      <c r="N14" s="78"/>
      <c r="O14" s="78"/>
      <c r="P14" s="78" t="str">
        <f t="shared" ref="P14:P16" si="4">IF(B14&lt;&gt;1,","&amp;D14,D14)</f>
        <v>,prefecture</v>
      </c>
      <c r="Q14" s="78" t="str">
        <f t="shared" si="0"/>
        <v>TEXT</v>
      </c>
      <c r="R14" s="78" t="str">
        <f t="shared" si="1"/>
        <v/>
      </c>
      <c r="S14" s="78" t="str">
        <f t="shared" ref="S14:S16" si="5">IF(I14="○","NOT NULL","")</f>
        <v>NOT NULL</v>
      </c>
      <c r="T14" s="78" t="str">
        <f t="shared" ref="T14:T16" si="6">"-- "&amp;C14</f>
        <v>-- 都道府県名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2477</v>
      </c>
      <c r="D15" s="6" t="s">
        <v>2478</v>
      </c>
      <c r="E15" s="8"/>
      <c r="F15" s="7" t="s">
        <v>739</v>
      </c>
      <c r="G15" s="7" t="str">
        <f t="shared" si="3"/>
        <v>text</v>
      </c>
      <c r="H15" s="26"/>
      <c r="I15" s="10" t="s">
        <v>127</v>
      </c>
      <c r="J15" s="11"/>
      <c r="M15" s="4"/>
      <c r="N15" s="78"/>
      <c r="O15" s="78"/>
      <c r="P15" s="78" t="str">
        <f t="shared" si="4"/>
        <v>,region_cd</v>
      </c>
      <c r="Q15" s="78" t="str">
        <f t="shared" si="0"/>
        <v>TEXT</v>
      </c>
      <c r="R15" s="78" t="str">
        <f t="shared" si="1"/>
        <v/>
      </c>
      <c r="S15" s="78" t="str">
        <f t="shared" si="5"/>
        <v>NOT NULL</v>
      </c>
      <c r="T15" s="78" t="str">
        <f t="shared" si="6"/>
        <v>-- 地方コード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milscm_2023_009.sny_202310_backup_mt2_prefecture_region.region_cd IS '地方コード';</v>
      </c>
    </row>
    <row r="16" spans="1:45" s="25" customFormat="1" ht="18" thickBot="1">
      <c r="A16" s="4"/>
      <c r="B16" s="27">
        <f>ROW()-12</f>
        <v>4</v>
      </c>
      <c r="C16" s="57" t="s">
        <v>2479</v>
      </c>
      <c r="D16" s="57" t="s">
        <v>2480</v>
      </c>
      <c r="E16" s="56"/>
      <c r="F16" s="56" t="s">
        <v>739</v>
      </c>
      <c r="G16" s="56" t="str">
        <f t="shared" si="3"/>
        <v>text</v>
      </c>
      <c r="H16" s="59"/>
      <c r="I16" s="60" t="s">
        <v>127</v>
      </c>
      <c r="J16" s="64"/>
      <c r="N16" s="78"/>
      <c r="O16" s="78"/>
      <c r="P16" s="78" t="str">
        <f t="shared" si="4"/>
        <v>,region</v>
      </c>
      <c r="Q16" s="78" t="str">
        <f t="shared" si="0"/>
        <v>TEXT</v>
      </c>
      <c r="R16" s="78" t="str">
        <f t="shared" si="1"/>
        <v/>
      </c>
      <c r="S16" s="78" t="str">
        <f t="shared" si="5"/>
        <v>NOT NULL</v>
      </c>
      <c r="T16" s="78" t="str">
        <f t="shared" si="6"/>
        <v>-- 地方名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milscm_2023_009.sny_202310_backup_mt2_prefecture_region.region IS '地方名';</v>
      </c>
    </row>
    <row r="17" spans="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2:52">
      <c r="B18" s="83" t="s">
        <v>2481</v>
      </c>
      <c r="L18" s="25"/>
      <c r="M18" s="25"/>
      <c r="V18" s="25"/>
      <c r="W18" s="25"/>
      <c r="X18" s="25"/>
      <c r="Y18" s="25"/>
      <c r="Z18" s="25"/>
      <c r="AT18" s="25"/>
      <c r="AU18" s="25"/>
      <c r="AV18" s="25"/>
      <c r="AW18" s="25"/>
      <c r="AX18" s="25"/>
      <c r="AY18" s="25"/>
      <c r="AZ18" s="25"/>
    </row>
    <row r="19" spans="2:52">
      <c r="B19" s="84" t="s">
        <v>2482</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4"/>
      <c r="C21" s="85" t="s">
        <v>2483</v>
      </c>
      <c r="D21" s="85" t="s">
        <v>2484</v>
      </c>
      <c r="E21" s="256" t="s">
        <v>2485</v>
      </c>
      <c r="F21" s="257"/>
      <c r="G21" s="257"/>
      <c r="H21" s="257"/>
      <c r="I21" s="257"/>
      <c r="J21" s="258"/>
    </row>
    <row r="22" spans="2:52">
      <c r="B22" s="84"/>
      <c r="C22" s="86" t="s">
        <v>2486</v>
      </c>
      <c r="D22" s="86" t="s">
        <v>2487</v>
      </c>
      <c r="E22" s="253" t="s">
        <v>2488</v>
      </c>
      <c r="F22" s="254"/>
      <c r="G22" s="254"/>
      <c r="H22" s="254"/>
      <c r="I22" s="254"/>
      <c r="J22" s="255"/>
    </row>
    <row r="23" spans="2:52">
      <c r="B23" s="84"/>
      <c r="C23" s="86" t="s">
        <v>2489</v>
      </c>
      <c r="D23" s="86" t="s">
        <v>2490</v>
      </c>
      <c r="E23" s="253" t="s">
        <v>2491</v>
      </c>
      <c r="F23" s="254"/>
      <c r="G23" s="254"/>
      <c r="H23" s="254"/>
      <c r="I23" s="254"/>
      <c r="J23" s="255"/>
    </row>
    <row r="24" spans="2:52">
      <c r="B24" s="84"/>
      <c r="C24" s="86" t="s">
        <v>2492</v>
      </c>
      <c r="D24" s="86" t="s">
        <v>2493</v>
      </c>
      <c r="E24" s="253" t="s">
        <v>2494</v>
      </c>
      <c r="F24" s="254"/>
      <c r="G24" s="254"/>
      <c r="H24" s="254"/>
      <c r="I24" s="254"/>
      <c r="J24" s="255"/>
    </row>
    <row r="25" spans="2:52">
      <c r="B25" s="84"/>
      <c r="C25" s="86" t="s">
        <v>2495</v>
      </c>
      <c r="D25" s="86" t="s">
        <v>2496</v>
      </c>
      <c r="E25" s="253" t="s">
        <v>2497</v>
      </c>
      <c r="F25" s="254"/>
      <c r="G25" s="254"/>
      <c r="H25" s="254"/>
      <c r="I25" s="254"/>
      <c r="J25" s="255"/>
    </row>
    <row r="26" spans="2:52">
      <c r="B26" s="84"/>
      <c r="C26" s="86" t="s">
        <v>2498</v>
      </c>
      <c r="D26" s="86" t="s">
        <v>2499</v>
      </c>
      <c r="E26" s="253" t="s">
        <v>2500</v>
      </c>
      <c r="F26" s="254"/>
      <c r="G26" s="254"/>
      <c r="H26" s="254"/>
      <c r="I26" s="254"/>
      <c r="J26" s="255"/>
    </row>
    <row r="27" spans="2:52">
      <c r="B27" s="84"/>
      <c r="C27" s="86" t="s">
        <v>2501</v>
      </c>
      <c r="D27" s="86" t="s">
        <v>2502</v>
      </c>
      <c r="E27" s="253" t="s">
        <v>2503</v>
      </c>
      <c r="F27" s="254"/>
      <c r="G27" s="254"/>
      <c r="H27" s="254"/>
      <c r="I27" s="254"/>
      <c r="J27" s="255"/>
    </row>
    <row r="28" spans="2:52">
      <c r="B28" s="84"/>
      <c r="C28" s="86" t="s">
        <v>2504</v>
      </c>
      <c r="D28" s="86" t="s">
        <v>2505</v>
      </c>
      <c r="E28" s="253" t="s">
        <v>2506</v>
      </c>
      <c r="F28" s="254"/>
      <c r="G28" s="254"/>
      <c r="H28" s="254"/>
      <c r="I28" s="254"/>
      <c r="J28" s="255"/>
    </row>
    <row r="29" spans="2:52">
      <c r="B29" s="84"/>
      <c r="C29" s="86" t="s">
        <v>2507</v>
      </c>
      <c r="D29" s="86" t="s">
        <v>2508</v>
      </c>
      <c r="E29" s="253" t="s">
        <v>2509</v>
      </c>
      <c r="F29" s="254"/>
      <c r="G29" s="254"/>
      <c r="H29" s="254"/>
      <c r="I29" s="254"/>
      <c r="J29" s="255"/>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ENT_01_A4-03</v>
      </c>
      <c r="E6" s="251"/>
      <c r="F6" s="251"/>
      <c r="G6" s="251"/>
      <c r="H6" s="251"/>
      <c r="I6" s="251"/>
      <c r="J6" s="252"/>
    </row>
    <row r="7" spans="1:45">
      <c r="B7" s="240" t="s">
        <v>115</v>
      </c>
      <c r="C7" s="241"/>
      <c r="D7" s="242" t="s">
        <v>2510</v>
      </c>
      <c r="E7" s="243"/>
      <c r="F7" s="243"/>
      <c r="G7" s="243"/>
      <c r="H7" s="243"/>
      <c r="I7" s="243"/>
      <c r="J7" s="244"/>
    </row>
    <row r="8" spans="1:45">
      <c r="B8" s="240" t="s">
        <v>116</v>
      </c>
      <c r="C8" s="241"/>
      <c r="D8" s="242" t="str">
        <f>エンティティ一覧!AE2&amp;"_"&amp;D5&amp;"_mt2_shisetsu_zokusei"</f>
        <v>sny_202310_backup_mt2_shisetsu_zokusei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施設属性マスタテーブルから組入れ条件の第一条件で絞り込んだ結果を格納するテーブル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milscm_2023_009.sny_202310_backup_mt2_shisetsu_zokusei;</v>
      </c>
      <c r="O10" s="78"/>
      <c r="P10" s="78"/>
      <c r="Q10" s="78"/>
      <c r="R10" s="78"/>
      <c r="S10" s="78"/>
      <c r="T10" s="78"/>
      <c r="AJ10" s="78" t="str">
        <f>"ALTER TABLE ONLY "&amp;エンティティ一覧!$O$2&amp;"."&amp;D$8</f>
        <v>ALTER TABLE ONLY milscm_2023_009.sny_202310_backup_mt2_shisetsu_zokusei</v>
      </c>
      <c r="AS10" s="78" t="str">
        <f>"ALTER TABLE "&amp;エンティティ一覧!$O$2&amp;"."&amp;D$8&amp;" OWNER TO pgmisgrp1;"</f>
        <v>ALTER TABLE milscm_2023_009.sny_202310_backup_mt2_shisetsu_zokusei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milscm_2023_009.sny_202310_backup_mt2_shisetsu_zokusei</v>
      </c>
      <c r="O11" s="78"/>
      <c r="P11" s="78"/>
      <c r="Q11" s="78"/>
      <c r="R11" s="78"/>
      <c r="S11" s="78"/>
      <c r="T11" s="78"/>
      <c r="AJ11" s="78" t="str">
        <f>"ADD CONSTRAINT "&amp;D$8&amp;"_pkey PRIMARY KEY"</f>
        <v>ADD CONSTRAINT sny_202310_backup_mt2_shisetsu_zokusei_pkey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2538</v>
      </c>
      <c r="M13" s="4"/>
      <c r="N13" s="78"/>
      <c r="O13" s="78"/>
      <c r="P13" s="78" t="str">
        <f>IF(B13&lt;&gt;1,","&amp;D13,D13)</f>
        <v>facility_id</v>
      </c>
      <c r="Q13" s="78" t="str">
        <f t="shared" ref="Q13:Q44" si="0">UPPER(G13)</f>
        <v>TEXT</v>
      </c>
      <c r="R13" s="78" t="str">
        <f t="shared" ref="R13:R4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milscm_2023_009.sny_202310_backup_mt2_shisetsu_zokusei.facility_id IS '施設ID';</v>
      </c>
    </row>
    <row r="14" spans="1:45" s="25" customFormat="1" ht="34.799999999999997">
      <c r="A14" s="4"/>
      <c r="B14" s="21">
        <f t="shared" ref="B14:B43" si="2">ROW()-12</f>
        <v>2</v>
      </c>
      <c r="C14" s="6" t="s">
        <v>2511</v>
      </c>
      <c r="D14" s="6" t="s">
        <v>2512</v>
      </c>
      <c r="E14" s="8" t="s">
        <v>127</v>
      </c>
      <c r="F14" s="7" t="s">
        <v>739</v>
      </c>
      <c r="G14" s="7" t="str">
        <f t="shared" ref="G14:G44" si="3">IF(F14="フラグ","boolean",IF(F14="文字列","text",IF(F14="整数","integer",IF(F14="実数","numeric",""))))</f>
        <v>text</v>
      </c>
      <c r="H14" s="26">
        <v>999999</v>
      </c>
      <c r="I14" s="10" t="s">
        <v>127</v>
      </c>
      <c r="J14" s="11" t="s">
        <v>2539</v>
      </c>
      <c r="M14" s="4"/>
      <c r="N14" s="78"/>
      <c r="O14" s="78"/>
      <c r="P14" s="78" t="str">
        <f t="shared" ref="P14:P44" si="4">IF(B14&lt;&gt;1,","&amp;D14,D14)</f>
        <v>,kijun_ym</v>
      </c>
      <c r="Q14" s="78" t="str">
        <f t="shared" si="0"/>
        <v>TEXT</v>
      </c>
      <c r="R14" s="78" t="str">
        <f t="shared" si="1"/>
        <v>default '999999'</v>
      </c>
      <c r="S14" s="78" t="str">
        <f t="shared" ref="S14:S44" si="5">IF(I14="○","NOT NULL","")</f>
        <v>NOT NULL</v>
      </c>
      <c r="T14" s="78" t="str">
        <f t="shared" ref="T14:T44" si="6">"-- "&amp;C14</f>
        <v>-- 基準年月</v>
      </c>
      <c r="U14" s="4"/>
      <c r="AA14" s="4"/>
      <c r="AB14" s="4"/>
      <c r="AC14" s="4"/>
      <c r="AD14" s="4"/>
      <c r="AE14" s="4"/>
      <c r="AF14" s="4"/>
      <c r="AG14" s="4"/>
      <c r="AH14" s="4"/>
      <c r="AI14" s="4"/>
      <c r="AJ14" s="78" t="str">
        <f>IF(E14="○",IF(COUNTA(E$13:E14)=1,"",",")&amp;D14,"")</f>
        <v>,kijun_ym</v>
      </c>
      <c r="AK14" s="4"/>
      <c r="AL14" s="4"/>
      <c r="AM14" s="4"/>
      <c r="AN14" s="4"/>
      <c r="AO14" s="4"/>
      <c r="AP14" s="4"/>
      <c r="AQ14" s="4"/>
      <c r="AR14" s="4"/>
      <c r="AS14" s="78"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2513</v>
      </c>
      <c r="D15" s="6" t="s">
        <v>2425</v>
      </c>
      <c r="E15" s="8"/>
      <c r="F15" s="7" t="s">
        <v>739</v>
      </c>
      <c r="G15" s="7" t="str">
        <f t="shared" si="3"/>
        <v>text</v>
      </c>
      <c r="H15" s="26"/>
      <c r="I15" s="10" t="s">
        <v>127</v>
      </c>
      <c r="J15" s="11" t="s">
        <v>2540</v>
      </c>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2514</v>
      </c>
      <c r="D16" s="6" t="s">
        <v>2427</v>
      </c>
      <c r="E16" s="8"/>
      <c r="F16" s="7" t="s">
        <v>739</v>
      </c>
      <c r="G16" s="7" t="str">
        <f t="shared" si="3"/>
        <v>text</v>
      </c>
      <c r="H16" s="26"/>
      <c r="I16" s="10"/>
      <c r="J16" s="11" t="s">
        <v>2540</v>
      </c>
      <c r="M16" s="4"/>
      <c r="N16" s="78"/>
      <c r="O16" s="78"/>
      <c r="P16" s="78" t="str">
        <f t="shared" si="4"/>
        <v>,opt_out_ymd</v>
      </c>
      <c r="Q16" s="78" t="str">
        <f t="shared" si="0"/>
        <v>TEXT</v>
      </c>
      <c r="R16" s="78" t="str">
        <f t="shared" si="1"/>
        <v/>
      </c>
      <c r="S16" s="78" t="str">
        <f t="shared" si="5"/>
        <v/>
      </c>
      <c r="T16" s="78" t="str">
        <f t="shared" si="6"/>
        <v>-- 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1916</v>
      </c>
      <c r="D17" s="6" t="s">
        <v>1917</v>
      </c>
      <c r="E17" s="8"/>
      <c r="F17" s="7" t="s">
        <v>739</v>
      </c>
      <c r="G17" s="7" t="str">
        <f t="shared" si="3"/>
        <v>text</v>
      </c>
      <c r="H17" s="26"/>
      <c r="I17" s="10" t="s">
        <v>127</v>
      </c>
      <c r="J17" s="11" t="s">
        <v>2540</v>
      </c>
      <c r="M17" s="4"/>
      <c r="N17" s="78"/>
      <c r="O17" s="78"/>
      <c r="P17" s="78" t="str">
        <f t="shared" si="4"/>
        <v>,prefecture_cd</v>
      </c>
      <c r="Q17" s="78" t="str">
        <f t="shared" si="0"/>
        <v>TEXT</v>
      </c>
      <c r="R17" s="78" t="str">
        <f t="shared" si="1"/>
        <v/>
      </c>
      <c r="S17" s="78" t="str">
        <f t="shared" si="5"/>
        <v>NOT NULL</v>
      </c>
      <c r="T17" s="78" t="str">
        <f t="shared" si="6"/>
        <v>-- 都道府県コード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2515</v>
      </c>
      <c r="D18" s="6" t="s">
        <v>937</v>
      </c>
      <c r="E18" s="8"/>
      <c r="F18" s="7" t="s">
        <v>739</v>
      </c>
      <c r="G18" s="7" t="str">
        <f t="shared" ref="G18:G42" si="7">IF(F18="フラグ","boolean",IF(F18="文字列","text",IF(F18="整数","integer",IF(F18="実数","numeric",""))))</f>
        <v>text</v>
      </c>
      <c r="H18" s="26"/>
      <c r="I18" s="10" t="s">
        <v>127</v>
      </c>
      <c r="J18" s="11" t="s">
        <v>2552</v>
      </c>
      <c r="M18" s="4"/>
      <c r="N18" s="78"/>
      <c r="O18" s="78"/>
      <c r="P18" s="78" t="str">
        <f t="shared" ref="P18:P42" si="8">IF(B18&lt;&gt;1,","&amp;D18,D18)</f>
        <v>,prefecture</v>
      </c>
      <c r="Q18" s="78" t="str">
        <f t="shared" ref="Q18:Q42" si="9">UPPER(G18)</f>
        <v>TEXT</v>
      </c>
      <c r="R18" s="78" t="str">
        <f t="shared" ref="R18:R42" si="10">IF(H18&lt;&gt;"","default "&amp;IF(G18="text","'"&amp;H18&amp;"'",H18),"")</f>
        <v/>
      </c>
      <c r="S18" s="78" t="str">
        <f t="shared" ref="S18:S42" si="11">IF(I18="○","NOT NULL","")</f>
        <v>NOT NULL</v>
      </c>
      <c r="T18" s="78" t="str">
        <f t="shared" ref="T18:T42" si="12">"-- "&amp;C18</f>
        <v>-- 都道府県名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2516</v>
      </c>
      <c r="D19" s="6" t="s">
        <v>2478</v>
      </c>
      <c r="E19" s="8"/>
      <c r="F19" s="7" t="s">
        <v>739</v>
      </c>
      <c r="G19" s="7" t="str">
        <f t="shared" si="7"/>
        <v>text</v>
      </c>
      <c r="H19" s="26"/>
      <c r="I19" s="10" t="s">
        <v>127</v>
      </c>
      <c r="J19" s="11" t="s">
        <v>2552</v>
      </c>
      <c r="M19" s="4"/>
      <c r="N19" s="78"/>
      <c r="O19" s="78"/>
      <c r="P19" s="78" t="str">
        <f t="shared" si="8"/>
        <v>,region_cd</v>
      </c>
      <c r="Q19" s="78" t="str">
        <f t="shared" si="9"/>
        <v>TEXT</v>
      </c>
      <c r="R19" s="78" t="str">
        <f t="shared" si="10"/>
        <v/>
      </c>
      <c r="S19" s="78" t="str">
        <f t="shared" si="11"/>
        <v>NOT NULL</v>
      </c>
      <c r="T19" s="78" t="str">
        <f t="shared" si="12"/>
        <v>-- 地方コード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2517</v>
      </c>
      <c r="D20" s="6" t="s">
        <v>2480</v>
      </c>
      <c r="E20" s="8"/>
      <c r="F20" s="7" t="s">
        <v>739</v>
      </c>
      <c r="G20" s="7" t="str">
        <f t="shared" si="7"/>
        <v>text</v>
      </c>
      <c r="H20" s="26"/>
      <c r="I20" s="10" t="s">
        <v>127</v>
      </c>
      <c r="J20" s="11" t="s">
        <v>2552</v>
      </c>
      <c r="M20" s="4"/>
      <c r="N20" s="78"/>
      <c r="O20" s="78"/>
      <c r="P20" s="78" t="str">
        <f t="shared" si="8"/>
        <v>,region</v>
      </c>
      <c r="Q20" s="78" t="str">
        <f t="shared" si="9"/>
        <v>TEXT</v>
      </c>
      <c r="R20" s="78" t="str">
        <f t="shared" si="10"/>
        <v/>
      </c>
      <c r="S20" s="78" t="str">
        <f t="shared" si="11"/>
        <v>NOT NULL</v>
      </c>
      <c r="T20" s="78" t="str">
        <f t="shared" si="12"/>
        <v>-- 地方名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1919</v>
      </c>
      <c r="D21" s="6" t="s">
        <v>2518</v>
      </c>
      <c r="E21" s="8"/>
      <c r="F21" s="7" t="s">
        <v>739</v>
      </c>
      <c r="G21" s="7" t="str">
        <f t="shared" si="7"/>
        <v>text</v>
      </c>
      <c r="H21" s="26"/>
      <c r="I21" s="10" t="s">
        <v>127</v>
      </c>
      <c r="J21" s="11" t="s">
        <v>2541</v>
      </c>
      <c r="M21" s="4"/>
      <c r="N21" s="78"/>
      <c r="O21" s="78"/>
      <c r="P21" s="78" t="str">
        <f t="shared" si="8"/>
        <v>,city_cd</v>
      </c>
      <c r="Q21" s="78" t="str">
        <f t="shared" si="9"/>
        <v>TEXT</v>
      </c>
      <c r="R21" s="78" t="str">
        <f t="shared" si="10"/>
        <v/>
      </c>
      <c r="S21" s="78" t="str">
        <f t="shared" si="11"/>
        <v>NOT NULL</v>
      </c>
      <c r="T21" s="78" t="str">
        <f t="shared" si="12"/>
        <v>-- 市区町村コード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1921</v>
      </c>
      <c r="D22" s="6" t="s">
        <v>1922</v>
      </c>
      <c r="E22" s="8"/>
      <c r="F22" s="7" t="s">
        <v>739</v>
      </c>
      <c r="G22" s="7" t="str">
        <f t="shared" si="7"/>
        <v>text</v>
      </c>
      <c r="H22" s="26"/>
      <c r="I22" s="10" t="s">
        <v>127</v>
      </c>
      <c r="J22" s="11" t="s">
        <v>2540</v>
      </c>
      <c r="M22" s="4"/>
      <c r="N22" s="78"/>
      <c r="O22" s="78"/>
      <c r="P22" s="78" t="str">
        <f t="shared" si="8"/>
        <v>,city</v>
      </c>
      <c r="Q22" s="78" t="str">
        <f t="shared" si="9"/>
        <v>TEXT</v>
      </c>
      <c r="R22" s="78" t="str">
        <f t="shared" si="10"/>
        <v/>
      </c>
      <c r="S22" s="78" t="str">
        <f t="shared" si="11"/>
        <v>NOT NULL</v>
      </c>
      <c r="T22" s="78" t="str">
        <f t="shared" si="12"/>
        <v>-- 市区町村</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2519</v>
      </c>
      <c r="D23" s="6" t="s">
        <v>2520</v>
      </c>
      <c r="E23" s="8"/>
      <c r="F23" s="7" t="s">
        <v>739</v>
      </c>
      <c r="G23" s="7" t="str">
        <f t="shared" si="7"/>
        <v>text</v>
      </c>
      <c r="H23" s="26"/>
      <c r="I23" s="10" t="s">
        <v>127</v>
      </c>
      <c r="J23" s="11" t="s">
        <v>2540</v>
      </c>
      <c r="M23" s="4"/>
      <c r="N23" s="78"/>
      <c r="O23" s="78"/>
      <c r="P23" s="78" t="str">
        <f t="shared" si="8"/>
        <v>,address</v>
      </c>
      <c r="Q23" s="78" t="str">
        <f t="shared" si="9"/>
        <v>TEXT</v>
      </c>
      <c r="R23" s="78" t="str">
        <f t="shared" si="10"/>
        <v/>
      </c>
      <c r="S23" s="78" t="str">
        <f t="shared" si="11"/>
        <v>NOT NULL</v>
      </c>
      <c r="T23" s="78" t="str">
        <f t="shared" si="12"/>
        <v>-- 住所</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milscm_2023_009.sny_202310_backup_mt2_shisetsu_zokusei.address IS '住所';</v>
      </c>
    </row>
    <row r="24" spans="1:45" s="25" customFormat="1">
      <c r="A24" s="4"/>
      <c r="B24" s="21">
        <f t="shared" si="2"/>
        <v>12</v>
      </c>
      <c r="C24" s="6" t="s">
        <v>2521</v>
      </c>
      <c r="D24" s="6" t="s">
        <v>1913</v>
      </c>
      <c r="E24" s="8"/>
      <c r="F24" s="7" t="s">
        <v>739</v>
      </c>
      <c r="G24" s="7" t="str">
        <f t="shared" si="7"/>
        <v>text</v>
      </c>
      <c r="H24" s="26"/>
      <c r="I24" s="10" t="s">
        <v>127</v>
      </c>
      <c r="J24" s="11" t="s">
        <v>2542</v>
      </c>
      <c r="M24" s="4"/>
      <c r="N24" s="78"/>
      <c r="O24" s="78"/>
      <c r="P24" s="78" t="str">
        <f t="shared" si="8"/>
        <v>,iryouken2_cd</v>
      </c>
      <c r="Q24" s="78" t="str">
        <f t="shared" si="9"/>
        <v>TEXT</v>
      </c>
      <c r="R24" s="78" t="str">
        <f t="shared" si="10"/>
        <v/>
      </c>
      <c r="S24" s="78" t="str">
        <f t="shared" si="11"/>
        <v>NOT NULL</v>
      </c>
      <c r="T24" s="78" t="str">
        <f t="shared" si="12"/>
        <v>-- 二次医療圏コード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2522</v>
      </c>
      <c r="D25" s="6" t="s">
        <v>1915</v>
      </c>
      <c r="E25" s="8"/>
      <c r="F25" s="7" t="s">
        <v>739</v>
      </c>
      <c r="G25" s="7" t="str">
        <f t="shared" si="7"/>
        <v>text</v>
      </c>
      <c r="H25" s="26"/>
      <c r="I25" s="10" t="s">
        <v>127</v>
      </c>
      <c r="J25" s="11" t="s">
        <v>2542</v>
      </c>
      <c r="M25" s="4"/>
      <c r="N25" s="78"/>
      <c r="O25" s="78"/>
      <c r="P25" s="78" t="str">
        <f t="shared" si="8"/>
        <v>,iryouken2</v>
      </c>
      <c r="Q25" s="78" t="str">
        <f t="shared" si="9"/>
        <v>TEXT</v>
      </c>
      <c r="R25" s="78" t="str">
        <f t="shared" si="10"/>
        <v/>
      </c>
      <c r="S25" s="78" t="str">
        <f t="shared" si="11"/>
        <v>NOT NULL</v>
      </c>
      <c r="T25" s="78" t="str">
        <f t="shared" si="12"/>
        <v>-- 二次医療圏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1876</v>
      </c>
      <c r="D26" s="6" t="s">
        <v>1877</v>
      </c>
      <c r="E26" s="8"/>
      <c r="F26" s="7" t="s">
        <v>204</v>
      </c>
      <c r="G26" s="7" t="str">
        <f t="shared" si="7"/>
        <v>integer</v>
      </c>
      <c r="H26" s="26"/>
      <c r="I26" s="10"/>
      <c r="J26" s="11" t="s">
        <v>2538</v>
      </c>
      <c r="M26" s="4"/>
      <c r="N26" s="78"/>
      <c r="O26" s="78"/>
      <c r="P26" s="78" t="str">
        <f t="shared" si="8"/>
        <v>,ippan_bed</v>
      </c>
      <c r="Q26" s="78" t="str">
        <f t="shared" si="9"/>
        <v>INTEGER</v>
      </c>
      <c r="R26" s="78" t="str">
        <f t="shared" si="10"/>
        <v/>
      </c>
      <c r="S26" s="78" t="str">
        <f t="shared" si="11"/>
        <v/>
      </c>
      <c r="T26" s="78" t="str">
        <f t="shared" si="12"/>
        <v>-- 一般病床</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1878</v>
      </c>
      <c r="D27" s="6" t="s">
        <v>1879</v>
      </c>
      <c r="E27" s="8"/>
      <c r="F27" s="7" t="s">
        <v>204</v>
      </c>
      <c r="G27" s="7" t="str">
        <f t="shared" si="7"/>
        <v>integer</v>
      </c>
      <c r="H27" s="26"/>
      <c r="I27" s="10"/>
      <c r="J27" s="11" t="s">
        <v>2538</v>
      </c>
      <c r="M27" s="4"/>
      <c r="N27" s="78"/>
      <c r="O27" s="78"/>
      <c r="P27" s="78" t="str">
        <f t="shared" si="8"/>
        <v>,seishin_bed</v>
      </c>
      <c r="Q27" s="78" t="str">
        <f t="shared" si="9"/>
        <v>INTEGER</v>
      </c>
      <c r="R27" s="78" t="str">
        <f t="shared" si="10"/>
        <v/>
      </c>
      <c r="S27" s="78" t="str">
        <f t="shared" si="11"/>
        <v/>
      </c>
      <c r="T27" s="78" t="str">
        <f t="shared" si="12"/>
        <v>-- 精神病床</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1880</v>
      </c>
      <c r="D28" s="6" t="s">
        <v>1881</v>
      </c>
      <c r="E28" s="8"/>
      <c r="F28" s="7" t="s">
        <v>204</v>
      </c>
      <c r="G28" s="7" t="str">
        <f t="shared" si="7"/>
        <v>integer</v>
      </c>
      <c r="H28" s="26"/>
      <c r="I28" s="10"/>
      <c r="J28" s="11" t="s">
        <v>2538</v>
      </c>
      <c r="M28" s="4"/>
      <c r="N28" s="78"/>
      <c r="O28" s="78"/>
      <c r="P28" s="78" t="str">
        <f t="shared" si="8"/>
        <v>,kansen_bed</v>
      </c>
      <c r="Q28" s="78" t="str">
        <f t="shared" si="9"/>
        <v>INTEGER</v>
      </c>
      <c r="R28" s="78" t="str">
        <f t="shared" si="10"/>
        <v/>
      </c>
      <c r="S28" s="78" t="str">
        <f t="shared" si="11"/>
        <v/>
      </c>
      <c r="T28" s="78" t="str">
        <f t="shared" si="12"/>
        <v>-- 感染症病床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1882</v>
      </c>
      <c r="D29" s="6" t="s">
        <v>1883</v>
      </c>
      <c r="E29" s="8"/>
      <c r="F29" s="7" t="s">
        <v>204</v>
      </c>
      <c r="G29" s="7" t="str">
        <f t="shared" si="7"/>
        <v>integer</v>
      </c>
      <c r="H29" s="26"/>
      <c r="I29" s="10"/>
      <c r="J29" s="11" t="s">
        <v>2538</v>
      </c>
      <c r="M29" s="4"/>
      <c r="N29" s="78"/>
      <c r="O29" s="78"/>
      <c r="P29" s="78" t="str">
        <f t="shared" si="8"/>
        <v>,kekkaku_bed</v>
      </c>
      <c r="Q29" s="78" t="str">
        <f t="shared" si="9"/>
        <v>INTEGER</v>
      </c>
      <c r="R29" s="78" t="str">
        <f t="shared" si="10"/>
        <v/>
      </c>
      <c r="S29" s="78" t="str">
        <f t="shared" si="11"/>
        <v/>
      </c>
      <c r="T29" s="78" t="str">
        <f t="shared" si="12"/>
        <v>-- 結核病床</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1884</v>
      </c>
      <c r="D30" s="6" t="s">
        <v>1885</v>
      </c>
      <c r="E30" s="8"/>
      <c r="F30" s="7" t="s">
        <v>204</v>
      </c>
      <c r="G30" s="7" t="str">
        <f t="shared" si="7"/>
        <v>integer</v>
      </c>
      <c r="H30" s="26"/>
      <c r="I30" s="10"/>
      <c r="J30" s="11" t="s">
        <v>2538</v>
      </c>
      <c r="M30" s="4"/>
      <c r="N30" s="78"/>
      <c r="O30" s="78"/>
      <c r="P30" s="78" t="str">
        <f t="shared" si="8"/>
        <v>,ryouyou_bed</v>
      </c>
      <c r="Q30" s="78" t="str">
        <f t="shared" si="9"/>
        <v>INTEGER</v>
      </c>
      <c r="R30" s="78" t="str">
        <f t="shared" si="10"/>
        <v/>
      </c>
      <c r="S30" s="78" t="str">
        <f t="shared" si="11"/>
        <v/>
      </c>
      <c r="T30" s="78" t="str">
        <f t="shared" si="12"/>
        <v>-- 療養病床</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2523</v>
      </c>
      <c r="D31" s="6" t="s">
        <v>2524</v>
      </c>
      <c r="E31" s="8"/>
      <c r="F31" s="7" t="s">
        <v>204</v>
      </c>
      <c r="G31" s="7" t="str">
        <f t="shared" si="7"/>
        <v>integer</v>
      </c>
      <c r="H31" s="26"/>
      <c r="I31" s="10"/>
      <c r="J31" s="11" t="s">
        <v>2543</v>
      </c>
      <c r="M31" s="4"/>
      <c r="N31" s="78"/>
      <c r="O31" s="78"/>
      <c r="P31" s="78" t="str">
        <f t="shared" si="8"/>
        <v>,all_bed</v>
      </c>
      <c r="Q31" s="78" t="str">
        <f t="shared" si="9"/>
        <v>INTEGER</v>
      </c>
      <c r="R31" s="78" t="str">
        <f t="shared" si="10"/>
        <v/>
      </c>
      <c r="S31" s="78" t="str">
        <f t="shared" si="11"/>
        <v/>
      </c>
      <c r="T31" s="78" t="str">
        <f t="shared" si="12"/>
        <v>-- 総病床数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1886</v>
      </c>
      <c r="D32" s="6" t="s">
        <v>1887</v>
      </c>
      <c r="E32" s="8"/>
      <c r="F32" s="7" t="s">
        <v>739</v>
      </c>
      <c r="G32" s="7" t="str">
        <f t="shared" si="7"/>
        <v>text</v>
      </c>
      <c r="H32" s="26"/>
      <c r="I32" s="10"/>
      <c r="J32" s="11" t="s">
        <v>2538</v>
      </c>
      <c r="M32" s="4"/>
      <c r="N32" s="78"/>
      <c r="O32" s="78"/>
      <c r="P32" s="78" t="str">
        <f t="shared" si="8"/>
        <v>,univ_hp_f</v>
      </c>
      <c r="Q32" s="78" t="str">
        <f t="shared" si="9"/>
        <v>TEXT</v>
      </c>
      <c r="R32" s="78" t="str">
        <f t="shared" si="10"/>
        <v/>
      </c>
      <c r="S32" s="78" t="str">
        <f t="shared" si="11"/>
        <v/>
      </c>
      <c r="T32" s="78" t="str">
        <f t="shared" si="12"/>
        <v>-- 大学病院F</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1888</v>
      </c>
      <c r="D33" s="6" t="s">
        <v>1889</v>
      </c>
      <c r="E33" s="8"/>
      <c r="F33" s="7" t="s">
        <v>739</v>
      </c>
      <c r="G33" s="7" t="str">
        <f t="shared" si="7"/>
        <v>text</v>
      </c>
      <c r="H33" s="26"/>
      <c r="I33" s="10"/>
      <c r="J33" s="11" t="s">
        <v>2538</v>
      </c>
      <c r="M33" s="4"/>
      <c r="N33" s="78"/>
      <c r="O33" s="78"/>
      <c r="P33" s="78" t="str">
        <f t="shared" si="8"/>
        <v>,tokutei_hp_f</v>
      </c>
      <c r="Q33" s="78" t="str">
        <f t="shared" si="9"/>
        <v>TEXT</v>
      </c>
      <c r="R33" s="78" t="str">
        <f t="shared" si="10"/>
        <v/>
      </c>
      <c r="S33" s="78" t="str">
        <f t="shared" si="11"/>
        <v/>
      </c>
      <c r="T33" s="78" t="str">
        <f t="shared" si="12"/>
        <v>-- 特定機能病院F</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milscm_2023_009.sny_202310_backup_mt2_shisetsu_zokusei.tokutei_hp_f IS '特定機能病院F';</v>
      </c>
    </row>
    <row r="34" spans="1:52" s="25" customFormat="1" ht="121.8">
      <c r="A34" s="4"/>
      <c r="B34" s="21">
        <f t="shared" si="2"/>
        <v>22</v>
      </c>
      <c r="C34" s="6" t="s">
        <v>1890</v>
      </c>
      <c r="D34" s="6" t="s">
        <v>1891</v>
      </c>
      <c r="E34" s="8"/>
      <c r="F34" s="7" t="s">
        <v>204</v>
      </c>
      <c r="G34" s="7" t="str">
        <f t="shared" si="7"/>
        <v>integer</v>
      </c>
      <c r="H34" s="26"/>
      <c r="I34" s="10"/>
      <c r="J34" s="11" t="s">
        <v>2544</v>
      </c>
      <c r="M34" s="4"/>
      <c r="N34" s="78"/>
      <c r="O34" s="78"/>
      <c r="P34" s="78" t="str">
        <f t="shared" si="8"/>
        <v>,cancer_hp_f</v>
      </c>
      <c r="Q34" s="78" t="str">
        <f t="shared" si="9"/>
        <v>INTEGER</v>
      </c>
      <c r="R34" s="78" t="str">
        <f t="shared" si="10"/>
        <v/>
      </c>
      <c r="S34" s="78" t="str">
        <f t="shared" si="11"/>
        <v/>
      </c>
      <c r="T34" s="78" t="str">
        <f t="shared" si="12"/>
        <v>-- がん拠点病院F</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1892</v>
      </c>
      <c r="D35" s="6" t="s">
        <v>2525</v>
      </c>
      <c r="E35" s="8"/>
      <c r="F35" s="7" t="s">
        <v>739</v>
      </c>
      <c r="G35" s="7" t="str">
        <f t="shared" si="7"/>
        <v>text</v>
      </c>
      <c r="H35" s="26"/>
      <c r="I35" s="10"/>
      <c r="J35" s="11" t="s">
        <v>2538</v>
      </c>
      <c r="M35" s="4"/>
      <c r="N35" s="78"/>
      <c r="O35" s="78"/>
      <c r="P35" s="78" t="str">
        <f t="shared" si="8"/>
        <v>,high_Acute_care_hp_f</v>
      </c>
      <c r="Q35" s="78" t="str">
        <f t="shared" si="9"/>
        <v>TEXT</v>
      </c>
      <c r="R35" s="78" t="str">
        <f t="shared" si="10"/>
        <v/>
      </c>
      <c r="S35" s="78" t="str">
        <f t="shared" si="11"/>
        <v/>
      </c>
      <c r="T35" s="78" t="str">
        <f t="shared" si="12"/>
        <v>-- 高度急性期病院F</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1894</v>
      </c>
      <c r="D36" s="6" t="s">
        <v>2526</v>
      </c>
      <c r="E36" s="8"/>
      <c r="F36" s="7" t="s">
        <v>739</v>
      </c>
      <c r="G36" s="7" t="str">
        <f t="shared" si="7"/>
        <v>text</v>
      </c>
      <c r="H36" s="26"/>
      <c r="I36" s="10"/>
      <c r="J36" s="11" t="s">
        <v>2538</v>
      </c>
      <c r="M36" s="4"/>
      <c r="N36" s="78"/>
      <c r="O36" s="78"/>
      <c r="P36" s="78" t="str">
        <f t="shared" si="8"/>
        <v>,Acute_care_hp_f</v>
      </c>
      <c r="Q36" s="78" t="str">
        <f t="shared" si="9"/>
        <v>TEXT</v>
      </c>
      <c r="R36" s="78" t="str">
        <f t="shared" si="10"/>
        <v/>
      </c>
      <c r="S36" s="78" t="str">
        <f t="shared" si="11"/>
        <v/>
      </c>
      <c r="T36" s="78" t="str">
        <f t="shared" si="12"/>
        <v>-- 急性期病院F</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1896</v>
      </c>
      <c r="D37" s="6" t="s">
        <v>1897</v>
      </c>
      <c r="E37" s="8"/>
      <c r="F37" s="7" t="s">
        <v>739</v>
      </c>
      <c r="G37" s="7" t="str">
        <f t="shared" si="7"/>
        <v>text</v>
      </c>
      <c r="H37" s="26"/>
      <c r="I37" s="10"/>
      <c r="J37" s="11" t="s">
        <v>1909</v>
      </c>
      <c r="M37" s="4"/>
      <c r="N37" s="78"/>
      <c r="O37" s="78"/>
      <c r="P37" s="78" t="str">
        <f t="shared" si="8"/>
        <v>,mil_exit_f</v>
      </c>
      <c r="Q37" s="78" t="str">
        <f t="shared" si="9"/>
        <v>TEXT</v>
      </c>
      <c r="R37" s="78" t="str">
        <f t="shared" si="10"/>
        <v/>
      </c>
      <c r="S37" s="78" t="str">
        <f t="shared" si="11"/>
        <v/>
      </c>
      <c r="T37" s="78" t="str">
        <f t="shared" si="12"/>
        <v>-- 千年カルテ離脱施設フラグ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milscm_2023_009.sny_202310_backup_mt2_shisetsu_zokusei.mil_exit_f IS '千年カルテ離脱施設フラグ';</v>
      </c>
    </row>
    <row r="38" spans="1:52" s="25" customFormat="1" ht="34.799999999999997">
      <c r="A38" s="4"/>
      <c r="B38" s="21">
        <f t="shared" si="2"/>
        <v>26</v>
      </c>
      <c r="C38" s="6" t="s">
        <v>2527</v>
      </c>
      <c r="D38" s="6" t="s">
        <v>2528</v>
      </c>
      <c r="E38" s="8"/>
      <c r="F38" s="7" t="s">
        <v>739</v>
      </c>
      <c r="G38" s="7" t="str">
        <f t="shared" si="7"/>
        <v>text</v>
      </c>
      <c r="H38" s="26">
        <v>0</v>
      </c>
      <c r="I38" s="10" t="s">
        <v>127</v>
      </c>
      <c r="J38" s="11" t="s">
        <v>2545</v>
      </c>
      <c r="M38" s="4"/>
      <c r="N38" s="78"/>
      <c r="O38" s="78"/>
      <c r="P38" s="78" t="str">
        <f t="shared" si="8"/>
        <v>,new_f</v>
      </c>
      <c r="Q38" s="78" t="str">
        <f t="shared" si="9"/>
        <v>TEXT</v>
      </c>
      <c r="R38" s="78" t="str">
        <f t="shared" si="10"/>
        <v>default '0'</v>
      </c>
      <c r="S38" s="78" t="str">
        <f t="shared" si="11"/>
        <v>NOT NULL</v>
      </c>
      <c r="T38" s="78" t="str">
        <f t="shared" si="12"/>
        <v>-- 最新フラグ</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milscm_2023_009.sny_202310_backup_mt2_shisetsu_zokusei.new_f IS '最新フラグ';</v>
      </c>
    </row>
    <row r="39" spans="1:52" s="25" customFormat="1" ht="34.799999999999997">
      <c r="A39" s="4"/>
      <c r="B39" s="21">
        <f t="shared" si="2"/>
        <v>27</v>
      </c>
      <c r="C39" s="6" t="s">
        <v>2529</v>
      </c>
      <c r="D39" s="6" t="s">
        <v>1924</v>
      </c>
      <c r="E39" s="8"/>
      <c r="F39" s="7" t="s">
        <v>739</v>
      </c>
      <c r="G39" s="7" t="str">
        <f t="shared" si="7"/>
        <v>text</v>
      </c>
      <c r="H39" s="26">
        <v>0</v>
      </c>
      <c r="I39" s="10" t="s">
        <v>127</v>
      </c>
      <c r="J39" s="11" t="s">
        <v>2546</v>
      </c>
      <c r="M39" s="4"/>
      <c r="N39" s="78"/>
      <c r="O39" s="78"/>
      <c r="P39" s="78" t="str">
        <f t="shared" si="8"/>
        <v>,del_f</v>
      </c>
      <c r="Q39" s="78" t="str">
        <f t="shared" si="9"/>
        <v>TEXT</v>
      </c>
      <c r="R39" s="78" t="str">
        <f t="shared" si="10"/>
        <v>default '0'</v>
      </c>
      <c r="S39" s="78" t="str">
        <f t="shared" si="11"/>
        <v>NOT NULL</v>
      </c>
      <c r="T39" s="78" t="str">
        <f t="shared" si="12"/>
        <v>-- 削除フラグ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milscm_2023_009.sny_202310_backup_mt2_shisetsu_zokusei.del_f IS '削除フラグ';</v>
      </c>
    </row>
    <row r="40" spans="1:52" s="25" customFormat="1" ht="34.799999999999997">
      <c r="A40" s="4"/>
      <c r="B40" s="21">
        <f t="shared" si="2"/>
        <v>28</v>
      </c>
      <c r="C40" s="6" t="s">
        <v>1927</v>
      </c>
      <c r="D40" s="6" t="s">
        <v>1928</v>
      </c>
      <c r="E40" s="8"/>
      <c r="F40" s="7" t="s">
        <v>739</v>
      </c>
      <c r="G40" s="7" t="str">
        <f t="shared" si="7"/>
        <v>text</v>
      </c>
      <c r="H40" s="26">
        <v>99999999</v>
      </c>
      <c r="I40" s="10" t="s">
        <v>127</v>
      </c>
      <c r="J40" s="11" t="s">
        <v>2547</v>
      </c>
      <c r="M40" s="4"/>
      <c r="N40" s="78"/>
      <c r="O40" s="78"/>
      <c r="P40" s="78" t="str">
        <f t="shared" si="8"/>
        <v>,del_ymd</v>
      </c>
      <c r="Q40" s="78" t="str">
        <f t="shared" si="9"/>
        <v>TEXT</v>
      </c>
      <c r="R40" s="78" t="str">
        <f t="shared" si="10"/>
        <v>default '99999999'</v>
      </c>
      <c r="S40" s="78" t="str">
        <f t="shared" si="11"/>
        <v>NOT NULL</v>
      </c>
      <c r="T40" s="78" t="str">
        <f t="shared" si="12"/>
        <v>-- 廃止年月日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milscm_2023_009.sny_202310_backup_mt2_shisetsu_zokusei.del_ymd IS '廃止年月日';</v>
      </c>
    </row>
    <row r="41" spans="1:52" s="25" customFormat="1" ht="52.2">
      <c r="A41" s="4"/>
      <c r="B41" s="21">
        <f t="shared" si="2"/>
        <v>29</v>
      </c>
      <c r="C41" s="6" t="s">
        <v>2530</v>
      </c>
      <c r="D41" s="6" t="s">
        <v>2531</v>
      </c>
      <c r="E41" s="8"/>
      <c r="F41" s="7" t="s">
        <v>739</v>
      </c>
      <c r="G41" s="7" t="str">
        <f t="shared" si="7"/>
        <v>text</v>
      </c>
      <c r="H41" s="26">
        <v>99999999</v>
      </c>
      <c r="I41" s="10" t="s">
        <v>127</v>
      </c>
      <c r="J41" s="11" t="s">
        <v>2548</v>
      </c>
      <c r="M41" s="4"/>
      <c r="N41" s="78"/>
      <c r="O41" s="78"/>
      <c r="P41" s="78" t="str">
        <f t="shared" si="8"/>
        <v>,shisetsu_update_ymd</v>
      </c>
      <c r="Q41" s="78" t="str">
        <f t="shared" si="9"/>
        <v>TEXT</v>
      </c>
      <c r="R41" s="78" t="str">
        <f t="shared" si="10"/>
        <v>default '99999999'</v>
      </c>
      <c r="S41" s="78" t="str">
        <f t="shared" si="11"/>
        <v>NOT NULL</v>
      </c>
      <c r="T41" s="78" t="str">
        <f t="shared" si="12"/>
        <v>-- 施設マスタデータ登録日</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milscm_2023_009.sny_202310_backup_mt2_shisetsu_zokusei.shisetsu_update_ymd IS '施設マスタデータ登録日';</v>
      </c>
    </row>
    <row r="42" spans="1:52" s="25" customFormat="1" ht="52.2">
      <c r="A42" s="4"/>
      <c r="B42" s="21">
        <f t="shared" si="2"/>
        <v>30</v>
      </c>
      <c r="C42" s="6" t="s">
        <v>2532</v>
      </c>
      <c r="D42" s="6" t="s">
        <v>2533</v>
      </c>
      <c r="E42" s="8"/>
      <c r="F42" s="7" t="s">
        <v>739</v>
      </c>
      <c r="G42" s="7" t="str">
        <f t="shared" si="7"/>
        <v>text</v>
      </c>
      <c r="H42" s="26"/>
      <c r="I42" s="10"/>
      <c r="J42" s="11" t="s">
        <v>2549</v>
      </c>
      <c r="M42" s="4"/>
      <c r="N42" s="78"/>
      <c r="O42" s="78"/>
      <c r="P42" s="78" t="str">
        <f t="shared" si="8"/>
        <v>,zokusei_update_ymd</v>
      </c>
      <c r="Q42" s="78" t="str">
        <f t="shared" si="9"/>
        <v>TEXT</v>
      </c>
      <c r="R42" s="78" t="str">
        <f t="shared" si="10"/>
        <v/>
      </c>
      <c r="S42" s="78" t="str">
        <f t="shared" si="11"/>
        <v/>
      </c>
      <c r="T42" s="78" t="str">
        <f t="shared" si="12"/>
        <v>-- 施設属性マスタ取込用データ登録日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milscm_2023_009.sny_202310_backup_mt2_shisetsu_zokusei.zokusei_update_ymd IS '施設属性マスタ取込用データ登録日';</v>
      </c>
    </row>
    <row r="43" spans="1:52" s="25" customFormat="1" ht="52.2">
      <c r="A43" s="4"/>
      <c r="B43" s="21">
        <f t="shared" si="2"/>
        <v>31</v>
      </c>
      <c r="C43" s="6" t="s">
        <v>2534</v>
      </c>
      <c r="D43" s="6" t="s">
        <v>2535</v>
      </c>
      <c r="E43" s="8"/>
      <c r="F43" s="7" t="s">
        <v>739</v>
      </c>
      <c r="G43" s="7" t="str">
        <f t="shared" si="3"/>
        <v>text</v>
      </c>
      <c r="H43" s="26"/>
      <c r="I43" s="10"/>
      <c r="J43" s="11" t="s">
        <v>2550</v>
      </c>
      <c r="M43" s="4"/>
      <c r="N43" s="78"/>
      <c r="O43" s="78"/>
      <c r="P43" s="78" t="str">
        <f t="shared" si="4"/>
        <v>,zokusei_torikomi_kijun_ym</v>
      </c>
      <c r="Q43" s="78" t="str">
        <f t="shared" si="0"/>
        <v>TEXT</v>
      </c>
      <c r="R43" s="78" t="str">
        <f t="shared" si="1"/>
        <v/>
      </c>
      <c r="S43" s="78" t="str">
        <f t="shared" si="5"/>
        <v/>
      </c>
      <c r="T43" s="78" t="str">
        <f t="shared" si="6"/>
        <v>-- 施設属性マスタ取込用取込基準年月</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57.19999999999999" thickBot="1">
      <c r="A44" s="4"/>
      <c r="B44" s="27">
        <f>ROW()-12</f>
        <v>32</v>
      </c>
      <c r="C44" s="57" t="s">
        <v>2536</v>
      </c>
      <c r="D44" s="57" t="s">
        <v>2537</v>
      </c>
      <c r="E44" s="56"/>
      <c r="F44" s="56" t="s">
        <v>739</v>
      </c>
      <c r="G44" s="56" t="str">
        <f t="shared" si="3"/>
        <v>text</v>
      </c>
      <c r="H44" s="59">
        <v>0</v>
      </c>
      <c r="I44" s="60" t="s">
        <v>127</v>
      </c>
      <c r="J44" s="64" t="s">
        <v>2551</v>
      </c>
      <c r="N44" s="78"/>
      <c r="O44" s="78"/>
      <c r="P44" s="78" t="str">
        <f t="shared" si="4"/>
        <v>,mainte_f</v>
      </c>
      <c r="Q44" s="78" t="str">
        <f t="shared" si="0"/>
        <v>TEXT</v>
      </c>
      <c r="R44" s="78" t="str">
        <f t="shared" si="1"/>
        <v>default '0'</v>
      </c>
      <c r="S44" s="78" t="str">
        <f t="shared" si="5"/>
        <v>NOT NULL</v>
      </c>
      <c r="T44" s="78" t="str">
        <f t="shared" si="6"/>
        <v>-- メンテナンスフラグ</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milscm_2023_009.sny_202310_backup_mt2_shisetsu_zokusei.mainte_f IS 'メンテナンスフラグ';</v>
      </c>
    </row>
    <row r="45" spans="1:52">
      <c r="L45" s="25"/>
      <c r="M45" s="25"/>
      <c r="N45" s="78" t="s">
        <v>142</v>
      </c>
      <c r="O45" s="78"/>
      <c r="P45" s="78"/>
      <c r="Q45" s="78"/>
      <c r="R45" s="78"/>
      <c r="S45" s="78"/>
      <c r="T45" s="78"/>
      <c r="V45" s="25"/>
      <c r="W45" s="25"/>
      <c r="X45" s="25"/>
      <c r="Y45" s="25"/>
      <c r="Z45" s="25"/>
      <c r="AJ45" s="78"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ENT_01_A4-04</v>
      </c>
      <c r="E6" s="251"/>
      <c r="F6" s="251"/>
      <c r="G6" s="251"/>
      <c r="H6" s="251"/>
      <c r="I6" s="251"/>
      <c r="J6" s="252"/>
    </row>
    <row r="7" spans="1:45">
      <c r="B7" s="240" t="s">
        <v>115</v>
      </c>
      <c r="C7" s="241"/>
      <c r="D7" s="242" t="s">
        <v>2553</v>
      </c>
      <c r="E7" s="243"/>
      <c r="F7" s="243"/>
      <c r="G7" s="243"/>
      <c r="H7" s="243"/>
      <c r="I7" s="243"/>
      <c r="J7" s="244"/>
    </row>
    <row r="8" spans="1:45">
      <c r="B8" s="240" t="s">
        <v>116</v>
      </c>
      <c r="C8" s="241"/>
      <c r="D8" s="242" t="str">
        <f>エンティティ一覧!AE2&amp;"_"&amp;D5&amp;"_mt2_iryouken2"</f>
        <v>sny_202310_backup_mt2_iryouken2</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二次医療圏マスタテーブルから組入れ条件の第一条件で絞り込んだ結果を格納するテーブル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milscm_2023_009.sny_202310_backup_mt2_iryouken2;</v>
      </c>
      <c r="O10" s="78"/>
      <c r="P10" s="78"/>
      <c r="Q10" s="78"/>
      <c r="R10" s="78"/>
      <c r="S10" s="78"/>
      <c r="T10" s="78"/>
      <c r="AJ10" s="78" t="str">
        <f>"ALTER TABLE ONLY "&amp;エンティティ一覧!$O$2&amp;"."&amp;D$8</f>
        <v>ALTER TABLE ONLY milscm_2023_009.sny_202310_backup_mt2_iryouken2</v>
      </c>
      <c r="AS10" s="78" t="str">
        <f>"ALTER TABLE "&amp;エンティティ一覧!$O$2&amp;"."&amp;D$8&amp;" OWNER TO pgmisgrp1;"</f>
        <v>ALTER TABLE milscm_2023_009.sny_202310_backup_mt2_iryouken2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milscm_2023_009.sny_202310_backup_mt2_iryouken2</v>
      </c>
      <c r="O11" s="78"/>
      <c r="P11" s="78"/>
      <c r="Q11" s="78"/>
      <c r="R11" s="78"/>
      <c r="S11" s="78"/>
      <c r="T11" s="78"/>
      <c r="AJ11" s="78" t="str">
        <f>"ADD CONSTRAINT "&amp;D$8&amp;"_pkey PRIMARY KEY"</f>
        <v>ADD CONSTRAINT sny_202310_backup_mt2_iryouken2_pkey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milscm_2023_009.sny_202310_backup_mt2_iryouken2 IS 'バックアップ_二次医療圏マスタ';</v>
      </c>
    </row>
    <row r="13" spans="1:45" s="25" customFormat="1" ht="69.599999999999994">
      <c r="A13" s="4"/>
      <c r="B13" s="21">
        <f>ROW()-12</f>
        <v>1</v>
      </c>
      <c r="C13" s="6" t="s">
        <v>2521</v>
      </c>
      <c r="D13" s="6" t="s">
        <v>1913</v>
      </c>
      <c r="E13" s="8"/>
      <c r="F13" s="8" t="s">
        <v>739</v>
      </c>
      <c r="G13" s="7" t="str">
        <f>IF(F13="フラグ","boolean",IF(F13="文字列","text",IF(F13="整数","integer",IF(F13="実数","numeric",""))))</f>
        <v>text</v>
      </c>
      <c r="H13" s="9"/>
      <c r="I13" s="10" t="s">
        <v>127</v>
      </c>
      <c r="J13" s="11" t="s">
        <v>2555</v>
      </c>
      <c r="M13" s="4"/>
      <c r="N13" s="78"/>
      <c r="O13" s="78"/>
      <c r="P13" s="78" t="str">
        <f>IF(B13&lt;&gt;1,","&amp;D13,D13)</f>
        <v>iryouken2_cd</v>
      </c>
      <c r="Q13" s="78" t="str">
        <f t="shared" ref="Q13:Q20" si="0">UPPER(G13)</f>
        <v>TEXT</v>
      </c>
      <c r="R13" s="78" t="str">
        <f t="shared" ref="R13:R20"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milscm_2023_009.sny_202310_backup_mt2_iryouken2.iryouken2_cd IS '二次医療圏コード';</v>
      </c>
    </row>
    <row r="14" spans="1:45" s="25" customFormat="1" ht="69.599999999999994">
      <c r="A14" s="4"/>
      <c r="B14" s="21">
        <f t="shared" ref="B14:B19" si="2">ROW()-12</f>
        <v>2</v>
      </c>
      <c r="C14" s="6" t="s">
        <v>2522</v>
      </c>
      <c r="D14" s="6" t="s">
        <v>1915</v>
      </c>
      <c r="E14" s="8"/>
      <c r="F14" s="7" t="s">
        <v>739</v>
      </c>
      <c r="G14" s="7" t="str">
        <f t="shared" ref="G14:G20" si="3">IF(F14="フラグ","boolean",IF(F14="文字列","text",IF(F14="整数","integer",IF(F14="実数","numeric",""))))</f>
        <v>text</v>
      </c>
      <c r="H14" s="26"/>
      <c r="I14" s="10" t="s">
        <v>127</v>
      </c>
      <c r="J14" s="11" t="s">
        <v>2555</v>
      </c>
      <c r="M14" s="4"/>
      <c r="N14" s="78"/>
      <c r="O14" s="78"/>
      <c r="P14" s="78" t="str">
        <f t="shared" ref="P14:P20" si="4">IF(B14&lt;&gt;1,","&amp;D14,D14)</f>
        <v>,iryouken2</v>
      </c>
      <c r="Q14" s="78" t="str">
        <f t="shared" si="0"/>
        <v>TEXT</v>
      </c>
      <c r="R14" s="78" t="str">
        <f t="shared" si="1"/>
        <v/>
      </c>
      <c r="S14" s="78" t="str">
        <f t="shared" ref="S14:S20" si="5">IF(I14="○","NOT NULL","")</f>
        <v>NOT NULL</v>
      </c>
      <c r="T14" s="78" t="str">
        <f t="shared" ref="T14:T20"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milscm_2023_009.sny_202310_backup_mt2_iryouken2.iryouken2 IS '二次医療圏';</v>
      </c>
    </row>
    <row r="15" spans="1:45" s="25" customFormat="1" ht="69.599999999999994">
      <c r="A15" s="4"/>
      <c r="B15" s="21">
        <f t="shared" si="2"/>
        <v>3</v>
      </c>
      <c r="C15" s="6" t="s">
        <v>1916</v>
      </c>
      <c r="D15" s="6" t="s">
        <v>1917</v>
      </c>
      <c r="E15" s="8"/>
      <c r="F15" s="7" t="s">
        <v>739</v>
      </c>
      <c r="G15" s="7" t="str">
        <f t="shared" si="3"/>
        <v>text</v>
      </c>
      <c r="H15" s="26"/>
      <c r="I15" s="10" t="s">
        <v>127</v>
      </c>
      <c r="J15" s="11" t="s">
        <v>2555</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milscm_2023_009.sny_202310_backup_mt2_iryouken2.prefecture_cd IS '都道府県コード';</v>
      </c>
    </row>
    <row r="16" spans="1:45" s="25" customFormat="1" ht="69.599999999999994">
      <c r="A16" s="4"/>
      <c r="B16" s="21">
        <f t="shared" si="2"/>
        <v>4</v>
      </c>
      <c r="C16" s="6" t="s">
        <v>1919</v>
      </c>
      <c r="D16" s="6" t="s">
        <v>1920</v>
      </c>
      <c r="E16" s="8" t="s">
        <v>127</v>
      </c>
      <c r="F16" s="7" t="s">
        <v>739</v>
      </c>
      <c r="G16" s="7" t="str">
        <f t="shared" si="3"/>
        <v>text</v>
      </c>
      <c r="H16" s="26"/>
      <c r="I16" s="10" t="s">
        <v>127</v>
      </c>
      <c r="J16" s="11" t="s">
        <v>2555</v>
      </c>
      <c r="M16" s="4"/>
      <c r="N16" s="78"/>
      <c r="O16" s="78"/>
      <c r="P16" s="78" t="str">
        <f t="shared" si="4"/>
        <v>,city_code</v>
      </c>
      <c r="Q16" s="78" t="str">
        <f t="shared" si="0"/>
        <v>TEXT</v>
      </c>
      <c r="R16" s="78" t="str">
        <f t="shared" si="1"/>
        <v/>
      </c>
      <c r="S16" s="78" t="str">
        <f t="shared" si="5"/>
        <v>NOT NULL</v>
      </c>
      <c r="T16" s="78" t="str">
        <f t="shared" si="6"/>
        <v>-- 市区町村コード</v>
      </c>
      <c r="U16" s="4"/>
      <c r="AA16" s="4"/>
      <c r="AB16" s="4"/>
      <c r="AC16" s="4"/>
      <c r="AD16" s="4"/>
      <c r="AE16" s="4"/>
      <c r="AF16" s="4"/>
      <c r="AG16" s="4"/>
      <c r="AH16" s="4"/>
      <c r="AI16" s="4"/>
      <c r="AJ16" s="78" t="str">
        <f>IF(E16="○",IF(COUNTA(E$13:E16)=1,"",",")&amp;D16,"")</f>
        <v>city_code</v>
      </c>
      <c r="AK16" s="4"/>
      <c r="AL16" s="4"/>
      <c r="AM16" s="4"/>
      <c r="AN16" s="4"/>
      <c r="AO16" s="4"/>
      <c r="AP16" s="4"/>
      <c r="AQ16" s="4"/>
      <c r="AR16" s="4"/>
      <c r="AS16" s="78"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2527</v>
      </c>
      <c r="D17" s="6" t="s">
        <v>2528</v>
      </c>
      <c r="E17" s="8"/>
      <c r="F17" s="7" t="s">
        <v>739</v>
      </c>
      <c r="G17" s="7" t="str">
        <f t="shared" si="3"/>
        <v>text</v>
      </c>
      <c r="H17" s="26">
        <v>0</v>
      </c>
      <c r="I17" s="10" t="s">
        <v>127</v>
      </c>
      <c r="J17" s="11"/>
      <c r="M17" s="4"/>
      <c r="N17" s="78"/>
      <c r="O17" s="78"/>
      <c r="P17" s="78" t="str">
        <f t="shared" si="4"/>
        <v>,new_f</v>
      </c>
      <c r="Q17" s="78" t="str">
        <f t="shared" si="0"/>
        <v>TEXT</v>
      </c>
      <c r="R17" s="78" t="str">
        <f t="shared" si="1"/>
        <v>default '0'</v>
      </c>
      <c r="S17" s="78" t="str">
        <f t="shared" si="5"/>
        <v>NOT NULL</v>
      </c>
      <c r="T17" s="78" t="str">
        <f t="shared" si="6"/>
        <v>-- 最新フラグ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milscm_2023_009.sny_202310_backup_mt2_iryouken2.new_f IS '最新フラグ';</v>
      </c>
    </row>
    <row r="18" spans="1:52" s="25" customFormat="1">
      <c r="A18" s="4"/>
      <c r="B18" s="21">
        <f t="shared" si="2"/>
        <v>6</v>
      </c>
      <c r="C18" s="6" t="s">
        <v>2554</v>
      </c>
      <c r="D18" s="6" t="s">
        <v>1924</v>
      </c>
      <c r="E18" s="8"/>
      <c r="F18" s="7" t="s">
        <v>739</v>
      </c>
      <c r="G18" s="7" t="str">
        <f t="shared" ref="G18" si="7">IF(F18="フラグ","boolean",IF(F18="文字列","text",IF(F18="整数","integer",IF(F18="実数","numeric",""))))</f>
        <v>text</v>
      </c>
      <c r="H18" s="26">
        <v>0</v>
      </c>
      <c r="I18" s="10" t="s">
        <v>127</v>
      </c>
      <c r="J18" s="11"/>
      <c r="M18" s="4"/>
      <c r="N18" s="78"/>
      <c r="O18" s="78"/>
      <c r="P18" s="78" t="str">
        <f t="shared" ref="P18" si="8">IF(B18&lt;&gt;1,","&amp;D18,D18)</f>
        <v>,del_f</v>
      </c>
      <c r="Q18" s="78" t="str">
        <f t="shared" ref="Q18" si="9">UPPER(G18)</f>
        <v>TEXT</v>
      </c>
      <c r="R18" s="78" t="str">
        <f t="shared" ref="R18" si="10">IF(H18&lt;&gt;"","default "&amp;IF(G18="text","'"&amp;H18&amp;"'",H18),"")</f>
        <v>default '0'</v>
      </c>
      <c r="S18" s="78" t="str">
        <f t="shared" ref="S18" si="11">IF(I18="○","NOT NULL","")</f>
        <v>NOT NULL</v>
      </c>
      <c r="T18" s="78" t="str">
        <f t="shared" ref="T18" si="12">"-- "&amp;C18</f>
        <v>-- 削除フラグ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milscm_2023_009.sny_202310_backup_mt2_iryouken2.del_f IS '削除フラグ';</v>
      </c>
    </row>
    <row r="19" spans="1:52" s="25" customFormat="1" ht="34.799999999999997">
      <c r="A19" s="4"/>
      <c r="B19" s="21">
        <f t="shared" si="2"/>
        <v>7</v>
      </c>
      <c r="C19" s="6" t="s">
        <v>1987</v>
      </c>
      <c r="D19" s="6" t="s">
        <v>1926</v>
      </c>
      <c r="E19" s="8" t="s">
        <v>127</v>
      </c>
      <c r="F19" s="7" t="s">
        <v>739</v>
      </c>
      <c r="G19" s="7" t="str">
        <f t="shared" si="3"/>
        <v>text</v>
      </c>
      <c r="H19" s="26">
        <v>99999999</v>
      </c>
      <c r="I19" s="10" t="s">
        <v>127</v>
      </c>
      <c r="J19" s="11" t="s">
        <v>2556</v>
      </c>
      <c r="M19" s="4"/>
      <c r="N19" s="78"/>
      <c r="O19" s="78"/>
      <c r="P19" s="78" t="str">
        <f t="shared" si="4"/>
        <v>,henkou_ymd</v>
      </c>
      <c r="Q19" s="78" t="str">
        <f t="shared" si="0"/>
        <v>TEXT</v>
      </c>
      <c r="R19" s="78" t="str">
        <f t="shared" si="1"/>
        <v>default '99999999'</v>
      </c>
      <c r="S19" s="78" t="str">
        <f t="shared" si="5"/>
        <v>NOT NULL</v>
      </c>
      <c r="T19" s="78" t="str">
        <f t="shared" si="6"/>
        <v>-- 変更年月日</v>
      </c>
      <c r="U19" s="4"/>
      <c r="AA19" s="4"/>
      <c r="AB19" s="4"/>
      <c r="AC19" s="4"/>
      <c r="AD19" s="4"/>
      <c r="AE19" s="4"/>
      <c r="AF19" s="4"/>
      <c r="AG19" s="4"/>
      <c r="AH19" s="4"/>
      <c r="AI19" s="4"/>
      <c r="AJ19" s="78" t="str">
        <f>IF(E19="○",IF(COUNTA(E$13:E19)=1,"",",")&amp;D19,"")</f>
        <v>,henkou_ymd</v>
      </c>
      <c r="AK19" s="4"/>
      <c r="AL19" s="4"/>
      <c r="AM19" s="4"/>
      <c r="AN19" s="4"/>
      <c r="AO19" s="4"/>
      <c r="AP19" s="4"/>
      <c r="AQ19" s="4"/>
      <c r="AR19" s="4"/>
      <c r="AS19" s="78" t="str">
        <f>"COMMENT ON COLUMN "&amp;エンティティ一覧!$O$2&amp;"."&amp;D$8&amp;"."&amp;D19&amp;" IS '"&amp;C19&amp;"';"</f>
        <v>COMMENT ON COLUMN milscm_2023_009.sny_202310_backup_mt2_iryouken2.henkou_ymd IS '変更年月日';</v>
      </c>
    </row>
    <row r="20" spans="1:52" s="25" customFormat="1" ht="35.4" thickBot="1">
      <c r="A20" s="4"/>
      <c r="B20" s="27">
        <f>ROW()-12</f>
        <v>8</v>
      </c>
      <c r="C20" s="57" t="s">
        <v>1927</v>
      </c>
      <c r="D20" s="57" t="s">
        <v>1928</v>
      </c>
      <c r="E20" s="56" t="s">
        <v>127</v>
      </c>
      <c r="F20" s="56" t="s">
        <v>739</v>
      </c>
      <c r="G20" s="56" t="str">
        <f t="shared" si="3"/>
        <v>text</v>
      </c>
      <c r="H20" s="59">
        <v>99999999</v>
      </c>
      <c r="I20" s="60" t="s">
        <v>127</v>
      </c>
      <c r="J20" s="64" t="s">
        <v>2557</v>
      </c>
      <c r="N20" s="78"/>
      <c r="O20" s="78"/>
      <c r="P20" s="78" t="str">
        <f t="shared" si="4"/>
        <v>,del_ymd</v>
      </c>
      <c r="Q20" s="78" t="str">
        <f t="shared" si="0"/>
        <v>TEXT</v>
      </c>
      <c r="R20" s="78" t="str">
        <f t="shared" si="1"/>
        <v>default '99999999'</v>
      </c>
      <c r="S20" s="78" t="str">
        <f t="shared" si="5"/>
        <v>NOT NULL</v>
      </c>
      <c r="T20" s="78" t="str">
        <f t="shared" si="6"/>
        <v>-- 廃止年月日</v>
      </c>
      <c r="U20" s="4"/>
      <c r="AA20" s="4"/>
      <c r="AB20" s="4"/>
      <c r="AC20" s="4"/>
      <c r="AD20" s="4"/>
      <c r="AE20" s="4"/>
      <c r="AF20" s="4"/>
      <c r="AG20" s="4"/>
      <c r="AH20" s="4"/>
      <c r="AI20" s="4"/>
      <c r="AJ20" s="78" t="str">
        <f>IF(E20="○",IF(COUNTA(E$13:E20)=1,"",",")&amp;D20,"")</f>
        <v>,del_ymd</v>
      </c>
      <c r="AK20" s="4"/>
      <c r="AL20" s="4"/>
      <c r="AM20" s="4"/>
      <c r="AN20" s="4"/>
      <c r="AO20" s="4"/>
      <c r="AP20" s="4"/>
      <c r="AQ20" s="4"/>
      <c r="AR20" s="4"/>
      <c r="AS20" s="78" t="str">
        <f>"COMMENT ON COLUMN "&amp;エンティティ一覧!$O$2&amp;"."&amp;D$8&amp;"."&amp;D20&amp;" IS '"&amp;C20&amp;"';"</f>
        <v>COMMENT ON COLUMN milscm_2023_009.sny_202310_backup_mt2_iryouken2.del_ymd IS '廃止年月日';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1932</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3722</v>
      </c>
      <c r="C4" s="225"/>
      <c r="D4" s="226" t="str">
        <f>VLOOKUP(D7,エンティティ一覧!A1:'エンティティ一覧'!AM10147,2,FALSE)</f>
        <v>01</v>
      </c>
      <c r="E4" s="227"/>
      <c r="F4" s="227"/>
      <c r="G4" s="227"/>
      <c r="H4" s="227"/>
      <c r="I4" s="227"/>
      <c r="J4" s="228"/>
    </row>
    <row r="5" spans="1:52">
      <c r="B5" s="240" t="s">
        <v>3723</v>
      </c>
      <c r="C5" s="241"/>
      <c r="D5" s="250" t="str">
        <f>VLOOKUP(D7,エンティティ一覧!A1:'エンティティ一覧'!AM10147,7,FALSE)</f>
        <v>backup</v>
      </c>
      <c r="E5" s="251"/>
      <c r="F5" s="251"/>
      <c r="G5" s="251"/>
      <c r="H5" s="251"/>
      <c r="I5" s="251"/>
      <c r="J5" s="252"/>
    </row>
    <row r="6" spans="1:52">
      <c r="B6" s="240" t="s">
        <v>3724</v>
      </c>
      <c r="C6" s="241"/>
      <c r="D6" s="250" t="str">
        <f>VLOOKUP(D7,エンティティ一覧!A1:'エンティティ一覧'!AM10147,15,FALSE)</f>
        <v>ENT_01_A4-05</v>
      </c>
      <c r="E6" s="251"/>
      <c r="F6" s="251"/>
      <c r="G6" s="251"/>
      <c r="H6" s="251"/>
      <c r="I6" s="251"/>
      <c r="J6" s="252"/>
    </row>
    <row r="7" spans="1:52">
      <c r="B7" s="240" t="s">
        <v>115</v>
      </c>
      <c r="C7" s="241"/>
      <c r="D7" s="242" t="s">
        <v>2558</v>
      </c>
      <c r="E7" s="243"/>
      <c r="F7" s="243"/>
      <c r="G7" s="243"/>
      <c r="H7" s="243"/>
      <c r="I7" s="243"/>
      <c r="J7" s="244"/>
    </row>
    <row r="8" spans="1:52">
      <c r="B8" s="240" t="s">
        <v>116</v>
      </c>
      <c r="C8" s="241"/>
      <c r="D8" s="242" t="str">
        <f>エンティティ一覧!AE2&amp;"_"&amp;D5&amp;"_mt2_old_new_shisetsu"</f>
        <v>sny_202310_backup_mt2_old_new_shisetsu</v>
      </c>
      <c r="E8" s="243"/>
      <c r="F8" s="243"/>
      <c r="G8" s="243"/>
      <c r="H8" s="243"/>
      <c r="I8" s="243"/>
      <c r="J8" s="244"/>
    </row>
    <row r="9" spans="1:52" ht="19.5" customHeight="1" thickBot="1">
      <c r="B9" s="245" t="s">
        <v>117</v>
      </c>
      <c r="C9" s="246"/>
      <c r="D9" s="247" t="str">
        <f>SUBSTITUTE(D7,"バックアップ_","")&amp;"テーブルから組入れ条件の第一条件で絞り込んだ結果を格納するテーブル"</f>
        <v>施設ID対応マスタテーブルから組入れ条件の第一条件で絞り込んだ結果を格納するテーブル</v>
      </c>
      <c r="E9" s="248"/>
      <c r="F9" s="248"/>
      <c r="G9" s="248"/>
      <c r="H9" s="248"/>
      <c r="I9" s="248"/>
      <c r="J9" s="249"/>
    </row>
    <row r="10" spans="1:52">
      <c r="B10" s="19"/>
      <c r="C10" s="19"/>
      <c r="D10" s="5"/>
      <c r="E10" s="5"/>
      <c r="F10" s="5"/>
      <c r="G10" s="5"/>
      <c r="H10" s="5"/>
      <c r="I10" s="5"/>
      <c r="J10" s="18"/>
      <c r="N10" s="78" t="str">
        <f>"--DROP TABLE  "&amp;エンティティ一覧!$O$2&amp;"."&amp;D$8&amp;";"</f>
        <v>--DROP TABLE  milscm_2023_009.sny_202310_backup_mt2_old_new_shisetsu;</v>
      </c>
      <c r="O10" s="78"/>
      <c r="P10" s="78"/>
      <c r="Q10" s="78"/>
      <c r="R10" s="78"/>
      <c r="S10" s="78"/>
      <c r="T10" s="78"/>
      <c r="AJ10" s="78" t="str">
        <f>"ALTER TABLE ONLY "&amp;エンティティ一覧!$O$2&amp;"."&amp;D$8</f>
        <v>ALTER TABLE ONLY milscm_2023_009.sny_202310_backup_mt2_old_new_shisetsu</v>
      </c>
      <c r="AS10" s="78" t="str">
        <f>"ALTER TABLE "&amp;エンティティ一覧!$O$2&amp;"."&amp;D$8&amp;" OWNER TO pgmisgrp1;"</f>
        <v>ALTER TABLE milscm_2023_009.sny_202310_backup_mt2_old_new_shisetsu OWNER TO pgmisgrp1;</v>
      </c>
    </row>
    <row r="11" spans="1:52" ht="18" thickBot="1">
      <c r="B11" s="20" t="s">
        <v>118</v>
      </c>
      <c r="C11" s="19"/>
      <c r="D11" s="5"/>
      <c r="E11" s="5"/>
      <c r="F11" s="5"/>
      <c r="G11" s="5"/>
      <c r="H11" s="5"/>
      <c r="I11" s="5"/>
      <c r="J11" s="18"/>
      <c r="N11" s="78" t="str">
        <f>"CREATE TABLE  "&amp;エンティティ一覧!$O$2&amp;"."&amp;D$8</f>
        <v>CREATE TABLE  milscm_2023_009.sny_202310_backup_mt2_old_new_shisetsu</v>
      </c>
      <c r="O11" s="78"/>
      <c r="P11" s="78"/>
      <c r="Q11" s="78"/>
      <c r="R11" s="78"/>
      <c r="S11" s="78"/>
      <c r="T11" s="78"/>
      <c r="AJ11" s="78" t="str">
        <f>"ADD CONSTRAINT "&amp;D$8&amp;"_pkey PRIMARY KEY"</f>
        <v>ADD CONSTRAINT sny_202310_backup_mt2_old_new_shisetsu_pkey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2559</v>
      </c>
      <c r="D13" s="6" t="s">
        <v>2560</v>
      </c>
      <c r="E13" s="8" t="s">
        <v>127</v>
      </c>
      <c r="F13" s="8" t="s">
        <v>739</v>
      </c>
      <c r="G13" s="7" t="str">
        <f>IF(F13="フラグ","boolean",IF(F13="文字列","text",IF(F13="整数","integer",IF(F13="実数","numeric",""))))</f>
        <v>text</v>
      </c>
      <c r="H13" s="9"/>
      <c r="I13" s="10" t="s">
        <v>127</v>
      </c>
      <c r="J13" s="11"/>
      <c r="M13" s="4"/>
      <c r="N13" s="78"/>
      <c r="O13" s="78"/>
      <c r="P13" s="78" t="str">
        <f>IF(B13&lt;&gt;1,","&amp;D13,D13)</f>
        <v>old_facility_id</v>
      </c>
      <c r="Q13" s="78" t="str">
        <f t="shared" ref="Q13:Q15" si="0">UPPER(G13)</f>
        <v>TEXT</v>
      </c>
      <c r="R13" s="78" t="str">
        <f t="shared" ref="R13:R15" si="1">IF(H13&lt;&gt;"","default "&amp;IF(G13="text","'"&amp;H13&amp;"'",H13),"")</f>
        <v/>
      </c>
      <c r="S13" s="78" t="str">
        <f>IF(I13="○","NOT NULL","")</f>
        <v>NOT NULL</v>
      </c>
      <c r="T13" s="78" t="str">
        <f>"-- "&amp;C13</f>
        <v>-- 旧施設ID</v>
      </c>
      <c r="U13" s="4"/>
      <c r="AA13" s="4"/>
      <c r="AB13" s="4"/>
      <c r="AC13" s="4"/>
      <c r="AD13" s="4"/>
      <c r="AE13" s="4"/>
      <c r="AF13" s="4"/>
      <c r="AG13" s="4"/>
      <c r="AH13" s="4"/>
      <c r="AI13" s="4"/>
      <c r="AJ13" s="78" t="str">
        <f>IF(E13="○",IF(COUNTA(E$13:E13)=1,"",",")&amp;D13,"")</f>
        <v>old_facility_id</v>
      </c>
      <c r="AK13" s="4"/>
      <c r="AL13" s="4"/>
      <c r="AM13" s="4"/>
      <c r="AN13" s="4"/>
      <c r="AO13" s="4"/>
      <c r="AP13" s="4"/>
      <c r="AQ13" s="4"/>
      <c r="AR13" s="4"/>
      <c r="AS13" s="78"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2561</v>
      </c>
      <c r="D14" s="6" t="s">
        <v>2562</v>
      </c>
      <c r="E14" s="8"/>
      <c r="F14" s="7" t="s">
        <v>739</v>
      </c>
      <c r="G14" s="7" t="str">
        <f t="shared" ref="G14:G15" si="3">IF(F14="フラグ","boolean",IF(F14="文字列","text",IF(F14="整数","integer",IF(F14="実数","numeric",""))))</f>
        <v>text</v>
      </c>
      <c r="H14" s="26"/>
      <c r="I14" s="10" t="s">
        <v>127</v>
      </c>
      <c r="J14" s="11"/>
      <c r="M14" s="4"/>
      <c r="N14" s="78"/>
      <c r="O14" s="78"/>
      <c r="P14" s="78" t="str">
        <f t="shared" ref="P14:P15" si="4">IF(B14&lt;&gt;1,","&amp;D14,D14)</f>
        <v>,new_facility_id</v>
      </c>
      <c r="Q14" s="78" t="str">
        <f t="shared" si="0"/>
        <v>TEXT</v>
      </c>
      <c r="R14" s="78" t="str">
        <f t="shared" si="1"/>
        <v/>
      </c>
      <c r="S14" s="78" t="str">
        <f t="shared" ref="S14:S15" si="5">IF(I14="○","NOT NULL","")</f>
        <v>NOT NULL</v>
      </c>
      <c r="T14" s="78" t="str">
        <f t="shared" ref="T14:T15" si="6">"-- "&amp;C14</f>
        <v>-- 新施設ID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milscm_2023_009.sny_202310_backup_mt2_old_new_shisetsu.new_facility_id IS '新施設ID';</v>
      </c>
    </row>
    <row r="15" spans="1:52" s="25" customFormat="1" ht="18" thickBot="1">
      <c r="A15" s="4"/>
      <c r="B15" s="27">
        <f>ROW()-12</f>
        <v>3</v>
      </c>
      <c r="C15" s="57" t="s">
        <v>2563</v>
      </c>
      <c r="D15" s="57" t="s">
        <v>1956</v>
      </c>
      <c r="E15" s="56"/>
      <c r="F15" s="56" t="s">
        <v>739</v>
      </c>
      <c r="G15" s="56" t="str">
        <f t="shared" si="3"/>
        <v>text</v>
      </c>
      <c r="H15" s="59">
        <v>99999999</v>
      </c>
      <c r="I15" s="60" t="s">
        <v>127</v>
      </c>
      <c r="J15" s="64" t="s">
        <v>1814</v>
      </c>
      <c r="N15" s="78"/>
      <c r="O15" s="78"/>
      <c r="P15" s="78" t="str">
        <f t="shared" si="4"/>
        <v>,start_ymd</v>
      </c>
      <c r="Q15" s="78" t="str">
        <f t="shared" si="0"/>
        <v>TEXT</v>
      </c>
      <c r="R15" s="78" t="str">
        <f t="shared" si="1"/>
        <v>default '99999999'</v>
      </c>
      <c r="S15" s="78" t="str">
        <f t="shared" si="5"/>
        <v>NOT NULL</v>
      </c>
      <c r="T15" s="78" t="str">
        <f t="shared" si="6"/>
        <v>-- 適用開始日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milscm_2023_009.sny_202310_backup_mt2_old_new_shisetsu.start_ymd IS '適用開始日';</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ENT_01_A4-07</v>
      </c>
      <c r="E6" s="251"/>
      <c r="F6" s="251"/>
      <c r="G6" s="251"/>
      <c r="H6" s="251"/>
      <c r="I6" s="251"/>
      <c r="J6" s="252"/>
    </row>
    <row r="7" spans="1:45">
      <c r="B7" s="240" t="s">
        <v>115</v>
      </c>
      <c r="C7" s="241"/>
      <c r="D7" s="242" t="s">
        <v>2566</v>
      </c>
      <c r="E7" s="243"/>
      <c r="F7" s="243"/>
      <c r="G7" s="243"/>
      <c r="H7" s="243"/>
      <c r="I7" s="243"/>
      <c r="J7" s="244"/>
    </row>
    <row r="8" spans="1:45">
      <c r="B8" s="240" t="s">
        <v>116</v>
      </c>
      <c r="C8" s="241"/>
      <c r="D8" s="242" t="str">
        <f>エンティティ一覧!AE2&amp;"_"&amp;D5&amp;"_mt2_iyakuhin_kanren"</f>
        <v>sny_202310_backup_mt2_iyakuhin_kanren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milscm_2023_009.sny_202310_backup_mt2_iyakuhin_kanren;</v>
      </c>
      <c r="O10" s="78"/>
      <c r="P10" s="78"/>
      <c r="Q10" s="78"/>
      <c r="R10" s="78"/>
      <c r="S10" s="78"/>
      <c r="T10" s="78"/>
      <c r="AJ10" s="78" t="str">
        <f>"ALTER TABLE ONLY "&amp;エンティティ一覧!$O$2&amp;"."&amp;D$8</f>
        <v>ALTER TABLE ONLY milscm_2023_009.sny_202310_backup_mt2_iyakuhin_kanren</v>
      </c>
      <c r="AS10" s="78" t="str">
        <f>"ALTER TABLE "&amp;エンティティ一覧!$O$2&amp;"."&amp;D$8&amp;" OWNER TO pgmisgrp1;"</f>
        <v>ALTER TABLE milscm_2023_009.sny_202310_backup_mt2_iyakuhin_kanren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milscm_2023_009.sny_202310_backup_mt2_iyakuhin_kanren</v>
      </c>
      <c r="O11" s="78"/>
      <c r="P11" s="78"/>
      <c r="Q11" s="78"/>
      <c r="R11" s="78"/>
      <c r="S11" s="78"/>
      <c r="T11" s="78"/>
      <c r="AJ11" s="78" t="str">
        <f>"ADD CONSTRAINT "&amp;D$8&amp;"_pkey PRIMARY KEY"</f>
        <v>ADD CONSTRAINT sny_202310_backup_mt2_iyakuhin_kanren_pkey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1177</v>
      </c>
      <c r="D13" s="6" t="s">
        <v>2567</v>
      </c>
      <c r="E13" s="8" t="s">
        <v>127</v>
      </c>
      <c r="F13" s="8" t="s">
        <v>739</v>
      </c>
      <c r="G13" s="7" t="str">
        <f>IF(F13="フラグ","boolean",IF(F13="文字列","text",IF(F13="整数","integer",IF(F13="実数","numeric",""))))</f>
        <v>text</v>
      </c>
      <c r="H13" s="9"/>
      <c r="I13" s="10" t="s">
        <v>127</v>
      </c>
      <c r="J13" s="11" t="s">
        <v>2607</v>
      </c>
      <c r="M13" s="4"/>
      <c r="N13" s="78"/>
      <c r="O13" s="78"/>
      <c r="P13" s="78" t="str">
        <f>IF(B13&lt;&gt;1,","&amp;D13,D13)</f>
        <v>iyakuhin_cd</v>
      </c>
      <c r="Q13" s="78" t="str">
        <f t="shared" ref="Q13:Q38" si="0">UPPER(G13)</f>
        <v>TEXT</v>
      </c>
      <c r="R13" s="78" t="str">
        <f t="shared" ref="R13:R38"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iyakuhin_cd</v>
      </c>
      <c r="AK13" s="4"/>
      <c r="AL13" s="4"/>
      <c r="AM13" s="4"/>
      <c r="AN13" s="4"/>
      <c r="AO13" s="4"/>
      <c r="AP13" s="4"/>
      <c r="AQ13" s="4"/>
      <c r="AR13" s="4"/>
      <c r="AS13" s="78"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2568</v>
      </c>
      <c r="D14" s="6" t="s">
        <v>2569</v>
      </c>
      <c r="E14" s="8"/>
      <c r="F14" s="7" t="s">
        <v>739</v>
      </c>
      <c r="G14" s="7" t="str">
        <f t="shared" ref="G14:G38" si="3">IF(F14="フラグ","boolean",IF(F14="文字列","text",IF(F14="整数","integer",IF(F14="実数","numeric",""))))</f>
        <v>text</v>
      </c>
      <c r="H14" s="26"/>
      <c r="I14" s="10" t="s">
        <v>127</v>
      </c>
      <c r="J14" s="11" t="s">
        <v>2608</v>
      </c>
      <c r="M14" s="4"/>
      <c r="N14" s="78"/>
      <c r="O14" s="78"/>
      <c r="P14" s="78" t="str">
        <f t="shared" ref="P14:P38" si="4">IF(B14&lt;&gt;1,","&amp;D14,D14)</f>
        <v>,iyakuhin_brand_cd</v>
      </c>
      <c r="Q14" s="78" t="str">
        <f t="shared" si="0"/>
        <v>TEXT</v>
      </c>
      <c r="R14" s="78" t="str">
        <f t="shared" si="1"/>
        <v/>
      </c>
      <c r="S14" s="78" t="str">
        <f t="shared" ref="S14:S38" si="5">IF(I14="○","NOT NULL","")</f>
        <v>NOT NULL</v>
      </c>
      <c r="T14" s="78" t="str">
        <f t="shared" ref="T14:T38" si="6">"-- "&amp;C14</f>
        <v>-- 医薬品ブランドコード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milscm_2023_009.sny_202310_backup_mt2_iyakuhin_kanren.iyakuhin_brand_cd IS '医薬品ブランドコード';</v>
      </c>
    </row>
    <row r="15" spans="1:45" s="25" customFormat="1" ht="30">
      <c r="A15" s="4"/>
      <c r="B15" s="21">
        <f t="shared" si="2"/>
        <v>3</v>
      </c>
      <c r="C15" s="6" t="s">
        <v>2570</v>
      </c>
      <c r="D15" s="6" t="s">
        <v>2571</v>
      </c>
      <c r="E15" s="8"/>
      <c r="F15" s="7" t="s">
        <v>739</v>
      </c>
      <c r="G15" s="7" t="str">
        <f t="shared" si="3"/>
        <v>text</v>
      </c>
      <c r="H15" s="26"/>
      <c r="I15" s="10" t="s">
        <v>127</v>
      </c>
      <c r="J15" s="11" t="s">
        <v>2608</v>
      </c>
      <c r="M15" s="4"/>
      <c r="N15" s="78"/>
      <c r="O15" s="78"/>
      <c r="P15" s="78" t="str">
        <f t="shared" si="4"/>
        <v>,iyakuhin_ippan_name_cd</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2572</v>
      </c>
      <c r="D16" s="6" t="s">
        <v>2573</v>
      </c>
      <c r="E16" s="8"/>
      <c r="F16" s="7" t="s">
        <v>739</v>
      </c>
      <c r="G16" s="7" t="str">
        <f t="shared" si="3"/>
        <v>text</v>
      </c>
      <c r="H16" s="26"/>
      <c r="I16" s="10" t="s">
        <v>127</v>
      </c>
      <c r="J16" s="11" t="s">
        <v>2608</v>
      </c>
      <c r="M16" s="4"/>
      <c r="N16" s="78"/>
      <c r="O16" s="78"/>
      <c r="P16" s="78" t="str">
        <f t="shared" si="4"/>
        <v>,yakko_bunrui1_cd</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2574</v>
      </c>
      <c r="D17" s="6" t="s">
        <v>2575</v>
      </c>
      <c r="E17" s="8"/>
      <c r="F17" s="7" t="s">
        <v>739</v>
      </c>
      <c r="G17" s="7" t="str">
        <f t="shared" si="3"/>
        <v>text</v>
      </c>
      <c r="H17" s="26"/>
      <c r="I17" s="10" t="s">
        <v>127</v>
      </c>
      <c r="J17" s="11" t="s">
        <v>2608</v>
      </c>
      <c r="M17" s="4"/>
      <c r="N17" s="78"/>
      <c r="O17" s="78"/>
      <c r="P17" s="78" t="str">
        <f t="shared" si="4"/>
        <v>,yakko_bunrui2_cd</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2576</v>
      </c>
      <c r="D18" s="6" t="s">
        <v>2577</v>
      </c>
      <c r="E18" s="8"/>
      <c r="F18" s="7" t="s">
        <v>739</v>
      </c>
      <c r="G18" s="7" t="str">
        <f t="shared" si="3"/>
        <v>text</v>
      </c>
      <c r="H18" s="26"/>
      <c r="I18" s="10" t="s">
        <v>127</v>
      </c>
      <c r="J18" s="11" t="s">
        <v>2608</v>
      </c>
      <c r="M18" s="4"/>
      <c r="N18" s="78"/>
      <c r="O18" s="78"/>
      <c r="P18" s="78" t="str">
        <f t="shared" si="4"/>
        <v>,yakko_bunrui3_cd</v>
      </c>
      <c r="Q18" s="78" t="str">
        <f t="shared" si="0"/>
        <v>TEXT</v>
      </c>
      <c r="R18" s="78" t="str">
        <f t="shared" si="1"/>
        <v/>
      </c>
      <c r="S18" s="78" t="str">
        <f t="shared" si="5"/>
        <v>NOT NULL</v>
      </c>
      <c r="T18" s="78" t="str">
        <f t="shared" si="6"/>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2578</v>
      </c>
      <c r="D19" s="6" t="s">
        <v>2579</v>
      </c>
      <c r="E19" s="8"/>
      <c r="F19" s="7" t="s">
        <v>739</v>
      </c>
      <c r="G19" s="7" t="str">
        <f t="shared" si="3"/>
        <v>text</v>
      </c>
      <c r="H19" s="26"/>
      <c r="I19" s="10" t="s">
        <v>127</v>
      </c>
      <c r="J19" s="11" t="s">
        <v>2608</v>
      </c>
      <c r="M19" s="4"/>
      <c r="N19" s="78"/>
      <c r="O19" s="78"/>
      <c r="P19" s="78" t="str">
        <f t="shared" si="4"/>
        <v>,yakko_bunrui4_cd</v>
      </c>
      <c r="Q19" s="78" t="str">
        <f t="shared" si="0"/>
        <v>TEXT</v>
      </c>
      <c r="R19" s="78" t="str">
        <f t="shared" si="1"/>
        <v/>
      </c>
      <c r="S19" s="78" t="str">
        <f t="shared" si="5"/>
        <v>NOT NULL</v>
      </c>
      <c r="T19" s="78" t="str">
        <f t="shared" si="6"/>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2580</v>
      </c>
      <c r="D20" s="6" t="s">
        <v>2581</v>
      </c>
      <c r="E20" s="8"/>
      <c r="F20" s="7" t="s">
        <v>739</v>
      </c>
      <c r="G20" s="7" t="str">
        <f t="shared" si="3"/>
        <v>text</v>
      </c>
      <c r="H20" s="26"/>
      <c r="I20" s="10" t="s">
        <v>127</v>
      </c>
      <c r="J20" s="11" t="s">
        <v>2608</v>
      </c>
      <c r="M20" s="4"/>
      <c r="N20" s="78"/>
      <c r="O20" s="78"/>
      <c r="P20" s="78" t="str">
        <f t="shared" si="4"/>
        <v>,yakko_bunrui5_cd</v>
      </c>
      <c r="Q20" s="78" t="str">
        <f t="shared" si="0"/>
        <v>TEXT</v>
      </c>
      <c r="R20" s="78" t="str">
        <f t="shared" si="1"/>
        <v/>
      </c>
      <c r="S20" s="78" t="str">
        <f t="shared" si="5"/>
        <v>NOT NULL</v>
      </c>
      <c r="T20" s="78" t="str">
        <f t="shared" si="6"/>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2582</v>
      </c>
      <c r="D21" s="6" t="s">
        <v>2583</v>
      </c>
      <c r="E21" s="8"/>
      <c r="F21" s="7" t="s">
        <v>739</v>
      </c>
      <c r="G21" s="7" t="str">
        <f t="shared" si="3"/>
        <v>text</v>
      </c>
      <c r="H21" s="26"/>
      <c r="I21" s="10"/>
      <c r="J21" s="11" t="s">
        <v>2608</v>
      </c>
      <c r="M21" s="4"/>
      <c r="N21" s="78"/>
      <c r="O21" s="78"/>
      <c r="P21" s="78" t="str">
        <f t="shared" si="4"/>
        <v>,seizo_maker_cd</v>
      </c>
      <c r="Q21" s="78" t="str">
        <f t="shared" si="0"/>
        <v>TEXT</v>
      </c>
      <c r="R21" s="78" t="str">
        <f t="shared" si="1"/>
        <v/>
      </c>
      <c r="S21" s="78" t="str">
        <f t="shared" si="5"/>
        <v/>
      </c>
      <c r="T21" s="78" t="str">
        <f t="shared" si="6"/>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2584</v>
      </c>
      <c r="D22" s="6" t="s">
        <v>2585</v>
      </c>
      <c r="E22" s="8"/>
      <c r="F22" s="7" t="s">
        <v>739</v>
      </c>
      <c r="G22" s="7" t="str">
        <f t="shared" si="3"/>
        <v>text</v>
      </c>
      <c r="H22" s="26"/>
      <c r="I22" s="10" t="s">
        <v>127</v>
      </c>
      <c r="J22" s="11" t="s">
        <v>2608</v>
      </c>
      <c r="M22" s="4"/>
      <c r="N22" s="78"/>
      <c r="O22" s="78"/>
      <c r="P22" s="78" t="str">
        <f t="shared" si="4"/>
        <v>,iyakuhin_jpn_name</v>
      </c>
      <c r="Q22" s="78" t="str">
        <f t="shared" si="0"/>
        <v>TEXT</v>
      </c>
      <c r="R22" s="78" t="str">
        <f t="shared" si="1"/>
        <v/>
      </c>
      <c r="S22" s="78" t="str">
        <f t="shared" si="5"/>
        <v>NOT NULL</v>
      </c>
      <c r="T22" s="78" t="str">
        <f t="shared" si="6"/>
        <v>-- 医薬品日本語名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milscm_2023_009.sny_202310_backup_mt2_iyakuhin_kanren.iyakuhin_jpn_name IS '医薬品日本語名';</v>
      </c>
    </row>
    <row r="23" spans="1:45" s="25" customFormat="1" ht="30">
      <c r="A23" s="4"/>
      <c r="B23" s="21">
        <f t="shared" si="2"/>
        <v>11</v>
      </c>
      <c r="C23" s="6" t="s">
        <v>2586</v>
      </c>
      <c r="D23" s="6" t="s">
        <v>2587</v>
      </c>
      <c r="E23" s="8"/>
      <c r="F23" s="7" t="s">
        <v>739</v>
      </c>
      <c r="G23" s="7" t="str">
        <f t="shared" si="3"/>
        <v>text</v>
      </c>
      <c r="H23" s="26"/>
      <c r="I23" s="10" t="s">
        <v>127</v>
      </c>
      <c r="J23" s="11" t="s">
        <v>2609</v>
      </c>
      <c r="M23" s="4"/>
      <c r="N23" s="78"/>
      <c r="O23" s="78"/>
      <c r="P23" s="78" t="str">
        <f t="shared" si="4"/>
        <v>,iyakuhin_brand_jpn_name</v>
      </c>
      <c r="Q23" s="78" t="str">
        <f t="shared" si="0"/>
        <v>TEXT</v>
      </c>
      <c r="R23" s="78" t="str">
        <f t="shared" si="1"/>
        <v/>
      </c>
      <c r="S23" s="78" t="str">
        <f t="shared" si="5"/>
        <v>NOT NULL</v>
      </c>
      <c r="T23" s="78" t="str">
        <f t="shared" si="6"/>
        <v>-- 医薬品ブランド名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2588</v>
      </c>
      <c r="D24" s="6" t="s">
        <v>2132</v>
      </c>
      <c r="E24" s="8"/>
      <c r="F24" s="7" t="s">
        <v>739</v>
      </c>
      <c r="G24" s="7" t="str">
        <f t="shared" si="3"/>
        <v>text</v>
      </c>
      <c r="H24" s="26"/>
      <c r="I24" s="10" t="s">
        <v>127</v>
      </c>
      <c r="J24" s="11" t="s">
        <v>2610</v>
      </c>
      <c r="M24" s="4"/>
      <c r="N24" s="78"/>
      <c r="O24" s="78"/>
      <c r="P24" s="78" t="str">
        <f t="shared" si="4"/>
        <v>,iyakuhin_ippan_name</v>
      </c>
      <c r="Q24" s="78" t="str">
        <f t="shared" si="0"/>
        <v>TEXT</v>
      </c>
      <c r="R24" s="78" t="str">
        <f t="shared" si="1"/>
        <v/>
      </c>
      <c r="S24" s="78" t="str">
        <f t="shared" si="5"/>
        <v>NOT NULL</v>
      </c>
      <c r="T24" s="78" t="str">
        <f t="shared" si="6"/>
        <v>-- 医薬品一般名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2589</v>
      </c>
      <c r="D25" s="6" t="s">
        <v>2134</v>
      </c>
      <c r="E25" s="8"/>
      <c r="F25" s="7" t="s">
        <v>739</v>
      </c>
      <c r="G25" s="7" t="str">
        <f t="shared" si="3"/>
        <v>text</v>
      </c>
      <c r="H25" s="26"/>
      <c r="I25" s="10" t="s">
        <v>127</v>
      </c>
      <c r="J25" s="11" t="s">
        <v>2611</v>
      </c>
      <c r="M25" s="4"/>
      <c r="N25" s="78"/>
      <c r="O25" s="78"/>
      <c r="P25" s="78" t="str">
        <f t="shared" si="4"/>
        <v>,iyakuhin_name</v>
      </c>
      <c r="Q25" s="78" t="str">
        <f t="shared" si="0"/>
        <v>TEXT</v>
      </c>
      <c r="R25" s="78" t="str">
        <f t="shared" si="1"/>
        <v/>
      </c>
      <c r="S25" s="78" t="str">
        <f t="shared" si="5"/>
        <v>NOT NULL</v>
      </c>
      <c r="T25" s="78" t="str">
        <f t="shared" si="6"/>
        <v>-- 医薬品一般名英名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milscm_2023_009.sny_202310_backup_mt2_iyakuhin_kanren.iyakuhin_name IS '医薬品一般名英名';</v>
      </c>
    </row>
    <row r="26" spans="1:45" s="25" customFormat="1" ht="30">
      <c r="A26" s="4"/>
      <c r="B26" s="21">
        <f t="shared" si="2"/>
        <v>14</v>
      </c>
      <c r="C26" s="6" t="s">
        <v>2590</v>
      </c>
      <c r="D26" s="6" t="s">
        <v>2591</v>
      </c>
      <c r="E26" s="8"/>
      <c r="F26" s="7" t="s">
        <v>739</v>
      </c>
      <c r="G26" s="7" t="str">
        <f t="shared" si="3"/>
        <v>text</v>
      </c>
      <c r="H26" s="26"/>
      <c r="I26" s="10" t="s">
        <v>127</v>
      </c>
      <c r="J26" s="11" t="s">
        <v>2612</v>
      </c>
      <c r="M26" s="4"/>
      <c r="N26" s="78"/>
      <c r="O26" s="78"/>
      <c r="P26" s="78" t="str">
        <f t="shared" si="4"/>
        <v>,yakko_bunrui1_jpn_name</v>
      </c>
      <c r="Q26" s="78" t="str">
        <f t="shared" si="0"/>
        <v>TEXT</v>
      </c>
      <c r="R26" s="78" t="str">
        <f t="shared" si="1"/>
        <v/>
      </c>
      <c r="S26" s="78" t="str">
        <f t="shared" si="5"/>
        <v>NOT NULL</v>
      </c>
      <c r="T26" s="78" t="str">
        <f t="shared" si="6"/>
        <v>-- 薬効分類1名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milscm_2023_009.sny_202310_backup_mt2_iyakuhin_kanren.yakko_bunrui1_jpn_name IS '薬効分類1名';</v>
      </c>
    </row>
    <row r="27" spans="1:45" s="25" customFormat="1" ht="30">
      <c r="A27" s="4"/>
      <c r="B27" s="21">
        <f t="shared" si="2"/>
        <v>15</v>
      </c>
      <c r="C27" s="6" t="s">
        <v>2592</v>
      </c>
      <c r="D27" s="6" t="s">
        <v>2593</v>
      </c>
      <c r="E27" s="8"/>
      <c r="F27" s="7" t="s">
        <v>739</v>
      </c>
      <c r="G27" s="7" t="str">
        <f t="shared" si="3"/>
        <v>text</v>
      </c>
      <c r="H27" s="26"/>
      <c r="I27" s="10" t="s">
        <v>127</v>
      </c>
      <c r="J27" s="11" t="s">
        <v>2613</v>
      </c>
      <c r="M27" s="4"/>
      <c r="N27" s="78"/>
      <c r="O27" s="78"/>
      <c r="P27" s="78" t="str">
        <f t="shared" si="4"/>
        <v>,yakko_bunrui2_jpn_name</v>
      </c>
      <c r="Q27" s="78" t="str">
        <f t="shared" si="0"/>
        <v>TEXT</v>
      </c>
      <c r="R27" s="78" t="str">
        <f t="shared" si="1"/>
        <v/>
      </c>
      <c r="S27" s="78" t="str">
        <f t="shared" si="5"/>
        <v>NOT NULL</v>
      </c>
      <c r="T27" s="78" t="str">
        <f t="shared" si="6"/>
        <v>-- 薬効分類2名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milscm_2023_009.sny_202310_backup_mt2_iyakuhin_kanren.yakko_bunrui2_jpn_name IS '薬効分類2名';</v>
      </c>
    </row>
    <row r="28" spans="1:45" s="25" customFormat="1" ht="30">
      <c r="A28" s="4"/>
      <c r="B28" s="21">
        <f t="shared" si="2"/>
        <v>16</v>
      </c>
      <c r="C28" s="6" t="s">
        <v>2594</v>
      </c>
      <c r="D28" s="6" t="s">
        <v>2595</v>
      </c>
      <c r="E28" s="8"/>
      <c r="F28" s="7" t="s">
        <v>739</v>
      </c>
      <c r="G28" s="7" t="str">
        <f t="shared" ref="G28:G36" si="7">IF(F28="フラグ","boolean",IF(F28="文字列","text",IF(F28="整数","integer",IF(F28="実数","numeric",""))))</f>
        <v>text</v>
      </c>
      <c r="H28" s="26"/>
      <c r="I28" s="10" t="s">
        <v>127</v>
      </c>
      <c r="J28" s="11" t="s">
        <v>2614</v>
      </c>
      <c r="M28" s="4"/>
      <c r="N28" s="78"/>
      <c r="O28" s="78"/>
      <c r="P28" s="78" t="str">
        <f t="shared" ref="P28:P36" si="8">IF(B28&lt;&gt;1,","&amp;D28,D28)</f>
        <v>,yakko_bunrui3_jpn_name</v>
      </c>
      <c r="Q28" s="78" t="str">
        <f t="shared" ref="Q28:Q36" si="9">UPPER(G28)</f>
        <v>TEXT</v>
      </c>
      <c r="R28" s="78" t="str">
        <f t="shared" ref="R28:R36" si="10">IF(H28&lt;&gt;"","default "&amp;IF(G28="text","'"&amp;H28&amp;"'",H28),"")</f>
        <v/>
      </c>
      <c r="S28" s="78" t="str">
        <f t="shared" ref="S28:S36" si="11">IF(I28="○","NOT NULL","")</f>
        <v>NOT NULL</v>
      </c>
      <c r="T28" s="78" t="str">
        <f t="shared" ref="T28:T36" si="12">"-- "&amp;C28</f>
        <v>-- 薬効分類3名</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milscm_2023_009.sny_202310_backup_mt2_iyakuhin_kanren.yakko_bunrui3_jpn_name IS '薬効分類3名';</v>
      </c>
    </row>
    <row r="29" spans="1:45" s="25" customFormat="1" ht="30">
      <c r="A29" s="4"/>
      <c r="B29" s="21">
        <f t="shared" si="2"/>
        <v>17</v>
      </c>
      <c r="C29" s="6" t="s">
        <v>2596</v>
      </c>
      <c r="D29" s="6" t="s">
        <v>2597</v>
      </c>
      <c r="E29" s="8"/>
      <c r="F29" s="7" t="s">
        <v>739</v>
      </c>
      <c r="G29" s="7" t="str">
        <f t="shared" si="7"/>
        <v>text</v>
      </c>
      <c r="H29" s="26"/>
      <c r="I29" s="10" t="s">
        <v>127</v>
      </c>
      <c r="J29" s="11" t="s">
        <v>2615</v>
      </c>
      <c r="M29" s="4"/>
      <c r="N29" s="78"/>
      <c r="O29" s="78"/>
      <c r="P29" s="78" t="str">
        <f t="shared" si="8"/>
        <v>,yakko_bunrui4_jpn_name</v>
      </c>
      <c r="Q29" s="78" t="str">
        <f t="shared" si="9"/>
        <v>TEXT</v>
      </c>
      <c r="R29" s="78" t="str">
        <f t="shared" si="10"/>
        <v/>
      </c>
      <c r="S29" s="78" t="str">
        <f t="shared" si="11"/>
        <v>NOT NULL</v>
      </c>
      <c r="T29" s="78" t="str">
        <f t="shared" si="12"/>
        <v>-- 薬効分類4名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milscm_2023_009.sny_202310_backup_mt2_iyakuhin_kanren.yakko_bunrui4_jpn_name IS '薬効分類4名';</v>
      </c>
    </row>
    <row r="30" spans="1:45" s="25" customFormat="1" ht="30">
      <c r="A30" s="4"/>
      <c r="B30" s="21">
        <f t="shared" si="2"/>
        <v>18</v>
      </c>
      <c r="C30" s="6" t="s">
        <v>2598</v>
      </c>
      <c r="D30" s="6" t="s">
        <v>2599</v>
      </c>
      <c r="E30" s="8"/>
      <c r="F30" s="7" t="s">
        <v>739</v>
      </c>
      <c r="G30" s="7" t="str">
        <f t="shared" si="7"/>
        <v>text</v>
      </c>
      <c r="H30" s="26"/>
      <c r="I30" s="10" t="s">
        <v>127</v>
      </c>
      <c r="J30" s="11" t="s">
        <v>2616</v>
      </c>
      <c r="M30" s="4"/>
      <c r="N30" s="78"/>
      <c r="O30" s="78"/>
      <c r="P30" s="78" t="str">
        <f t="shared" si="8"/>
        <v>,yakko_bunrui5_jpn_name</v>
      </c>
      <c r="Q30" s="78" t="str">
        <f t="shared" si="9"/>
        <v>TEXT</v>
      </c>
      <c r="R30" s="78" t="str">
        <f t="shared" si="10"/>
        <v/>
      </c>
      <c r="S30" s="78" t="str">
        <f t="shared" si="11"/>
        <v>NOT NULL</v>
      </c>
      <c r="T30" s="78" t="str">
        <f t="shared" si="12"/>
        <v>-- 薬効分類5名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2600</v>
      </c>
      <c r="D31" s="6" t="s">
        <v>2601</v>
      </c>
      <c r="E31" s="8"/>
      <c r="F31" s="7" t="s">
        <v>739</v>
      </c>
      <c r="G31" s="7" t="str">
        <f t="shared" si="7"/>
        <v>text</v>
      </c>
      <c r="H31" s="26"/>
      <c r="I31" s="10"/>
      <c r="J31" s="11" t="s">
        <v>2617</v>
      </c>
      <c r="M31" s="4"/>
      <c r="N31" s="78"/>
      <c r="O31" s="78"/>
      <c r="P31" s="78" t="str">
        <f t="shared" si="8"/>
        <v>,seizo_maker_name</v>
      </c>
      <c r="Q31" s="78" t="str">
        <f t="shared" si="9"/>
        <v>TEXT</v>
      </c>
      <c r="R31" s="78" t="str">
        <f t="shared" si="10"/>
        <v/>
      </c>
      <c r="S31" s="78" t="str">
        <f t="shared" si="11"/>
        <v/>
      </c>
      <c r="T31" s="78" t="str">
        <f t="shared" si="12"/>
        <v>-- 製造メーカ名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2602</v>
      </c>
      <c r="D32" s="6" t="s">
        <v>2603</v>
      </c>
      <c r="E32" s="8"/>
      <c r="F32" s="7" t="s">
        <v>739</v>
      </c>
      <c r="G32" s="7" t="str">
        <f t="shared" si="7"/>
        <v>text</v>
      </c>
      <c r="H32" s="26">
        <v>0</v>
      </c>
      <c r="I32" s="10" t="s">
        <v>127</v>
      </c>
      <c r="J32" s="11" t="s">
        <v>2608</v>
      </c>
      <c r="M32" s="4"/>
      <c r="N32" s="78"/>
      <c r="O32" s="78"/>
      <c r="P32" s="78" t="str">
        <f t="shared" si="8"/>
        <v>,kohatsuhin_f</v>
      </c>
      <c r="Q32" s="78" t="str">
        <f t="shared" si="9"/>
        <v>TEXT</v>
      </c>
      <c r="R32" s="78" t="str">
        <f t="shared" si="10"/>
        <v>default '0'</v>
      </c>
      <c r="S32" s="78" t="str">
        <f t="shared" si="11"/>
        <v>NOT NULL</v>
      </c>
      <c r="T32" s="78" t="str">
        <f t="shared" si="12"/>
        <v>-- 後発品フラグ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2604</v>
      </c>
      <c r="D33" s="6" t="s">
        <v>2605</v>
      </c>
      <c r="E33" s="8"/>
      <c r="F33" s="7" t="s">
        <v>739</v>
      </c>
      <c r="G33" s="7" t="str">
        <f t="shared" si="7"/>
        <v>text</v>
      </c>
      <c r="H33" s="26"/>
      <c r="I33" s="10" t="s">
        <v>127</v>
      </c>
      <c r="J33" s="11" t="s">
        <v>2608</v>
      </c>
      <c r="M33" s="4"/>
      <c r="N33" s="78"/>
      <c r="O33" s="78"/>
      <c r="P33" s="78" t="str">
        <f t="shared" si="8"/>
        <v>,toyo_keiro_kubun</v>
      </c>
      <c r="Q33" s="78" t="str">
        <f t="shared" si="9"/>
        <v>TEXT</v>
      </c>
      <c r="R33" s="78" t="str">
        <f t="shared" si="10"/>
        <v/>
      </c>
      <c r="S33" s="78" t="str">
        <f t="shared" si="11"/>
        <v>NOT NULL</v>
      </c>
      <c r="T33" s="78" t="str">
        <f t="shared" si="12"/>
        <v>-- 投与経路区分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milscm_2023_009.sny_202310_backup_mt2_iyakuhin_kanren.toyo_keiro_kubun IS '投与経路区分';</v>
      </c>
    </row>
    <row r="34" spans="1:52" s="25" customFormat="1" ht="52.2">
      <c r="A34" s="4"/>
      <c r="B34" s="21">
        <f t="shared" si="2"/>
        <v>22</v>
      </c>
      <c r="C34" s="6" t="s">
        <v>1933</v>
      </c>
      <c r="D34" s="6" t="s">
        <v>2606</v>
      </c>
      <c r="E34" s="8" t="s">
        <v>127</v>
      </c>
      <c r="F34" s="7" t="s">
        <v>739</v>
      </c>
      <c r="G34" s="7" t="str">
        <f t="shared" si="7"/>
        <v>text</v>
      </c>
      <c r="H34" s="26" t="s">
        <v>1940</v>
      </c>
      <c r="I34" s="10" t="s">
        <v>127</v>
      </c>
      <c r="J34" s="11" t="s">
        <v>2618</v>
      </c>
      <c r="M34" s="4"/>
      <c r="N34" s="78"/>
      <c r="O34" s="78"/>
      <c r="P34" s="78" t="str">
        <f t="shared" si="8"/>
        <v>,yakkasyusai_ymd</v>
      </c>
      <c r="Q34" s="78" t="str">
        <f t="shared" si="9"/>
        <v>TEXT</v>
      </c>
      <c r="R34" s="78" t="str">
        <f t="shared" si="10"/>
        <v>default '99999999'</v>
      </c>
      <c r="S34" s="78" t="str">
        <f t="shared" si="11"/>
        <v>NOT NULL</v>
      </c>
      <c r="T34" s="78" t="str">
        <f t="shared" si="12"/>
        <v>-- 施行年月日</v>
      </c>
      <c r="U34" s="4"/>
      <c r="AA34" s="4"/>
      <c r="AB34" s="4"/>
      <c r="AC34" s="4"/>
      <c r="AD34" s="4"/>
      <c r="AE34" s="4"/>
      <c r="AF34" s="4"/>
      <c r="AG34" s="4"/>
      <c r="AH34" s="4"/>
      <c r="AI34" s="4"/>
      <c r="AJ34" s="78" t="str">
        <f>IF(E34="○",IF(COUNTA(E$13:E34)=1,"",",")&amp;D34,"")</f>
        <v>,yakkasyusai_ymd</v>
      </c>
      <c r="AK34" s="4"/>
      <c r="AL34" s="4"/>
      <c r="AM34" s="4"/>
      <c r="AN34" s="4"/>
      <c r="AO34" s="4"/>
      <c r="AP34" s="4"/>
      <c r="AQ34" s="4"/>
      <c r="AR34" s="4"/>
      <c r="AS34" s="78"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2527</v>
      </c>
      <c r="D35" s="6" t="s">
        <v>2528</v>
      </c>
      <c r="E35" s="8"/>
      <c r="F35" s="7" t="s">
        <v>739</v>
      </c>
      <c r="G35" s="7" t="str">
        <f t="shared" si="7"/>
        <v>text</v>
      </c>
      <c r="H35" s="26">
        <v>0</v>
      </c>
      <c r="I35" s="10" t="s">
        <v>127</v>
      </c>
      <c r="J35" s="11"/>
      <c r="M35" s="4"/>
      <c r="N35" s="78"/>
      <c r="O35" s="78"/>
      <c r="P35" s="78" t="str">
        <f t="shared" si="8"/>
        <v>,new_f</v>
      </c>
      <c r="Q35" s="78" t="str">
        <f t="shared" si="9"/>
        <v>TEXT</v>
      </c>
      <c r="R35" s="78" t="str">
        <f t="shared" si="10"/>
        <v>default '0'</v>
      </c>
      <c r="S35" s="78" t="str">
        <f t="shared" si="11"/>
        <v>NOT NULL</v>
      </c>
      <c r="T35" s="78" t="str">
        <f t="shared" si="12"/>
        <v>-- 最新フラグ</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milscm_2023_009.sny_202310_backup_mt2_iyakuhin_kanren.new_f IS '最新フラグ';</v>
      </c>
    </row>
    <row r="36" spans="1:52" s="25" customFormat="1" ht="34.799999999999997">
      <c r="A36" s="4"/>
      <c r="B36" s="21">
        <f t="shared" si="2"/>
        <v>24</v>
      </c>
      <c r="C36" s="6" t="s">
        <v>2554</v>
      </c>
      <c r="D36" s="6" t="s">
        <v>1924</v>
      </c>
      <c r="E36" s="8"/>
      <c r="F36" s="7" t="s">
        <v>739</v>
      </c>
      <c r="G36" s="7" t="str">
        <f t="shared" si="7"/>
        <v>text</v>
      </c>
      <c r="H36" s="26">
        <v>0</v>
      </c>
      <c r="I36" s="10" t="s">
        <v>127</v>
      </c>
      <c r="J36" s="11" t="s">
        <v>2619</v>
      </c>
      <c r="M36" s="4"/>
      <c r="N36" s="78"/>
      <c r="O36" s="78"/>
      <c r="P36" s="78" t="str">
        <f t="shared" si="8"/>
        <v>,del_f</v>
      </c>
      <c r="Q36" s="78" t="str">
        <f t="shared" si="9"/>
        <v>TEXT</v>
      </c>
      <c r="R36" s="78" t="str">
        <f t="shared" si="10"/>
        <v>default '0'</v>
      </c>
      <c r="S36" s="78" t="str">
        <f t="shared" si="11"/>
        <v>NOT NULL</v>
      </c>
      <c r="T36" s="78" t="str">
        <f t="shared" si="12"/>
        <v>-- 削除フラグ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milscm_2023_009.sny_202310_backup_mt2_iyakuhin_kanren.del_f IS '削除フラグ';</v>
      </c>
    </row>
    <row r="37" spans="1:52" s="25" customFormat="1" ht="52.2">
      <c r="A37" s="4"/>
      <c r="B37" s="21">
        <f t="shared" si="2"/>
        <v>25</v>
      </c>
      <c r="C37" s="6" t="s">
        <v>1987</v>
      </c>
      <c r="D37" s="6" t="s">
        <v>1926</v>
      </c>
      <c r="E37" s="8"/>
      <c r="F37" s="7" t="s">
        <v>739</v>
      </c>
      <c r="G37" s="7" t="str">
        <f t="shared" si="3"/>
        <v>text</v>
      </c>
      <c r="H37" s="26" t="s">
        <v>1940</v>
      </c>
      <c r="I37" s="10" t="s">
        <v>127</v>
      </c>
      <c r="J37" s="11" t="s">
        <v>2620</v>
      </c>
      <c r="M37" s="4"/>
      <c r="N37" s="78"/>
      <c r="O37" s="78"/>
      <c r="P37" s="78" t="str">
        <f t="shared" si="4"/>
        <v>,henkou_ymd</v>
      </c>
      <c r="Q37" s="78" t="str">
        <f t="shared" si="0"/>
        <v>TEXT</v>
      </c>
      <c r="R37" s="78" t="str">
        <f t="shared" si="1"/>
        <v>default '99999999'</v>
      </c>
      <c r="S37" s="78" t="str">
        <f t="shared" si="5"/>
        <v>NOT NULL</v>
      </c>
      <c r="T37" s="78" t="str">
        <f t="shared" si="6"/>
        <v>-- 変更年月日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milscm_2023_009.sny_202310_backup_mt2_iyakuhin_kanren.henkou_ymd IS '変更年月日';</v>
      </c>
    </row>
    <row r="38" spans="1:52" s="25" customFormat="1" ht="52.8" thickBot="1">
      <c r="A38" s="4"/>
      <c r="B38" s="27">
        <f>ROW()-12</f>
        <v>26</v>
      </c>
      <c r="C38" s="57" t="s">
        <v>1927</v>
      </c>
      <c r="D38" s="57" t="s">
        <v>1928</v>
      </c>
      <c r="E38" s="56"/>
      <c r="F38" s="56" t="s">
        <v>739</v>
      </c>
      <c r="G38" s="56" t="str">
        <f t="shared" si="3"/>
        <v>text</v>
      </c>
      <c r="H38" s="59" t="s">
        <v>1940</v>
      </c>
      <c r="I38" s="60" t="s">
        <v>127</v>
      </c>
      <c r="J38" s="64" t="s">
        <v>2621</v>
      </c>
      <c r="N38" s="78"/>
      <c r="O38" s="78"/>
      <c r="P38" s="78" t="str">
        <f t="shared" si="4"/>
        <v>,del_ymd</v>
      </c>
      <c r="Q38" s="78" t="str">
        <f t="shared" si="0"/>
        <v>TEXT</v>
      </c>
      <c r="R38" s="78" t="str">
        <f t="shared" si="1"/>
        <v>default '99999999'</v>
      </c>
      <c r="S38" s="78" t="str">
        <f t="shared" si="5"/>
        <v>NOT NULL</v>
      </c>
      <c r="T38" s="78" t="str">
        <f t="shared" si="6"/>
        <v>-- 廃止年月日</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milscm_2023_009.sny_202310_backup_mt2_iyakuhin_kanren.del_ymd IS '廃止年月日';</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ENT_01_A4-08</v>
      </c>
      <c r="E6" s="251"/>
      <c r="F6" s="251"/>
      <c r="G6" s="251"/>
      <c r="H6" s="251"/>
      <c r="I6" s="251"/>
      <c r="J6" s="252"/>
    </row>
    <row r="7" spans="1:45">
      <c r="B7" s="240" t="s">
        <v>115</v>
      </c>
      <c r="C7" s="241"/>
      <c r="D7" s="242" t="s">
        <v>2622</v>
      </c>
      <c r="E7" s="243"/>
      <c r="F7" s="243"/>
      <c r="G7" s="243"/>
      <c r="H7" s="243"/>
      <c r="I7" s="243"/>
      <c r="J7" s="244"/>
    </row>
    <row r="8" spans="1:45">
      <c r="B8" s="240" t="s">
        <v>116</v>
      </c>
      <c r="C8" s="241"/>
      <c r="D8" s="242" t="str">
        <f>エンティティ一覧!AE2&amp;"_"&amp;D5&amp;"_mt2_price_kanren"</f>
        <v>sny_202310_backup_mt2_price_kanren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薬価関連マスタテーブルから組入れ条件の第一条件で絞り込んだ結果を格納するテーブル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milscm_2023_009.sny_202310_backup_mt2_price_kanren;</v>
      </c>
      <c r="O10" s="78"/>
      <c r="P10" s="78"/>
      <c r="Q10" s="78"/>
      <c r="R10" s="78"/>
      <c r="S10" s="78"/>
      <c r="T10" s="78"/>
      <c r="AJ10" s="78" t="str">
        <f>"ALTER TABLE ONLY "&amp;エンティティ一覧!$O$2&amp;"."&amp;D$8</f>
        <v>ALTER TABLE ONLY milscm_2023_009.sny_202310_backup_mt2_price_kanren</v>
      </c>
      <c r="AS10" s="78" t="str">
        <f>"ALTER TABLE "&amp;エンティティ一覧!$O$2&amp;"."&amp;D$8&amp;" OWNER TO pgmisgrp1;"</f>
        <v>ALTER TABLE milscm_2023_009.sny_202310_backup_mt2_price_kanren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milscm_2023_009.sny_202310_backup_mt2_price_kanren</v>
      </c>
      <c r="O11" s="78"/>
      <c r="P11" s="78"/>
      <c r="Q11" s="78"/>
      <c r="R11" s="78"/>
      <c r="S11" s="78"/>
      <c r="T11" s="78"/>
      <c r="AJ11" s="78" t="str">
        <f>"ADD CONSTRAINT "&amp;D$8&amp;"_pkey PRIMARY KEY"</f>
        <v>ADD CONSTRAINT sny_202310_backup_mt2_price_kanren_pkey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1177</v>
      </c>
      <c r="D13" s="6" t="s">
        <v>1178</v>
      </c>
      <c r="E13" s="8" t="s">
        <v>127</v>
      </c>
      <c r="F13" s="8" t="s">
        <v>739</v>
      </c>
      <c r="G13" s="7" t="str">
        <f>IF(F13="フラグ","boolean",IF(F13="文字列","text",IF(F13="整数","integer",IF(F13="実数","numeric",""))))</f>
        <v>text</v>
      </c>
      <c r="H13" s="9"/>
      <c r="I13" s="10" t="s">
        <v>127</v>
      </c>
      <c r="J13" s="11" t="s">
        <v>2626</v>
      </c>
      <c r="M13" s="4"/>
      <c r="N13" s="78"/>
      <c r="O13" s="78"/>
      <c r="P13" s="78" t="str">
        <f>IF(B13&lt;&gt;1,","&amp;D13,D13)</f>
        <v>iyakuhin_code</v>
      </c>
      <c r="Q13" s="78" t="str">
        <f t="shared" ref="Q13:Q19" si="0">UPPER(G13)</f>
        <v>TEXT</v>
      </c>
      <c r="R13" s="78" t="str">
        <f t="shared" ref="R13:R19"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iyakuhin_code</v>
      </c>
      <c r="AK13" s="4"/>
      <c r="AL13" s="4"/>
      <c r="AM13" s="4"/>
      <c r="AN13" s="4"/>
      <c r="AO13" s="4"/>
      <c r="AP13" s="4"/>
      <c r="AQ13" s="4"/>
      <c r="AR13" s="4"/>
      <c r="AS13" s="78"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2623</v>
      </c>
      <c r="D14" s="6" t="s">
        <v>2624</v>
      </c>
      <c r="E14" s="8"/>
      <c r="F14" s="7" t="s">
        <v>2625</v>
      </c>
      <c r="G14" s="7" t="str">
        <f t="shared" ref="G14:G19" si="3">IF(F14="フラグ","boolean",IF(F14="文字列","text",IF(F14="整数","integer",IF(F14="実数","numeric",""))))</f>
        <v>numeric</v>
      </c>
      <c r="H14" s="26"/>
      <c r="I14" s="10" t="s">
        <v>127</v>
      </c>
      <c r="J14" s="11" t="s">
        <v>2626</v>
      </c>
      <c r="M14" s="4"/>
      <c r="N14" s="78"/>
      <c r="O14" s="78"/>
      <c r="P14" s="78" t="str">
        <f t="shared" ref="P14:P19" si="4">IF(B14&lt;&gt;1,","&amp;D14,D14)</f>
        <v>,price</v>
      </c>
      <c r="Q14" s="78" t="str">
        <f t="shared" si="0"/>
        <v>NUMERIC</v>
      </c>
      <c r="R14" s="78" t="str">
        <f t="shared" si="1"/>
        <v/>
      </c>
      <c r="S14" s="78" t="str">
        <f t="shared" ref="S14:S19" si="5">IF(I14="○","NOT NULL","")</f>
        <v>NOT NULL</v>
      </c>
      <c r="T14" s="78" t="str">
        <f t="shared" ref="T14:T19" si="6">"-- "&amp;C14</f>
        <v>-- 薬価</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milscm_2023_009.sny_202310_backup_mt2_price_kanren.price IS '薬価';</v>
      </c>
    </row>
    <row r="15" spans="1:45" s="25" customFormat="1" ht="52.2">
      <c r="A15" s="4"/>
      <c r="B15" s="21">
        <f t="shared" si="2"/>
        <v>3</v>
      </c>
      <c r="C15" s="6" t="s">
        <v>1933</v>
      </c>
      <c r="D15" s="6" t="s">
        <v>2606</v>
      </c>
      <c r="E15" s="8" t="s">
        <v>127</v>
      </c>
      <c r="F15" s="7" t="s">
        <v>739</v>
      </c>
      <c r="G15" s="7" t="str">
        <f t="shared" si="3"/>
        <v>text</v>
      </c>
      <c r="H15" s="26">
        <v>99999999</v>
      </c>
      <c r="I15" s="10" t="s">
        <v>127</v>
      </c>
      <c r="J15" s="11" t="s">
        <v>2627</v>
      </c>
      <c r="M15" s="4"/>
      <c r="N15" s="78"/>
      <c r="O15" s="78"/>
      <c r="P15" s="78" t="str">
        <f t="shared" si="4"/>
        <v>,yakkasyusai_ymd</v>
      </c>
      <c r="Q15" s="78" t="str">
        <f t="shared" si="0"/>
        <v>TEXT</v>
      </c>
      <c r="R15" s="78" t="str">
        <f t="shared" si="1"/>
        <v>default '99999999'</v>
      </c>
      <c r="S15" s="78" t="str">
        <f t="shared" si="5"/>
        <v>NOT NULL</v>
      </c>
      <c r="T15" s="78" t="str">
        <f t="shared" si="6"/>
        <v>-- 施行年月日</v>
      </c>
      <c r="U15" s="4"/>
      <c r="AA15" s="4"/>
      <c r="AB15" s="4"/>
      <c r="AC15" s="4"/>
      <c r="AD15" s="4"/>
      <c r="AE15" s="4"/>
      <c r="AF15" s="4"/>
      <c r="AG15" s="4"/>
      <c r="AH15" s="4"/>
      <c r="AI15" s="4"/>
      <c r="AJ15" s="78" t="str">
        <f>IF(E15="○",IF(COUNTA(E$13:E15)=1,"",",")&amp;D15,"")</f>
        <v>,yakkasyusai_ymd</v>
      </c>
      <c r="AK15" s="4"/>
      <c r="AL15" s="4"/>
      <c r="AM15" s="4"/>
      <c r="AN15" s="4"/>
      <c r="AO15" s="4"/>
      <c r="AP15" s="4"/>
      <c r="AQ15" s="4"/>
      <c r="AR15" s="4"/>
      <c r="AS15" s="78"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2527</v>
      </c>
      <c r="D16" s="6" t="s">
        <v>2528</v>
      </c>
      <c r="E16" s="8"/>
      <c r="F16" s="7" t="s">
        <v>739</v>
      </c>
      <c r="G16" s="7" t="str">
        <f t="shared" si="3"/>
        <v>text</v>
      </c>
      <c r="H16" s="26">
        <v>0</v>
      </c>
      <c r="I16" s="10" t="s">
        <v>127</v>
      </c>
      <c r="J16" s="11"/>
      <c r="M16" s="4"/>
      <c r="N16" s="78"/>
      <c r="O16" s="78"/>
      <c r="P16" s="78" t="str">
        <f t="shared" si="4"/>
        <v>,new_f</v>
      </c>
      <c r="Q16" s="78" t="str">
        <f t="shared" si="0"/>
        <v>TEXT</v>
      </c>
      <c r="R16" s="78" t="str">
        <f t="shared" si="1"/>
        <v>default '0'</v>
      </c>
      <c r="S16" s="78" t="str">
        <f t="shared" si="5"/>
        <v>NOT NULL</v>
      </c>
      <c r="T16" s="78" t="str">
        <f t="shared" si="6"/>
        <v>-- 最新フラグ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2554</v>
      </c>
      <c r="D17" s="6" t="s">
        <v>1924</v>
      </c>
      <c r="E17" s="8"/>
      <c r="F17" s="7" t="s">
        <v>739</v>
      </c>
      <c r="G17" s="7" t="str">
        <f t="shared" si="3"/>
        <v>text</v>
      </c>
      <c r="H17" s="26">
        <v>0</v>
      </c>
      <c r="I17" s="10" t="s">
        <v>127</v>
      </c>
      <c r="J17" s="11"/>
      <c r="M17" s="4"/>
      <c r="N17" s="78"/>
      <c r="O17" s="78"/>
      <c r="P17" s="78" t="str">
        <f t="shared" si="4"/>
        <v>,del_f</v>
      </c>
      <c r="Q17" s="78" t="str">
        <f t="shared" si="0"/>
        <v>TEXT</v>
      </c>
      <c r="R17" s="78" t="str">
        <f t="shared" si="1"/>
        <v>default '0'</v>
      </c>
      <c r="S17" s="78" t="str">
        <f t="shared" si="5"/>
        <v>NOT NULL</v>
      </c>
      <c r="T17" s="78" t="str">
        <f t="shared" si="6"/>
        <v>-- 削除フラグ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milscm_2023_009.sny_202310_backup_mt2_price_kanren.del_f IS '削除フラグ';</v>
      </c>
    </row>
    <row r="18" spans="1:52" s="25" customFormat="1" ht="34.799999999999997">
      <c r="A18" s="4"/>
      <c r="B18" s="21">
        <f t="shared" si="2"/>
        <v>6</v>
      </c>
      <c r="C18" s="6" t="s">
        <v>1987</v>
      </c>
      <c r="D18" s="6" t="s">
        <v>1926</v>
      </c>
      <c r="E18" s="8"/>
      <c r="F18" s="7" t="s">
        <v>739</v>
      </c>
      <c r="G18" s="7" t="str">
        <f t="shared" si="3"/>
        <v>text</v>
      </c>
      <c r="H18" s="26">
        <v>99999999</v>
      </c>
      <c r="I18" s="10" t="s">
        <v>127</v>
      </c>
      <c r="J18" s="11" t="s">
        <v>2628</v>
      </c>
      <c r="M18" s="4"/>
      <c r="N18" s="78"/>
      <c r="O18" s="78"/>
      <c r="P18" s="78" t="str">
        <f t="shared" si="4"/>
        <v>,henkou_ymd</v>
      </c>
      <c r="Q18" s="78" t="str">
        <f t="shared" si="0"/>
        <v>TEXT</v>
      </c>
      <c r="R18" s="78" t="str">
        <f t="shared" si="1"/>
        <v>default '99999999'</v>
      </c>
      <c r="S18" s="78" t="str">
        <f t="shared" si="5"/>
        <v>NOT NULL</v>
      </c>
      <c r="T18" s="78" t="str">
        <f t="shared" si="6"/>
        <v>-- 変更年月日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milscm_2023_009.sny_202310_backup_mt2_price_kanren.henkou_ymd IS '変更年月日';</v>
      </c>
    </row>
    <row r="19" spans="1:52" s="25" customFormat="1" ht="35.4" thickBot="1">
      <c r="A19" s="4"/>
      <c r="B19" s="27">
        <f>ROW()-12</f>
        <v>7</v>
      </c>
      <c r="C19" s="57" t="s">
        <v>1927</v>
      </c>
      <c r="D19" s="57" t="s">
        <v>1928</v>
      </c>
      <c r="E19" s="56"/>
      <c r="F19" s="56" t="s">
        <v>739</v>
      </c>
      <c r="G19" s="56" t="str">
        <f t="shared" si="3"/>
        <v>text</v>
      </c>
      <c r="H19" s="59">
        <v>99999999</v>
      </c>
      <c r="I19" s="60" t="s">
        <v>127</v>
      </c>
      <c r="J19" s="64" t="s">
        <v>2628</v>
      </c>
      <c r="N19" s="78"/>
      <c r="O19" s="78"/>
      <c r="P19" s="78" t="str">
        <f t="shared" si="4"/>
        <v>,del_ymd</v>
      </c>
      <c r="Q19" s="78" t="str">
        <f t="shared" si="0"/>
        <v>TEXT</v>
      </c>
      <c r="R19" s="78" t="str">
        <f t="shared" si="1"/>
        <v>default '99999999'</v>
      </c>
      <c r="S19" s="78" t="str">
        <f t="shared" si="5"/>
        <v>NOT NULL</v>
      </c>
      <c r="T19" s="78" t="str">
        <f t="shared" si="6"/>
        <v>-- 廃止年月日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milscm_2023_009.sny_202310_backup_mt2_price_kanren.del_ymd IS '廃止年月日';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ENT_01_A4-09</v>
      </c>
      <c r="E6" s="251"/>
      <c r="F6" s="251"/>
      <c r="G6" s="251"/>
      <c r="H6" s="251"/>
      <c r="I6" s="251"/>
      <c r="J6" s="252"/>
    </row>
    <row r="7" spans="1:45">
      <c r="B7" s="240" t="s">
        <v>115</v>
      </c>
      <c r="C7" s="241"/>
      <c r="D7" s="242" t="s">
        <v>2629</v>
      </c>
      <c r="E7" s="243"/>
      <c r="F7" s="243"/>
      <c r="G7" s="243"/>
      <c r="H7" s="243"/>
      <c r="I7" s="243"/>
      <c r="J7" s="244"/>
    </row>
    <row r="8" spans="1:45">
      <c r="B8" s="240" t="s">
        <v>116</v>
      </c>
      <c r="C8" s="241"/>
      <c r="D8" s="242" t="str">
        <f>エンティティ一覧!AE2&amp;"_"&amp;D5&amp;"_mt2_shinryo_koi_kanren"</f>
        <v>sny_202310_backup_mt2_shinryo_koi_kanren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milscm_2023_009.sny_202310_backup_mt2_shinryo_koi_kanren;</v>
      </c>
      <c r="O10" s="78"/>
      <c r="P10" s="78"/>
      <c r="Q10" s="78"/>
      <c r="R10" s="78"/>
      <c r="S10" s="78"/>
      <c r="T10" s="78"/>
      <c r="AJ10" s="78" t="str">
        <f>"ALTER TABLE ONLY "&amp;エンティティ一覧!$O$2&amp;"."&amp;D$8</f>
        <v>ALTER TABLE ONLY milscm_2023_009.sny_202310_backup_mt2_shinryo_koi_kanren</v>
      </c>
      <c r="AS10" s="78" t="str">
        <f>"ALTER TABLE "&amp;エンティティ一覧!$O$2&amp;"."&amp;D$8&amp;" OWNER TO pgmisgrp1;"</f>
        <v>ALTER TABLE milscm_2023_009.sny_202310_backup_mt2_shinryo_koi_kanren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milscm_2023_009.sny_202310_backup_mt2_shinryo_koi_kanren</v>
      </c>
      <c r="O11" s="78"/>
      <c r="P11" s="78"/>
      <c r="Q11" s="78"/>
      <c r="R11" s="78"/>
      <c r="S11" s="78"/>
      <c r="T11" s="78"/>
      <c r="AJ11" s="78" t="str">
        <f>"ADD CONSTRAINT "&amp;D$8&amp;"_pkey PRIMARY KEY"</f>
        <v>ADD CONSTRAINT sny_202310_backup_mt2_shinryo_koi_kanren_pkey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1145</v>
      </c>
      <c r="D13" s="6" t="s">
        <v>2630</v>
      </c>
      <c r="E13" s="8" t="s">
        <v>127</v>
      </c>
      <c r="F13" s="8" t="s">
        <v>739</v>
      </c>
      <c r="G13" s="7" t="str">
        <f>IF(F13="フラグ","boolean",IF(F13="文字列","text",IF(F13="整数","integer",IF(F13="実数","numeric",""))))</f>
        <v>text</v>
      </c>
      <c r="H13" s="9"/>
      <c r="I13" s="10" t="s">
        <v>127</v>
      </c>
      <c r="J13" s="11" t="s">
        <v>2646</v>
      </c>
      <c r="M13" s="4"/>
      <c r="N13" s="78"/>
      <c r="O13" s="78"/>
      <c r="P13" s="78" t="str">
        <f>IF(B13&lt;&gt;1,","&amp;D13,D13)</f>
        <v>shinryo_koi_cd</v>
      </c>
      <c r="Q13" s="78" t="str">
        <f t="shared" ref="Q13:Q26" si="0">UPPER(G13)</f>
        <v>TEXT</v>
      </c>
      <c r="R13" s="78" t="str">
        <f t="shared" ref="R13:R26" si="1">IF(H13&lt;&gt;"","default "&amp;IF(G13="text","'"&amp;H13&amp;"'",H13),"")</f>
        <v/>
      </c>
      <c r="S13" s="78" t="str">
        <f>IF(I13="○","NOT NULL","")</f>
        <v>NOT NULL</v>
      </c>
      <c r="T13" s="78" t="str">
        <f>"-- "&amp;C13</f>
        <v>-- 診療行為コード</v>
      </c>
      <c r="U13" s="4"/>
      <c r="AA13" s="4"/>
      <c r="AB13" s="4"/>
      <c r="AC13" s="4"/>
      <c r="AD13" s="4"/>
      <c r="AE13" s="4"/>
      <c r="AF13" s="4"/>
      <c r="AG13" s="4"/>
      <c r="AH13" s="4"/>
      <c r="AI13" s="4"/>
      <c r="AJ13" s="78" t="str">
        <f>IF(E13="○",IF(COUNTA(E$13:E13)=1,"",",")&amp;D13,"")</f>
        <v>shinryo_koi_cd</v>
      </c>
      <c r="AK13" s="4"/>
      <c r="AL13" s="4"/>
      <c r="AM13" s="4"/>
      <c r="AN13" s="4"/>
      <c r="AO13" s="4"/>
      <c r="AP13" s="4"/>
      <c r="AQ13" s="4"/>
      <c r="AR13" s="4"/>
      <c r="AS13" s="78"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2631</v>
      </c>
      <c r="D14" s="6" t="s">
        <v>2632</v>
      </c>
      <c r="E14" s="8"/>
      <c r="F14" s="7" t="s">
        <v>739</v>
      </c>
      <c r="G14" s="7" t="str">
        <f t="shared" ref="G14:G26" si="3">IF(F14="フラグ","boolean",IF(F14="文字列","text",IF(F14="整数","integer",IF(F14="実数","numeric",""))))</f>
        <v>text</v>
      </c>
      <c r="H14" s="26"/>
      <c r="I14" s="10"/>
      <c r="J14" s="11" t="s">
        <v>2646</v>
      </c>
      <c r="M14" s="4"/>
      <c r="N14" s="78"/>
      <c r="O14" s="78"/>
      <c r="P14" s="78" t="str">
        <f t="shared" ref="P14:P26" si="4">IF(B14&lt;&gt;1,","&amp;D14,D14)</f>
        <v>,cd_no</v>
      </c>
      <c r="Q14" s="78" t="str">
        <f t="shared" si="0"/>
        <v>TEXT</v>
      </c>
      <c r="R14" s="78" t="str">
        <f t="shared" si="1"/>
        <v/>
      </c>
      <c r="S14" s="78" t="str">
        <f t="shared" ref="S14:S26" si="5">IF(I14="○","NOT NULL","")</f>
        <v/>
      </c>
      <c r="T14" s="78" t="str">
        <f t="shared" ref="T14:T26" si="6">"-- "&amp;C14</f>
        <v>-- アルファベットコード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2633</v>
      </c>
      <c r="D15" s="6" t="s">
        <v>2634</v>
      </c>
      <c r="E15" s="8"/>
      <c r="F15" s="7" t="s">
        <v>739</v>
      </c>
      <c r="G15" s="7" t="str">
        <f t="shared" si="3"/>
        <v>text</v>
      </c>
      <c r="H15" s="26"/>
      <c r="I15" s="10"/>
      <c r="J15" s="11" t="s">
        <v>2646</v>
      </c>
      <c r="M15" s="4"/>
      <c r="N15" s="78"/>
      <c r="O15" s="78"/>
      <c r="P15" s="78" t="str">
        <f t="shared" si="4"/>
        <v>,cd_no_kubun</v>
      </c>
      <c r="Q15" s="78" t="str">
        <f t="shared" si="0"/>
        <v>TEXT</v>
      </c>
      <c r="R15" s="78" t="str">
        <f t="shared" si="1"/>
        <v/>
      </c>
      <c r="S15" s="78" t="str">
        <f t="shared" si="5"/>
        <v/>
      </c>
      <c r="T15" s="78" t="str">
        <f t="shared" si="6"/>
        <v>-- 区分番号</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2635</v>
      </c>
      <c r="D16" s="6" t="s">
        <v>2636</v>
      </c>
      <c r="E16" s="8"/>
      <c r="F16" s="7" t="s">
        <v>739</v>
      </c>
      <c r="G16" s="7" t="str">
        <f t="shared" si="3"/>
        <v>text</v>
      </c>
      <c r="H16" s="26"/>
      <c r="I16" s="10"/>
      <c r="J16" s="11" t="s">
        <v>2646</v>
      </c>
      <c r="M16" s="4"/>
      <c r="N16" s="78"/>
      <c r="O16" s="78"/>
      <c r="P16" s="78" t="str">
        <f t="shared" si="4"/>
        <v>,cd_no_eda</v>
      </c>
      <c r="Q16" s="78" t="str">
        <f t="shared" si="0"/>
        <v>TEXT</v>
      </c>
      <c r="R16" s="78" t="str">
        <f t="shared" si="1"/>
        <v/>
      </c>
      <c r="S16" s="78" t="str">
        <f t="shared" si="5"/>
        <v/>
      </c>
      <c r="T16" s="78" t="str">
        <f t="shared" si="6"/>
        <v>-- 枝番</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2451</v>
      </c>
      <c r="D17" s="6" t="s">
        <v>2637</v>
      </c>
      <c r="E17" s="8"/>
      <c r="F17" s="7" t="s">
        <v>739</v>
      </c>
      <c r="G17" s="7" t="str">
        <f t="shared" si="3"/>
        <v>text</v>
      </c>
      <c r="H17" s="26"/>
      <c r="I17" s="10"/>
      <c r="J17" s="11" t="s">
        <v>2646</v>
      </c>
      <c r="M17" s="4"/>
      <c r="N17" s="78"/>
      <c r="O17" s="78"/>
      <c r="P17" s="78" t="str">
        <f t="shared" si="4"/>
        <v>,cd_no_koh</v>
      </c>
      <c r="Q17" s="78" t="str">
        <f t="shared" si="0"/>
        <v>TEXT</v>
      </c>
      <c r="R17" s="78" t="str">
        <f t="shared" si="1"/>
        <v/>
      </c>
      <c r="S17" s="78" t="str">
        <f t="shared" si="5"/>
        <v/>
      </c>
      <c r="T17" s="78" t="str">
        <f t="shared" si="6"/>
        <v>-- 項番</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2354</v>
      </c>
      <c r="D18" s="6" t="s">
        <v>2638</v>
      </c>
      <c r="E18" s="8"/>
      <c r="F18" s="7" t="s">
        <v>739</v>
      </c>
      <c r="G18" s="7" t="str">
        <f t="shared" si="3"/>
        <v>text</v>
      </c>
      <c r="H18" s="26"/>
      <c r="I18" s="10"/>
      <c r="J18" s="11" t="s">
        <v>2646</v>
      </c>
      <c r="M18" s="4"/>
      <c r="N18" s="78"/>
      <c r="O18" s="78"/>
      <c r="P18" s="78" t="str">
        <f t="shared" si="4"/>
        <v>,kubun_no</v>
      </c>
      <c r="Q18" s="78" t="str">
        <f t="shared" si="0"/>
        <v>TEXT</v>
      </c>
      <c r="R18" s="78" t="str">
        <f t="shared" si="1"/>
        <v/>
      </c>
      <c r="S18" s="78" t="str">
        <f t="shared" si="5"/>
        <v/>
      </c>
      <c r="T18" s="78" t="str">
        <f t="shared" si="6"/>
        <v>-- 点数表区分番号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milscm_2023_009.sny_202310_backup_mt2_shinryo_koi_kanren.kubun_no IS '点数表区分番号';</v>
      </c>
    </row>
    <row r="19" spans="1:52" s="25" customFormat="1" ht="52.2">
      <c r="A19" s="4"/>
      <c r="B19" s="21">
        <f t="shared" si="2"/>
        <v>7</v>
      </c>
      <c r="C19" s="6" t="s">
        <v>1149</v>
      </c>
      <c r="D19" s="6" t="s">
        <v>47</v>
      </c>
      <c r="E19" s="8"/>
      <c r="F19" s="7" t="s">
        <v>2625</v>
      </c>
      <c r="G19" s="7" t="str">
        <f t="shared" si="3"/>
        <v>numeric</v>
      </c>
      <c r="H19" s="26"/>
      <c r="I19" s="10" t="s">
        <v>127</v>
      </c>
      <c r="J19" s="11" t="s">
        <v>2643</v>
      </c>
      <c r="M19" s="4"/>
      <c r="N19" s="78"/>
      <c r="O19" s="78"/>
      <c r="P19" s="78" t="str">
        <f t="shared" si="4"/>
        <v>,point</v>
      </c>
      <c r="Q19" s="78" t="str">
        <f t="shared" si="0"/>
        <v>NUMERIC</v>
      </c>
      <c r="R19" s="78" t="str">
        <f t="shared" si="1"/>
        <v/>
      </c>
      <c r="S19" s="78" t="str">
        <f t="shared" si="5"/>
        <v>NOT NULL</v>
      </c>
      <c r="T19" s="78" t="str">
        <f t="shared" si="6"/>
        <v>-- 点数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milscm_2023_009.sny_202310_backup_mt2_shinryo_koi_kanren.point IS '点数';</v>
      </c>
    </row>
    <row r="20" spans="1:52" s="25" customFormat="1">
      <c r="A20" s="4"/>
      <c r="B20" s="21">
        <f t="shared" si="2"/>
        <v>8</v>
      </c>
      <c r="C20" s="6" t="s">
        <v>2639</v>
      </c>
      <c r="D20" s="6" t="s">
        <v>222</v>
      </c>
      <c r="E20" s="8"/>
      <c r="F20" s="7" t="s">
        <v>739</v>
      </c>
      <c r="G20" s="7" t="str">
        <f t="shared" si="3"/>
        <v>text</v>
      </c>
      <c r="H20" s="26"/>
      <c r="I20" s="10" t="s">
        <v>127</v>
      </c>
      <c r="J20" s="11" t="s">
        <v>2644</v>
      </c>
      <c r="M20" s="4"/>
      <c r="N20" s="78"/>
      <c r="O20" s="78"/>
      <c r="P20" s="78" t="str">
        <f t="shared" si="4"/>
        <v>,shinryo_koi_name</v>
      </c>
      <c r="Q20" s="78" t="str">
        <f t="shared" si="0"/>
        <v>TEXT</v>
      </c>
      <c r="R20" s="78" t="str">
        <f t="shared" si="1"/>
        <v/>
      </c>
      <c r="S20" s="78" t="str">
        <f t="shared" si="5"/>
        <v>NOT NULL</v>
      </c>
      <c r="T20" s="78" t="str">
        <f t="shared" si="6"/>
        <v>-- 診療行為省略名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2640</v>
      </c>
      <c r="D21" s="6" t="s">
        <v>2641</v>
      </c>
      <c r="E21" s="8"/>
      <c r="F21" s="7" t="s">
        <v>739</v>
      </c>
      <c r="G21" s="7" t="str">
        <f t="shared" si="3"/>
        <v>text</v>
      </c>
      <c r="H21" s="26"/>
      <c r="I21" s="10" t="s">
        <v>127</v>
      </c>
      <c r="J21" s="11" t="s">
        <v>2644</v>
      </c>
      <c r="M21" s="4"/>
      <c r="N21" s="78"/>
      <c r="O21" s="78"/>
      <c r="P21" s="78" t="str">
        <f t="shared" si="4"/>
        <v>,shinryo_koi_kihonname</v>
      </c>
      <c r="Q21" s="78" t="str">
        <f t="shared" si="0"/>
        <v>TEXT</v>
      </c>
      <c r="R21" s="78" t="str">
        <f t="shared" si="1"/>
        <v/>
      </c>
      <c r="S21" s="78" t="str">
        <f t="shared" si="5"/>
        <v>NOT NULL</v>
      </c>
      <c r="T21" s="78" t="str">
        <f t="shared" si="6"/>
        <v>-- 診療行為名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milscm_2023_009.sny_202310_backup_mt2_shinryo_koi_kanren.shinryo_koi_kihonname IS '診療行為名';</v>
      </c>
    </row>
    <row r="22" spans="1:52" s="25" customFormat="1" ht="34.799999999999997">
      <c r="A22" s="4"/>
      <c r="B22" s="21">
        <f t="shared" si="2"/>
        <v>10</v>
      </c>
      <c r="C22" s="6" t="s">
        <v>2642</v>
      </c>
      <c r="D22" s="6" t="s">
        <v>1901</v>
      </c>
      <c r="E22" s="8" t="s">
        <v>127</v>
      </c>
      <c r="F22" s="7" t="s">
        <v>739</v>
      </c>
      <c r="G22" s="7" t="str">
        <f t="shared" si="3"/>
        <v>text</v>
      </c>
      <c r="H22" s="26"/>
      <c r="I22" s="10" t="s">
        <v>127</v>
      </c>
      <c r="J22" s="11" t="s">
        <v>2645</v>
      </c>
      <c r="M22" s="4"/>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2527</v>
      </c>
      <c r="D23" s="6" t="s">
        <v>2528</v>
      </c>
      <c r="E23" s="8"/>
      <c r="F23" s="7" t="s">
        <v>739</v>
      </c>
      <c r="G23" s="7" t="str">
        <f t="shared" si="3"/>
        <v>text</v>
      </c>
      <c r="H23" s="26">
        <v>0</v>
      </c>
      <c r="I23" s="10" t="s">
        <v>127</v>
      </c>
      <c r="J23" s="11"/>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milscm_2023_009.sny_202310_backup_mt2_shinryo_koi_kanren.new_f IS '最新フラグ';</v>
      </c>
    </row>
    <row r="24" spans="1:52" s="25" customFormat="1" ht="34.799999999999997">
      <c r="A24" s="4"/>
      <c r="B24" s="21">
        <f t="shared" si="2"/>
        <v>12</v>
      </c>
      <c r="C24" s="6" t="s">
        <v>2554</v>
      </c>
      <c r="D24" s="6" t="s">
        <v>1924</v>
      </c>
      <c r="E24" s="8"/>
      <c r="F24" s="7" t="s">
        <v>739</v>
      </c>
      <c r="G24" s="7" t="str">
        <f t="shared" si="3"/>
        <v>text</v>
      </c>
      <c r="H24" s="26">
        <v>0</v>
      </c>
      <c r="I24" s="10" t="s">
        <v>127</v>
      </c>
      <c r="J24" s="11" t="s">
        <v>2647</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milscm_2023_009.sny_202310_backup_mt2_shinryo_koi_kanren.del_f IS '削除フラグ';</v>
      </c>
    </row>
    <row r="25" spans="1:52" s="25" customFormat="1" ht="34.799999999999997">
      <c r="A25" s="4"/>
      <c r="B25" s="21">
        <f t="shared" si="2"/>
        <v>13</v>
      </c>
      <c r="C25" s="6" t="s">
        <v>1987</v>
      </c>
      <c r="D25" s="6" t="s">
        <v>1926</v>
      </c>
      <c r="E25" s="8"/>
      <c r="F25" s="7" t="s">
        <v>739</v>
      </c>
      <c r="G25" s="7" t="str">
        <f t="shared" si="3"/>
        <v>text</v>
      </c>
      <c r="H25" s="26">
        <v>99999999</v>
      </c>
      <c r="I25" s="10" t="s">
        <v>127</v>
      </c>
      <c r="J25" s="11" t="s">
        <v>2645</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milscm_2023_009.sny_202310_backup_mt2_shinryo_koi_kanren.henkou_ymd IS '変更年月日';</v>
      </c>
    </row>
    <row r="26" spans="1:52" s="25" customFormat="1" ht="35.4" thickBot="1">
      <c r="A26" s="4"/>
      <c r="B26" s="27">
        <f>ROW()-12</f>
        <v>14</v>
      </c>
      <c r="C26" s="57" t="s">
        <v>1927</v>
      </c>
      <c r="D26" s="57" t="s">
        <v>1928</v>
      </c>
      <c r="E26" s="56"/>
      <c r="F26" s="56" t="s">
        <v>739</v>
      </c>
      <c r="G26" s="56" t="str">
        <f t="shared" si="3"/>
        <v>text</v>
      </c>
      <c r="H26" s="59">
        <v>99999999</v>
      </c>
      <c r="I26" s="60" t="s">
        <v>127</v>
      </c>
      <c r="J26" s="64" t="s">
        <v>2648</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milscm_2023_009.sny_202310_backup_mt2_shinryo_koi_kanren.del_ymd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ENT_01_A4-10</v>
      </c>
      <c r="E6" s="251"/>
      <c r="F6" s="251"/>
      <c r="G6" s="251"/>
      <c r="H6" s="251"/>
      <c r="I6" s="251"/>
      <c r="J6" s="252"/>
    </row>
    <row r="7" spans="1:45">
      <c r="B7" s="240" t="s">
        <v>115</v>
      </c>
      <c r="C7" s="241"/>
      <c r="D7" s="242" t="s">
        <v>2649</v>
      </c>
      <c r="E7" s="243"/>
      <c r="F7" s="243"/>
      <c r="G7" s="243"/>
      <c r="H7" s="243"/>
      <c r="I7" s="243"/>
      <c r="J7" s="244"/>
    </row>
    <row r="8" spans="1:45">
      <c r="B8" s="240" t="s">
        <v>116</v>
      </c>
      <c r="C8" s="241"/>
      <c r="D8" s="242" t="str">
        <f>エンティティ一覧!AE2&amp;"_"&amp;D5&amp;"_mt2_tokutei_kizai_kanren"</f>
        <v>sny_202310_backup_mt2_tokutei_kizai_kanren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milscm_2023_009.sny_202310_backup_mt2_tokutei_kizai_kanren;</v>
      </c>
      <c r="O10" s="78"/>
      <c r="P10" s="78"/>
      <c r="Q10" s="78"/>
      <c r="R10" s="78"/>
      <c r="S10" s="78"/>
      <c r="T10" s="78"/>
      <c r="AJ10" s="78" t="str">
        <f>"ALTER TABLE ONLY "&amp;エンティティ一覧!$O$2&amp;"."&amp;D$8</f>
        <v>ALTER TABLE ONLY milscm_2023_009.sny_202310_backup_mt2_tokutei_kizai_kanren</v>
      </c>
      <c r="AS10" s="78" t="str">
        <f>"ALTER TABLE "&amp;エンティティ一覧!$O$2&amp;"."&amp;D$8&amp;" OWNER TO pgmisgrp1;"</f>
        <v>ALTER TABLE milscm_2023_009.sny_202310_backup_mt2_tokutei_kizai_kanren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milscm_2023_009.sny_202310_backup_mt2_tokutei_kizai_kanren</v>
      </c>
      <c r="O11" s="78"/>
      <c r="P11" s="78"/>
      <c r="Q11" s="78"/>
      <c r="R11" s="78"/>
      <c r="S11" s="78"/>
      <c r="T11" s="78"/>
      <c r="AJ11" s="78" t="str">
        <f>"ADD CONSTRAINT "&amp;D$8&amp;"_pkey PRIMARY KEY"</f>
        <v>ADD CONSTRAINT sny_202310_backup_mt2_tokutei_kizai_kanren_pkey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2650</v>
      </c>
      <c r="D13" s="6" t="s">
        <v>2651</v>
      </c>
      <c r="E13" s="8" t="s">
        <v>127</v>
      </c>
      <c r="F13" s="8" t="s">
        <v>739</v>
      </c>
      <c r="G13" s="7" t="str">
        <f>IF(F13="フラグ","boolean",IF(F13="文字列","text",IF(F13="整数","integer",IF(F13="実数","numeric",""))))</f>
        <v>text</v>
      </c>
      <c r="H13" s="9"/>
      <c r="I13" s="10" t="s">
        <v>127</v>
      </c>
      <c r="J13" s="11" t="s">
        <v>2656</v>
      </c>
      <c r="M13" s="4"/>
      <c r="N13" s="78"/>
      <c r="O13" s="78"/>
      <c r="P13" s="78" t="str">
        <f>IF(B13&lt;&gt;1,","&amp;D13,D13)</f>
        <v>tokutei_kizai_cd</v>
      </c>
      <c r="Q13" s="78" t="str">
        <f t="shared" ref="Q13:Q21" si="0">UPPER(G13)</f>
        <v>TEXT</v>
      </c>
      <c r="R13" s="78" t="str">
        <f t="shared" ref="R13:R21" si="1">IF(H13&lt;&gt;"","default "&amp;IF(G13="text","'"&amp;H13&amp;"'",H13),"")</f>
        <v/>
      </c>
      <c r="S13" s="78" t="str">
        <f>IF(I13="○","NOT NULL","")</f>
        <v>NOT NULL</v>
      </c>
      <c r="T13" s="78" t="str">
        <f>"-- "&amp;C13</f>
        <v>-- 特定器材コード</v>
      </c>
      <c r="U13" s="4"/>
      <c r="AA13" s="4"/>
      <c r="AB13" s="4"/>
      <c r="AC13" s="4"/>
      <c r="AD13" s="4"/>
      <c r="AE13" s="4"/>
      <c r="AF13" s="4"/>
      <c r="AG13" s="4"/>
      <c r="AH13" s="4"/>
      <c r="AI13" s="4"/>
      <c r="AJ13" s="78" t="str">
        <f>IF(E13="○",IF(COUNTA(E$13:E13)=1,"",",")&amp;D13,"")</f>
        <v>tokutei_kizai_cd</v>
      </c>
      <c r="AK13" s="4"/>
      <c r="AL13" s="4"/>
      <c r="AM13" s="4"/>
      <c r="AN13" s="4"/>
      <c r="AO13" s="4"/>
      <c r="AP13" s="4"/>
      <c r="AQ13" s="4"/>
      <c r="AR13" s="4"/>
      <c r="AS13" s="78"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2652</v>
      </c>
      <c r="D14" s="6" t="s">
        <v>2653</v>
      </c>
      <c r="E14" s="8"/>
      <c r="F14" s="7" t="s">
        <v>739</v>
      </c>
      <c r="G14" s="7" t="str">
        <f t="shared" ref="G14:G21" si="3">IF(F14="フラグ","boolean",IF(F14="文字列","text",IF(F14="整数","integer",IF(F14="実数","numeric",""))))</f>
        <v>text</v>
      </c>
      <c r="H14" s="26"/>
      <c r="I14" s="10" t="s">
        <v>127</v>
      </c>
      <c r="J14" s="11" t="s">
        <v>2656</v>
      </c>
      <c r="M14" s="4"/>
      <c r="N14" s="78"/>
      <c r="O14" s="78"/>
      <c r="P14" s="78" t="str">
        <f t="shared" ref="P14:P21" si="4">IF(B14&lt;&gt;1,","&amp;D14,D14)</f>
        <v>,tokutei_kizai_name</v>
      </c>
      <c r="Q14" s="78" t="str">
        <f t="shared" si="0"/>
        <v>TEXT</v>
      </c>
      <c r="R14" s="78" t="str">
        <f t="shared" si="1"/>
        <v/>
      </c>
      <c r="S14" s="78" t="str">
        <f t="shared" ref="S14:S21" si="5">IF(I14="○","NOT NULL","")</f>
        <v>NOT NULL</v>
      </c>
      <c r="T14" s="78" t="str">
        <f t="shared" ref="T14:T21" si="6">"-- "&amp;C14</f>
        <v>-- 特定器材名・規格名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1671</v>
      </c>
      <c r="D15" s="6" t="s">
        <v>2654</v>
      </c>
      <c r="E15" s="8"/>
      <c r="F15" s="7" t="s">
        <v>739</v>
      </c>
      <c r="G15" s="7" t="str">
        <f t="shared" si="3"/>
        <v>text</v>
      </c>
      <c r="H15" s="26"/>
      <c r="I15" s="10"/>
      <c r="J15" s="11" t="s">
        <v>2656</v>
      </c>
      <c r="M15" s="4"/>
      <c r="N15" s="78"/>
      <c r="O15" s="78"/>
      <c r="P15" s="78" t="str">
        <f t="shared" si="4"/>
        <v>,tokutei_kizai_tani</v>
      </c>
      <c r="Q15" s="78" t="str">
        <f t="shared" si="0"/>
        <v>TEXT</v>
      </c>
      <c r="R15" s="78" t="str">
        <f t="shared" si="1"/>
        <v/>
      </c>
      <c r="S15" s="78" t="str">
        <f t="shared" si="5"/>
        <v/>
      </c>
      <c r="T15" s="78" t="str">
        <f t="shared" si="6"/>
        <v>-- 単位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milscm_2023_009.sny_202310_backup_mt2_tokutei_kizai_kanren.tokutei_kizai_tani IS '単位';</v>
      </c>
    </row>
    <row r="16" spans="1:45" s="25" customFormat="1" ht="52.2">
      <c r="A16" s="4"/>
      <c r="B16" s="21">
        <f t="shared" si="2"/>
        <v>4</v>
      </c>
      <c r="C16" s="6" t="s">
        <v>2655</v>
      </c>
      <c r="D16" s="6" t="s">
        <v>2624</v>
      </c>
      <c r="E16" s="8"/>
      <c r="F16" s="7" t="s">
        <v>2625</v>
      </c>
      <c r="G16" s="7" t="str">
        <f t="shared" si="3"/>
        <v>numeric</v>
      </c>
      <c r="H16" s="26"/>
      <c r="I16" s="10" t="s">
        <v>127</v>
      </c>
      <c r="J16" s="11" t="s">
        <v>2657</v>
      </c>
      <c r="M16" s="4"/>
      <c r="N16" s="78"/>
      <c r="O16" s="78"/>
      <c r="P16" s="78" t="str">
        <f t="shared" si="4"/>
        <v>,price</v>
      </c>
      <c r="Q16" s="78" t="str">
        <f t="shared" si="0"/>
        <v>NUMERIC</v>
      </c>
      <c r="R16" s="78" t="str">
        <f t="shared" si="1"/>
        <v/>
      </c>
      <c r="S16" s="78" t="str">
        <f t="shared" si="5"/>
        <v>NOT NULL</v>
      </c>
      <c r="T16" s="78" t="str">
        <f t="shared" si="6"/>
        <v>-- 金額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1933</v>
      </c>
      <c r="D17" s="6" t="s">
        <v>1934</v>
      </c>
      <c r="E17" s="8" t="s">
        <v>127</v>
      </c>
      <c r="F17" s="7" t="s">
        <v>739</v>
      </c>
      <c r="G17" s="7" t="str">
        <f t="shared" si="3"/>
        <v>text</v>
      </c>
      <c r="H17" s="26">
        <v>99999999</v>
      </c>
      <c r="I17" s="10" t="s">
        <v>127</v>
      </c>
      <c r="J17" s="11"/>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milscm_2023_009.sny_202310_backup_mt2_tokutei_kizai_kanren.new_f IS '最新フラグ';</v>
      </c>
    </row>
    <row r="19" spans="1:52" s="25" customFormat="1" ht="34.799999999999997">
      <c r="A19" s="4"/>
      <c r="B19" s="21">
        <f t="shared" si="2"/>
        <v>7</v>
      </c>
      <c r="C19" s="6" t="s">
        <v>2554</v>
      </c>
      <c r="D19" s="6" t="s">
        <v>1924</v>
      </c>
      <c r="E19" s="8"/>
      <c r="F19" s="7" t="s">
        <v>739</v>
      </c>
      <c r="G19" s="7" t="str">
        <f t="shared" si="3"/>
        <v>text</v>
      </c>
      <c r="H19" s="26">
        <v>0</v>
      </c>
      <c r="I19" s="10" t="s">
        <v>127</v>
      </c>
      <c r="J19" s="11" t="s">
        <v>2658</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milscm_2023_009.sny_202310_backup_mt2_tokutei_kizai_kanren.del_f IS '削除フラグ';</v>
      </c>
    </row>
    <row r="20" spans="1:52" s="25" customFormat="1" ht="34.799999999999997">
      <c r="A20" s="4"/>
      <c r="B20" s="21">
        <f t="shared" si="2"/>
        <v>8</v>
      </c>
      <c r="C20" s="6" t="s">
        <v>1987</v>
      </c>
      <c r="D20" s="6" t="s">
        <v>1926</v>
      </c>
      <c r="E20" s="8"/>
      <c r="F20" s="7" t="s">
        <v>739</v>
      </c>
      <c r="G20" s="7" t="str">
        <f t="shared" si="3"/>
        <v>text</v>
      </c>
      <c r="H20" s="26">
        <v>99999999</v>
      </c>
      <c r="I20" s="10" t="s">
        <v>127</v>
      </c>
      <c r="J20" s="11" t="s">
        <v>2659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milscm_2023_009.sny_202310_backup_mt2_tokutei_kizai_kanren.henkou_ymd IS '変更年月日';</v>
      </c>
    </row>
    <row r="21" spans="1:52" s="25" customFormat="1" ht="70.2" thickBot="1">
      <c r="A21" s="4"/>
      <c r="B21" s="27">
        <f>ROW()-12</f>
        <v>9</v>
      </c>
      <c r="C21" s="57" t="s">
        <v>1927</v>
      </c>
      <c r="D21" s="57" t="s">
        <v>1928</v>
      </c>
      <c r="E21" s="56"/>
      <c r="F21" s="56" t="s">
        <v>739</v>
      </c>
      <c r="G21" s="56" t="str">
        <f t="shared" si="3"/>
        <v>text</v>
      </c>
      <c r="H21" s="59">
        <v>99999999</v>
      </c>
      <c r="I21" s="60" t="s">
        <v>127</v>
      </c>
      <c r="J21" s="64" t="s">
        <v>2660</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milscm_2023_009.sny_202310_backup_mt2_tokutei_kizai_kanren.del_ymd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ENT_01_A4-11</v>
      </c>
      <c r="E6" s="251"/>
      <c r="F6" s="251"/>
      <c r="G6" s="251"/>
      <c r="H6" s="251"/>
      <c r="I6" s="251"/>
      <c r="J6" s="252"/>
    </row>
    <row r="7" spans="1:45">
      <c r="B7" s="240" t="s">
        <v>115</v>
      </c>
      <c r="C7" s="241"/>
      <c r="D7" s="242" t="s">
        <v>2661</v>
      </c>
      <c r="E7" s="243"/>
      <c r="F7" s="243"/>
      <c r="G7" s="243"/>
      <c r="H7" s="243"/>
      <c r="I7" s="243"/>
      <c r="J7" s="244"/>
    </row>
    <row r="8" spans="1:45">
      <c r="B8" s="240" t="s">
        <v>116</v>
      </c>
      <c r="C8" s="241"/>
      <c r="D8" s="242" t="str">
        <f>エンティティ一覧!AE2&amp;"_"&amp;D5&amp;"_mt2_dpc_kanren"</f>
        <v>sny_202310_backup_mt2_dpc_kanren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milscm_2023_009.sny_202310_backup_mt2_dpc_kanren;</v>
      </c>
      <c r="O10" s="78"/>
      <c r="P10" s="78"/>
      <c r="Q10" s="78"/>
      <c r="R10" s="78"/>
      <c r="S10" s="78"/>
      <c r="T10" s="78"/>
      <c r="AJ10" s="78" t="str">
        <f>"ALTER TABLE ONLY "&amp;エンティティ一覧!$O$2&amp;"."&amp;D$8</f>
        <v>ALTER TABLE ONLY milscm_2023_009.sny_202310_backup_mt2_dpc_kanren</v>
      </c>
      <c r="AS10" s="78" t="str">
        <f>"ALTER TABLE "&amp;エンティティ一覧!$O$2&amp;"."&amp;D$8&amp;" OWNER TO pgmisgrp1;"</f>
        <v>ALTER TABLE milscm_2023_009.sny_202310_backup_mt2_dpc_kanren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milscm_2023_009.sny_202310_backup_mt2_dpc_kanren</v>
      </c>
      <c r="O11" s="78"/>
      <c r="P11" s="78"/>
      <c r="Q11" s="78"/>
      <c r="R11" s="78"/>
      <c r="S11" s="78"/>
      <c r="T11" s="78"/>
      <c r="AJ11" s="78" t="str">
        <f>"ADD CONSTRAINT "&amp;D$8&amp;"_pkey PRIMARY KEY"</f>
        <v>ADD CONSTRAINT sny_202310_backup_mt2_dpc_kanren_pkey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milscm_2023_009.sny_202310_backup_mt2_dpc_kanren IS 'バックアップ_DPC関連マスタ';</v>
      </c>
    </row>
    <row r="13" spans="1:45" s="25" customFormat="1">
      <c r="A13" s="4"/>
      <c r="B13" s="21">
        <f>ROW()-12</f>
        <v>1</v>
      </c>
      <c r="C13" s="6" t="s">
        <v>1948</v>
      </c>
      <c r="D13" s="6" t="s">
        <v>1949</v>
      </c>
      <c r="E13" s="8"/>
      <c r="F13" s="8" t="s">
        <v>739</v>
      </c>
      <c r="G13" s="7" t="str">
        <f>IF(F13="フラグ","boolean",IF(F13="文字列","text",IF(F13="整数","integer",IF(F13="実数","numeric",""))))</f>
        <v>text</v>
      </c>
      <c r="H13" s="9"/>
      <c r="I13" s="10" t="s">
        <v>127</v>
      </c>
      <c r="J13" s="11" t="s">
        <v>2666</v>
      </c>
      <c r="M13" s="4"/>
      <c r="N13" s="78"/>
      <c r="O13" s="78"/>
      <c r="P13" s="78" t="str">
        <f>IF(B13&lt;&gt;1,","&amp;D13,D13)</f>
        <v>dpc2_cd</v>
      </c>
      <c r="Q13" s="78" t="str">
        <f t="shared" ref="Q13:Q21" si="0">UPPER(G13)</f>
        <v>TEXT</v>
      </c>
      <c r="R13" s="78" t="str">
        <f t="shared" ref="R13:R21" si="1">IF(H13&lt;&gt;"","default "&amp;IF(G13="text","'"&amp;H13&amp;"'",H13),"")</f>
        <v/>
      </c>
      <c r="S13" s="78" t="str">
        <f>IF(I13="○","NOT NULL","")</f>
        <v>NOT NULL</v>
      </c>
      <c r="T13" s="78" t="str">
        <f>"-- "&amp;C13</f>
        <v>-- DPCコード2桁</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2662</v>
      </c>
      <c r="D14" s="6" t="s">
        <v>2663</v>
      </c>
      <c r="E14" s="8"/>
      <c r="F14" s="7" t="s">
        <v>739</v>
      </c>
      <c r="G14" s="7" t="str">
        <f t="shared" ref="G14:G21" si="3">IF(F14="フラグ","boolean",IF(F14="文字列","text",IF(F14="整数","integer",IF(F14="実数","numeric",""))))</f>
        <v>text</v>
      </c>
      <c r="H14" s="26"/>
      <c r="I14" s="10" t="s">
        <v>127</v>
      </c>
      <c r="J14" s="11" t="s">
        <v>2666</v>
      </c>
      <c r="M14" s="4"/>
      <c r="N14" s="78"/>
      <c r="O14" s="78"/>
      <c r="P14" s="78" t="str">
        <f t="shared" ref="P14:P21" si="4">IF(B14&lt;&gt;1,","&amp;D14,D14)</f>
        <v>,dpc2_name</v>
      </c>
      <c r="Q14" s="78" t="str">
        <f t="shared" si="0"/>
        <v>TEXT</v>
      </c>
      <c r="R14" s="78" t="str">
        <f t="shared" si="1"/>
        <v/>
      </c>
      <c r="S14" s="78" t="str">
        <f t="shared" ref="S14:S21" si="5">IF(I14="○","NOT NULL","")</f>
        <v>NOT NULL</v>
      </c>
      <c r="T14" s="78" t="str">
        <f t="shared" ref="T14:T21" si="6">"-- "&amp;C14</f>
        <v>-- DPC2桁名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milscm_2023_009.sny_202310_backup_mt2_dpc_kanren.dpc2_name IS 'DPC2桁名';</v>
      </c>
    </row>
    <row r="15" spans="1:45" s="25" customFormat="1" ht="34.799999999999997">
      <c r="A15" s="4"/>
      <c r="B15" s="21">
        <f t="shared" si="2"/>
        <v>3</v>
      </c>
      <c r="C15" s="6" t="s">
        <v>1950</v>
      </c>
      <c r="D15" s="6" t="s">
        <v>1951</v>
      </c>
      <c r="E15" s="8" t="s">
        <v>127</v>
      </c>
      <c r="F15" s="7" t="s">
        <v>739</v>
      </c>
      <c r="G15" s="7" t="str">
        <f t="shared" si="3"/>
        <v>text</v>
      </c>
      <c r="H15" s="26"/>
      <c r="I15" s="10" t="s">
        <v>127</v>
      </c>
      <c r="J15" s="11" t="s">
        <v>2667</v>
      </c>
      <c r="M15" s="4"/>
      <c r="N15" s="78"/>
      <c r="O15" s="78"/>
      <c r="P15" s="78" t="str">
        <f t="shared" si="4"/>
        <v>,dpc6_cd</v>
      </c>
      <c r="Q15" s="78" t="str">
        <f t="shared" si="0"/>
        <v>TEXT</v>
      </c>
      <c r="R15" s="78" t="str">
        <f t="shared" si="1"/>
        <v/>
      </c>
      <c r="S15" s="78" t="str">
        <f t="shared" si="5"/>
        <v>NOT NULL</v>
      </c>
      <c r="T15" s="78" t="str">
        <f t="shared" si="6"/>
        <v>-- DPCコード6桁</v>
      </c>
      <c r="U15" s="4"/>
      <c r="AA15" s="4"/>
      <c r="AB15" s="4"/>
      <c r="AC15" s="4"/>
      <c r="AD15" s="4"/>
      <c r="AE15" s="4"/>
      <c r="AF15" s="4"/>
      <c r="AG15" s="4"/>
      <c r="AH15" s="4"/>
      <c r="AI15" s="4"/>
      <c r="AJ15" s="78" t="str">
        <f>IF(E15="○",IF(COUNTA(E$13:E15)=1,"",",")&amp;D15,"")</f>
        <v>dpc6_cd</v>
      </c>
      <c r="AK15" s="4"/>
      <c r="AL15" s="4"/>
      <c r="AM15" s="4"/>
      <c r="AN15" s="4"/>
      <c r="AO15" s="4"/>
      <c r="AP15" s="4"/>
      <c r="AQ15" s="4"/>
      <c r="AR15" s="4"/>
      <c r="AS15" s="78"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2664</v>
      </c>
      <c r="D16" s="6" t="s">
        <v>2665</v>
      </c>
      <c r="E16" s="8"/>
      <c r="F16" s="7" t="s">
        <v>739</v>
      </c>
      <c r="G16" s="7" t="str">
        <f t="shared" si="3"/>
        <v>text</v>
      </c>
      <c r="H16" s="26"/>
      <c r="I16" s="10" t="s">
        <v>127</v>
      </c>
      <c r="J16" s="11" t="s">
        <v>2668</v>
      </c>
      <c r="M16" s="4"/>
      <c r="N16" s="78"/>
      <c r="O16" s="78"/>
      <c r="P16" s="78" t="str">
        <f t="shared" si="4"/>
        <v>,dpc6_name</v>
      </c>
      <c r="Q16" s="78" t="str">
        <f t="shared" si="0"/>
        <v>TEXT</v>
      </c>
      <c r="R16" s="78" t="str">
        <f t="shared" si="1"/>
        <v/>
      </c>
      <c r="S16" s="78" t="str">
        <f t="shared" si="5"/>
        <v>NOT NULL</v>
      </c>
      <c r="T16" s="78" t="str">
        <f t="shared" si="6"/>
        <v>-- DPC6桁名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milscm_2023_009.sny_202310_backup_mt2_dpc_kanren.dpc6_name IS 'DPC6桁名';</v>
      </c>
    </row>
    <row r="17" spans="1:52" s="25" customFormat="1" ht="34.799999999999997">
      <c r="A17" s="4"/>
      <c r="B17" s="21">
        <f t="shared" si="2"/>
        <v>5</v>
      </c>
      <c r="C17" s="6" t="s">
        <v>1933</v>
      </c>
      <c r="D17" s="6" t="s">
        <v>1934</v>
      </c>
      <c r="E17" s="8" t="s">
        <v>127</v>
      </c>
      <c r="F17" s="7" t="s">
        <v>739</v>
      </c>
      <c r="G17" s="7" t="str">
        <f t="shared" si="3"/>
        <v>text</v>
      </c>
      <c r="H17" s="26">
        <v>99999999</v>
      </c>
      <c r="I17" s="10" t="s">
        <v>127</v>
      </c>
      <c r="J17" s="11" t="s">
        <v>2669</v>
      </c>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milscm_2023_009.sny_202310_backup_mt2_dpc_kanren.new_f IS '最新フラグ';</v>
      </c>
    </row>
    <row r="19" spans="1:52" s="25" customFormat="1">
      <c r="A19" s="4"/>
      <c r="B19" s="21">
        <f t="shared" si="2"/>
        <v>7</v>
      </c>
      <c r="C19" s="6" t="s">
        <v>2554</v>
      </c>
      <c r="D19" s="6" t="s">
        <v>1924</v>
      </c>
      <c r="E19" s="8"/>
      <c r="F19" s="7" t="s">
        <v>739</v>
      </c>
      <c r="G19" s="7" t="str">
        <f t="shared" si="3"/>
        <v>text</v>
      </c>
      <c r="H19" s="26">
        <v>0</v>
      </c>
      <c r="I19" s="10" t="s">
        <v>127</v>
      </c>
      <c r="J19" s="11"/>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milscm_2023_009.sny_202310_backup_mt2_dpc_kanren.del_f IS '削除フラグ';</v>
      </c>
    </row>
    <row r="20" spans="1:52" s="25" customFormat="1" ht="34.799999999999997">
      <c r="A20" s="4"/>
      <c r="B20" s="21">
        <f t="shared" si="2"/>
        <v>8</v>
      </c>
      <c r="C20" s="6" t="s">
        <v>1987</v>
      </c>
      <c r="D20" s="6" t="s">
        <v>1926</v>
      </c>
      <c r="E20" s="8"/>
      <c r="F20" s="7" t="s">
        <v>739</v>
      </c>
      <c r="G20" s="7" t="str">
        <f t="shared" si="3"/>
        <v>text</v>
      </c>
      <c r="H20" s="26">
        <v>99999999</v>
      </c>
      <c r="I20" s="10" t="s">
        <v>127</v>
      </c>
      <c r="J20" s="11" t="s">
        <v>2669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milscm_2023_009.sny_202310_backup_mt2_dpc_kanren.henkou_ymd IS '変更年月日';</v>
      </c>
    </row>
    <row r="21" spans="1:52" s="25" customFormat="1" ht="35.4" thickBot="1">
      <c r="A21" s="4"/>
      <c r="B21" s="27">
        <f>ROW()-12</f>
        <v>9</v>
      </c>
      <c r="C21" s="57" t="s">
        <v>1927</v>
      </c>
      <c r="D21" s="57" t="s">
        <v>1928</v>
      </c>
      <c r="E21" s="56"/>
      <c r="F21" s="56" t="s">
        <v>739</v>
      </c>
      <c r="G21" s="56" t="str">
        <f t="shared" si="3"/>
        <v>text</v>
      </c>
      <c r="H21" s="59">
        <v>99999999</v>
      </c>
      <c r="I21" s="60" t="s">
        <v>127</v>
      </c>
      <c r="J21" s="64" t="s">
        <v>2669</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milscm_2023_009.sny_202310_backup_mt2_dpc_kanren.del_ymd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ENT_01_A4-12</v>
      </c>
      <c r="E6" s="251"/>
      <c r="F6" s="251"/>
      <c r="G6" s="251"/>
      <c r="H6" s="251"/>
      <c r="I6" s="251"/>
      <c r="J6" s="252"/>
    </row>
    <row r="7" spans="1:45">
      <c r="B7" s="240" t="s">
        <v>115</v>
      </c>
      <c r="C7" s="241"/>
      <c r="D7" s="242" t="s">
        <v>2670</v>
      </c>
      <c r="E7" s="243"/>
      <c r="F7" s="243"/>
      <c r="G7" s="243"/>
      <c r="H7" s="243"/>
      <c r="I7" s="243"/>
      <c r="J7" s="244"/>
    </row>
    <row r="8" spans="1:45">
      <c r="B8" s="240" t="s">
        <v>116</v>
      </c>
      <c r="C8" s="241"/>
      <c r="D8" s="242" t="str">
        <f>エンティティ一覧!AE2&amp;"_"&amp;D5&amp;"_mt2_shikkan_kanren"</f>
        <v>sny_202310_backup_mt2_shikkan_kanren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疾患関連マスタテーブルから組入れ条件の第一条件で絞り込んだ結果を格納するテーブル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milscm_2023_009.sny_202310_backup_mt2_shikkan_kanren;</v>
      </c>
      <c r="O10" s="78"/>
      <c r="P10" s="78"/>
      <c r="Q10" s="78"/>
      <c r="R10" s="78"/>
      <c r="S10" s="78"/>
      <c r="T10" s="78"/>
      <c r="AJ10" s="78" t="str">
        <f>"ALTER TABLE ONLY "&amp;エンティティ一覧!$O$2&amp;"."&amp;D$8</f>
        <v>ALTER TABLE ONLY milscm_2023_009.sny_202310_backup_mt2_shikkan_kanren</v>
      </c>
      <c r="AS10" s="78" t="str">
        <f>"ALTER TABLE "&amp;エンティティ一覧!$O$2&amp;"."&amp;D$8&amp;" OWNER TO pgmisgrp1;"</f>
        <v>ALTER TABLE milscm_2023_009.sny_202310_backup_mt2_shikkan_kanren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milscm_2023_009.sny_202310_backup_mt2_shikkan_kanren</v>
      </c>
      <c r="O11" s="78"/>
      <c r="P11" s="78"/>
      <c r="Q11" s="78"/>
      <c r="R11" s="78"/>
      <c r="S11" s="78"/>
      <c r="T11" s="78"/>
      <c r="AJ11" s="78" t="str">
        <f>"ADD CONSTRAINT "&amp;D$8&amp;"_pkey PRIMARY KEY"</f>
        <v>ADD CONSTRAINT sny_202310_backup_mt2_shikkan_kanren_pkey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2671</v>
      </c>
      <c r="D13" s="6" t="s">
        <v>2672</v>
      </c>
      <c r="E13" s="8" t="s">
        <v>127</v>
      </c>
      <c r="F13" s="8" t="s">
        <v>739</v>
      </c>
      <c r="G13" s="7" t="str">
        <f>IF(F13="フラグ","boolean",IF(F13="文字列","text",IF(F13="整数","integer",IF(F13="実数","numeric",""))))</f>
        <v>text</v>
      </c>
      <c r="H13" s="9"/>
      <c r="I13" s="10" t="s">
        <v>127</v>
      </c>
      <c r="J13" s="11" t="s">
        <v>2691</v>
      </c>
      <c r="M13" s="4"/>
      <c r="N13" s="78"/>
      <c r="O13" s="78"/>
      <c r="P13" s="78" t="str">
        <f>IF(B13&lt;&gt;1,","&amp;D13,D13)</f>
        <v>shikkan_cd</v>
      </c>
      <c r="Q13" s="78" t="str">
        <f t="shared" ref="Q13:Q28" si="0">UPPER(G13)</f>
        <v>TEXT</v>
      </c>
      <c r="R13" s="78" t="str">
        <f t="shared" ref="R13:R28" si="1">IF(H13&lt;&gt;"","default "&amp;IF(G13="text","'"&amp;H13&amp;"'",H13),"")</f>
        <v/>
      </c>
      <c r="S13" s="78" t="str">
        <f>IF(I13="○","NOT NULL","")</f>
        <v>NOT NULL</v>
      </c>
      <c r="T13" s="78" t="str">
        <f>"-- "&amp;C13</f>
        <v>-- 疾患コード</v>
      </c>
      <c r="U13" s="4"/>
      <c r="AA13" s="4"/>
      <c r="AB13" s="4"/>
      <c r="AC13" s="4"/>
      <c r="AD13" s="4"/>
      <c r="AE13" s="4"/>
      <c r="AF13" s="4"/>
      <c r="AG13" s="4"/>
      <c r="AH13" s="4"/>
      <c r="AI13" s="4"/>
      <c r="AJ13" s="78" t="str">
        <f>IF(E13="○",IF(COUNTA(E$13:E13)=1,"",",")&amp;D13,"")</f>
        <v>shikkan_cd</v>
      </c>
      <c r="AK13" s="4"/>
      <c r="AL13" s="4"/>
      <c r="AM13" s="4"/>
      <c r="AN13" s="4"/>
      <c r="AO13" s="4"/>
      <c r="AP13" s="4"/>
      <c r="AQ13" s="4"/>
      <c r="AR13" s="4"/>
      <c r="AS13" s="78"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2673</v>
      </c>
      <c r="D14" s="6" t="s">
        <v>2674</v>
      </c>
      <c r="E14" s="8"/>
      <c r="F14" s="7" t="s">
        <v>739</v>
      </c>
      <c r="G14" s="7" t="str">
        <f t="shared" ref="G14:G28" si="3">IF(F14="フラグ","boolean",IF(F14="文字列","text",IF(F14="整数","integer",IF(F14="実数","numeric",""))))</f>
        <v>text</v>
      </c>
      <c r="H14" s="26"/>
      <c r="I14" s="10"/>
      <c r="J14" s="11" t="s">
        <v>2691</v>
      </c>
      <c r="M14" s="4"/>
      <c r="N14" s="78"/>
      <c r="O14" s="78"/>
      <c r="P14" s="78" t="str">
        <f t="shared" ref="P14:P28" si="4">IF(B14&lt;&gt;1,","&amp;D14,D14)</f>
        <v>,icd10_l_cd</v>
      </c>
      <c r="Q14" s="78" t="str">
        <f t="shared" si="0"/>
        <v>TEXT</v>
      </c>
      <c r="R14" s="78" t="str">
        <f t="shared" si="1"/>
        <v/>
      </c>
      <c r="S14" s="78" t="str">
        <f t="shared" ref="S14:S28" si="5">IF(I14="○","NOT NULL","")</f>
        <v/>
      </c>
      <c r="T14" s="78" t="str">
        <f t="shared" ref="T14:T28" si="6">"-- "&amp;C14</f>
        <v>-- ICD10大分類コード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2675</v>
      </c>
      <c r="D15" s="6" t="s">
        <v>2676</v>
      </c>
      <c r="E15" s="8"/>
      <c r="F15" s="7" t="s">
        <v>739</v>
      </c>
      <c r="G15" s="7" t="str">
        <f t="shared" si="3"/>
        <v>text</v>
      </c>
      <c r="H15" s="26"/>
      <c r="I15" s="10"/>
      <c r="J15" s="11" t="s">
        <v>2691</v>
      </c>
      <c r="M15" s="4"/>
      <c r="N15" s="78"/>
      <c r="O15" s="78"/>
      <c r="P15" s="78" t="str">
        <f t="shared" si="4"/>
        <v>,icd10_m_cd</v>
      </c>
      <c r="Q15" s="78" t="str">
        <f t="shared" si="0"/>
        <v>TEXT</v>
      </c>
      <c r="R15" s="78" t="str">
        <f t="shared" si="1"/>
        <v/>
      </c>
      <c r="S15" s="78" t="str">
        <f t="shared" si="5"/>
        <v/>
      </c>
      <c r="T15" s="78" t="str">
        <f t="shared" si="6"/>
        <v>-- ICD10中分類コード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2677</v>
      </c>
      <c r="D16" s="6" t="s">
        <v>897</v>
      </c>
      <c r="E16" s="8"/>
      <c r="F16" s="7" t="s">
        <v>739</v>
      </c>
      <c r="G16" s="7" t="str">
        <f t="shared" si="3"/>
        <v>text</v>
      </c>
      <c r="H16" s="26"/>
      <c r="I16" s="10"/>
      <c r="J16" s="11" t="s">
        <v>2691</v>
      </c>
      <c r="M16" s="4"/>
      <c r="N16" s="78"/>
      <c r="O16" s="78"/>
      <c r="P16" s="78" t="str">
        <f t="shared" si="4"/>
        <v>,icd10_s_cd</v>
      </c>
      <c r="Q16" s="78" t="str">
        <f t="shared" si="0"/>
        <v>TEXT</v>
      </c>
      <c r="R16" s="78" t="str">
        <f t="shared" si="1"/>
        <v/>
      </c>
      <c r="S16" s="78" t="str">
        <f t="shared" si="5"/>
        <v/>
      </c>
      <c r="T16" s="78" t="str">
        <f t="shared" si="6"/>
        <v>-- ICD10小分類コード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2678</v>
      </c>
      <c r="D17" s="6" t="s">
        <v>2679</v>
      </c>
      <c r="E17" s="8"/>
      <c r="F17" s="7" t="s">
        <v>739</v>
      </c>
      <c r="G17" s="7" t="str">
        <f t="shared" si="3"/>
        <v>text</v>
      </c>
      <c r="H17" s="26"/>
      <c r="I17" s="10"/>
      <c r="J17" s="11" t="s">
        <v>2691</v>
      </c>
      <c r="M17" s="4"/>
      <c r="N17" s="78"/>
      <c r="O17" s="78"/>
      <c r="P17" s="78" t="str">
        <f t="shared" si="4"/>
        <v>,icd10_ss_cd</v>
      </c>
      <c r="Q17" s="78" t="str">
        <f t="shared" si="0"/>
        <v>TEXT</v>
      </c>
      <c r="R17" s="78" t="str">
        <f t="shared" si="1"/>
        <v/>
      </c>
      <c r="S17" s="78" t="str">
        <f t="shared" si="5"/>
        <v/>
      </c>
      <c r="T17" s="78" t="str">
        <f t="shared" si="6"/>
        <v>-- ICD10細分類コード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2107</v>
      </c>
      <c r="D18" s="6" t="s">
        <v>2108</v>
      </c>
      <c r="E18" s="8"/>
      <c r="F18" s="7" t="s">
        <v>739</v>
      </c>
      <c r="G18" s="7" t="str">
        <f t="shared" si="3"/>
        <v>text</v>
      </c>
      <c r="H18" s="26"/>
      <c r="I18" s="10" t="s">
        <v>127</v>
      </c>
      <c r="J18" s="11" t="s">
        <v>2691</v>
      </c>
      <c r="M18" s="4"/>
      <c r="N18" s="78"/>
      <c r="O18" s="78"/>
      <c r="P18" s="78" t="str">
        <f t="shared" si="4"/>
        <v>,shikkan_name</v>
      </c>
      <c r="Q18" s="78" t="str">
        <f t="shared" si="0"/>
        <v>TEXT</v>
      </c>
      <c r="R18" s="78" t="str">
        <f t="shared" si="1"/>
        <v/>
      </c>
      <c r="S18" s="78" t="str">
        <f t="shared" si="5"/>
        <v>NOT NULL</v>
      </c>
      <c r="T18" s="78" t="str">
        <f t="shared" si="6"/>
        <v>-- 疾患名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2680</v>
      </c>
      <c r="D19" s="6" t="s">
        <v>2681</v>
      </c>
      <c r="E19" s="8"/>
      <c r="F19" s="7" t="s">
        <v>739</v>
      </c>
      <c r="G19" s="7" t="str">
        <f t="shared" si="3"/>
        <v>text</v>
      </c>
      <c r="H19" s="26"/>
      <c r="I19" s="10"/>
      <c r="J19" s="11" t="s">
        <v>2692</v>
      </c>
      <c r="M19" s="4"/>
      <c r="N19" s="78"/>
      <c r="O19" s="78"/>
      <c r="P19" s="78" t="str">
        <f t="shared" si="4"/>
        <v>,icd10_l_name</v>
      </c>
      <c r="Q19" s="78" t="str">
        <f t="shared" si="0"/>
        <v>TEXT</v>
      </c>
      <c r="R19" s="78" t="str">
        <f t="shared" si="1"/>
        <v/>
      </c>
      <c r="S19" s="78" t="str">
        <f t="shared" si="5"/>
        <v/>
      </c>
      <c r="T19" s="78" t="str">
        <f t="shared" si="6"/>
        <v>-- ICD10大分類名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2682</v>
      </c>
      <c r="D20" s="6" t="s">
        <v>2683</v>
      </c>
      <c r="E20" s="8"/>
      <c r="F20" s="7" t="s">
        <v>739</v>
      </c>
      <c r="G20" s="7" t="str">
        <f t="shared" ref="G20:G26" si="7">IF(F20="フラグ","boolean",IF(F20="文字列","text",IF(F20="整数","integer",IF(F20="実数","numeric",""))))</f>
        <v>text</v>
      </c>
      <c r="H20" s="26"/>
      <c r="I20" s="10"/>
      <c r="J20" s="11" t="s">
        <v>2693</v>
      </c>
      <c r="M20" s="4"/>
      <c r="N20" s="78"/>
      <c r="O20" s="78"/>
      <c r="P20" s="78" t="str">
        <f t="shared" ref="P20:P26" si="8">IF(B20&lt;&gt;1,","&amp;D20,D20)</f>
        <v>,icd10_m_name</v>
      </c>
      <c r="Q20" s="78" t="str">
        <f t="shared" ref="Q20:Q26" si="9">UPPER(G20)</f>
        <v>TEXT</v>
      </c>
      <c r="R20" s="78" t="str">
        <f t="shared" ref="R20:R26" si="10">IF(H20&lt;&gt;"","default "&amp;IF(G20="text","'"&amp;H20&amp;"'",H20),"")</f>
        <v/>
      </c>
      <c r="S20" s="78" t="str">
        <f t="shared" ref="S20:S26" si="11">IF(I20="○","NOT NULL","")</f>
        <v/>
      </c>
      <c r="T20" s="78" t="str">
        <f t="shared" ref="T20:T26" si="12">"-- "&amp;C20</f>
        <v>-- ICD10中分類名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2684</v>
      </c>
      <c r="D21" s="6" t="s">
        <v>898</v>
      </c>
      <c r="E21" s="8"/>
      <c r="F21" s="7" t="s">
        <v>739</v>
      </c>
      <c r="G21" s="7" t="str">
        <f t="shared" si="7"/>
        <v>text</v>
      </c>
      <c r="H21" s="26"/>
      <c r="I21" s="10"/>
      <c r="J21" s="11" t="s">
        <v>2694</v>
      </c>
      <c r="M21" s="4"/>
      <c r="N21" s="78"/>
      <c r="O21" s="78"/>
      <c r="P21" s="78" t="str">
        <f t="shared" si="8"/>
        <v>,icd10_s_name</v>
      </c>
      <c r="Q21" s="78" t="str">
        <f t="shared" si="9"/>
        <v>TEXT</v>
      </c>
      <c r="R21" s="78" t="str">
        <f t="shared" si="10"/>
        <v/>
      </c>
      <c r="S21" s="78" t="str">
        <f t="shared" si="11"/>
        <v/>
      </c>
      <c r="T21" s="78" t="str">
        <f t="shared" si="12"/>
        <v>-- ICD10小分類名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2685</v>
      </c>
      <c r="D22" s="6" t="s">
        <v>2686</v>
      </c>
      <c r="E22" s="8"/>
      <c r="F22" s="7" t="s">
        <v>739</v>
      </c>
      <c r="G22" s="7" t="str">
        <f t="shared" si="7"/>
        <v>text</v>
      </c>
      <c r="H22" s="26"/>
      <c r="I22" s="10"/>
      <c r="J22" s="11" t="s">
        <v>2695</v>
      </c>
      <c r="M22" s="4"/>
      <c r="N22" s="78"/>
      <c r="O22" s="78"/>
      <c r="P22" s="78" t="str">
        <f t="shared" si="8"/>
        <v>,icd10_ss_name</v>
      </c>
      <c r="Q22" s="78" t="str">
        <f t="shared" si="9"/>
        <v>TEXT</v>
      </c>
      <c r="R22" s="78" t="str">
        <f t="shared" si="10"/>
        <v/>
      </c>
      <c r="S22" s="78" t="str">
        <f t="shared" si="11"/>
        <v/>
      </c>
      <c r="T22" s="78" t="str">
        <f t="shared" si="12"/>
        <v>-- ICD10細分類名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milscm_2023_009.sny_202310_backup_mt2_shikkan_kanren.icd10_ss_name IS 'ICD10細分類名';</v>
      </c>
    </row>
    <row r="23" spans="1:52" s="25" customFormat="1" ht="52.2">
      <c r="A23" s="4"/>
      <c r="B23" s="21">
        <f t="shared" si="2"/>
        <v>11</v>
      </c>
      <c r="C23" s="6" t="s">
        <v>2687</v>
      </c>
      <c r="D23" s="6" t="s">
        <v>2688</v>
      </c>
      <c r="E23" s="8" t="s">
        <v>127</v>
      </c>
      <c r="F23" s="7" t="s">
        <v>739</v>
      </c>
      <c r="G23" s="7" t="str">
        <f t="shared" si="7"/>
        <v>text</v>
      </c>
      <c r="H23" s="26">
        <v>0</v>
      </c>
      <c r="I23" s="10"/>
      <c r="J23" s="11" t="s">
        <v>2696</v>
      </c>
      <c r="M23" s="4"/>
      <c r="N23" s="78"/>
      <c r="O23" s="78"/>
      <c r="P23" s="78" t="str">
        <f t="shared" si="8"/>
        <v>,icd10_kubun</v>
      </c>
      <c r="Q23" s="78" t="str">
        <f t="shared" si="9"/>
        <v>TEXT</v>
      </c>
      <c r="R23" s="78" t="str">
        <f t="shared" si="10"/>
        <v>default '0'</v>
      </c>
      <c r="S23" s="78" t="str">
        <f t="shared" si="11"/>
        <v/>
      </c>
      <c r="T23" s="78" t="str">
        <f t="shared" si="12"/>
        <v>-- ICD10区分</v>
      </c>
      <c r="U23" s="4"/>
      <c r="AA23" s="4"/>
      <c r="AB23" s="4"/>
      <c r="AC23" s="4"/>
      <c r="AD23" s="4"/>
      <c r="AE23" s="4"/>
      <c r="AF23" s="4"/>
      <c r="AG23" s="4"/>
      <c r="AH23" s="4"/>
      <c r="AI23" s="4"/>
      <c r="AJ23" s="78" t="str">
        <f>IF(E23="○",IF(COUNTA(E$13:E23)=1,"",",")&amp;D23,"")</f>
        <v>,icd10_kubun</v>
      </c>
      <c r="AK23" s="4"/>
      <c r="AL23" s="4"/>
      <c r="AM23" s="4"/>
      <c r="AN23" s="4"/>
      <c r="AO23" s="4"/>
      <c r="AP23" s="4"/>
      <c r="AQ23" s="4"/>
      <c r="AR23" s="4"/>
      <c r="AS23" s="78" t="str">
        <f>"COMMENT ON COLUMN "&amp;エンティティ一覧!$O$2&amp;"."&amp;D$8&amp;"."&amp;D23&amp;" IS '"&amp;C23&amp;"';"</f>
        <v>COMMENT ON COLUMN milscm_2023_009.sny_202310_backup_mt2_shikkan_kanren.icd10_kubun IS 'ICD10区分';</v>
      </c>
    </row>
    <row r="24" spans="1:52" s="25" customFormat="1" ht="34.799999999999997">
      <c r="A24" s="4"/>
      <c r="B24" s="21">
        <f t="shared" si="2"/>
        <v>12</v>
      </c>
      <c r="C24" s="6" t="s">
        <v>2689</v>
      </c>
      <c r="D24" s="6" t="s">
        <v>1934</v>
      </c>
      <c r="E24" s="8" t="s">
        <v>127</v>
      </c>
      <c r="F24" s="7" t="s">
        <v>739</v>
      </c>
      <c r="G24" s="7" t="str">
        <f t="shared" si="7"/>
        <v>text</v>
      </c>
      <c r="H24" s="26">
        <v>99999999</v>
      </c>
      <c r="I24" s="10" t="s">
        <v>127</v>
      </c>
      <c r="J24" s="11" t="s">
        <v>2697</v>
      </c>
      <c r="M24" s="4"/>
      <c r="N24" s="78"/>
      <c r="O24" s="78"/>
      <c r="P24" s="78" t="str">
        <f t="shared" si="8"/>
        <v>,siko_ymd</v>
      </c>
      <c r="Q24" s="78" t="str">
        <f t="shared" si="9"/>
        <v>TEXT</v>
      </c>
      <c r="R24" s="78" t="str">
        <f t="shared" si="10"/>
        <v>default '99999999'</v>
      </c>
      <c r="S24" s="78" t="str">
        <f t="shared" si="11"/>
        <v>NOT NULL</v>
      </c>
      <c r="T24" s="78" t="str">
        <f t="shared" si="12"/>
        <v>-- 施行年月日</v>
      </c>
      <c r="U24" s="4"/>
      <c r="AA24" s="4"/>
      <c r="AB24" s="4"/>
      <c r="AC24" s="4"/>
      <c r="AD24" s="4"/>
      <c r="AE24" s="4"/>
      <c r="AF24" s="4"/>
      <c r="AG24" s="4"/>
      <c r="AH24" s="4"/>
      <c r="AI24" s="4"/>
      <c r="AJ24" s="78" t="str">
        <f>IF(E24="○",IF(COUNTA(E$13:E24)=1,"",",")&amp;D24,"")</f>
        <v>,siko_ymd</v>
      </c>
      <c r="AK24" s="4"/>
      <c r="AL24" s="4"/>
      <c r="AM24" s="4"/>
      <c r="AN24" s="4"/>
      <c r="AO24" s="4"/>
      <c r="AP24" s="4"/>
      <c r="AQ24" s="4"/>
      <c r="AR24" s="4"/>
      <c r="AS24" s="78" t="str">
        <f>"COMMENT ON COLUMN "&amp;エンティティ一覧!$O$2&amp;"."&amp;D$8&amp;"."&amp;D24&amp;" IS '"&amp;C24&amp;"';"</f>
        <v>COMMENT ON COLUMN milscm_2023_009.sny_202310_backup_mt2_shikkan_kanren.siko_ymd IS '施行年月日';</v>
      </c>
    </row>
    <row r="25" spans="1:52" s="25" customFormat="1" ht="52.2">
      <c r="A25" s="4"/>
      <c r="B25" s="21">
        <f t="shared" si="2"/>
        <v>13</v>
      </c>
      <c r="C25" s="6" t="s">
        <v>2527</v>
      </c>
      <c r="D25" s="6" t="s">
        <v>2528</v>
      </c>
      <c r="E25" s="8"/>
      <c r="F25" s="7" t="s">
        <v>739</v>
      </c>
      <c r="G25" s="7" t="str">
        <f t="shared" si="7"/>
        <v>text</v>
      </c>
      <c r="H25" s="26">
        <v>0</v>
      </c>
      <c r="I25" s="10" t="s">
        <v>127</v>
      </c>
      <c r="J25" s="11" t="s">
        <v>2698</v>
      </c>
      <c r="M25" s="4"/>
      <c r="N25" s="78"/>
      <c r="O25" s="78"/>
      <c r="P25" s="78" t="str">
        <f t="shared" si="8"/>
        <v>,new_f</v>
      </c>
      <c r="Q25" s="78" t="str">
        <f t="shared" si="9"/>
        <v>TEXT</v>
      </c>
      <c r="R25" s="78" t="str">
        <f t="shared" si="10"/>
        <v>default '0'</v>
      </c>
      <c r="S25" s="78" t="str">
        <f t="shared" si="11"/>
        <v>NOT NULL</v>
      </c>
      <c r="T25" s="78" t="str">
        <f t="shared" si="12"/>
        <v>-- 最新フラグ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2554</v>
      </c>
      <c r="D26" s="6" t="s">
        <v>1924</v>
      </c>
      <c r="E26" s="8"/>
      <c r="F26" s="7" t="s">
        <v>739</v>
      </c>
      <c r="G26" s="7" t="str">
        <f t="shared" si="7"/>
        <v>text</v>
      </c>
      <c r="H26" s="26">
        <v>0</v>
      </c>
      <c r="I26" s="10" t="s">
        <v>127</v>
      </c>
      <c r="J26" s="11"/>
      <c r="M26" s="4"/>
      <c r="N26" s="78"/>
      <c r="O26" s="78"/>
      <c r="P26" s="78" t="str">
        <f t="shared" si="8"/>
        <v>,del_f</v>
      </c>
      <c r="Q26" s="78" t="str">
        <f t="shared" si="9"/>
        <v>TEXT</v>
      </c>
      <c r="R26" s="78" t="str">
        <f t="shared" si="10"/>
        <v>default '0'</v>
      </c>
      <c r="S26" s="78" t="str">
        <f t="shared" si="11"/>
        <v>NOT NULL</v>
      </c>
      <c r="T26" s="78" t="str">
        <f t="shared" si="12"/>
        <v>-- 削除フラグ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milscm_2023_009.sny_202310_backup_mt2_shikkan_kanren.del_f IS '削除フラグ';</v>
      </c>
    </row>
    <row r="27" spans="1:52" s="25" customFormat="1" ht="34.799999999999997">
      <c r="A27" s="4"/>
      <c r="B27" s="21">
        <f t="shared" si="2"/>
        <v>15</v>
      </c>
      <c r="C27" s="6" t="s">
        <v>2690</v>
      </c>
      <c r="D27" s="6" t="s">
        <v>1926</v>
      </c>
      <c r="E27" s="8"/>
      <c r="F27" s="7" t="s">
        <v>739</v>
      </c>
      <c r="G27" s="7" t="str">
        <f t="shared" si="3"/>
        <v>text</v>
      </c>
      <c r="H27" s="26">
        <v>99999999</v>
      </c>
      <c r="I27" s="10" t="s">
        <v>127</v>
      </c>
      <c r="J27" s="11" t="s">
        <v>2697</v>
      </c>
      <c r="M27" s="4"/>
      <c r="N27" s="78"/>
      <c r="O27" s="78"/>
      <c r="P27" s="78" t="str">
        <f t="shared" si="4"/>
        <v>,henkou_ymd</v>
      </c>
      <c r="Q27" s="78" t="str">
        <f t="shared" si="0"/>
        <v>TEXT</v>
      </c>
      <c r="R27" s="78" t="str">
        <f t="shared" si="1"/>
        <v>default '99999999'</v>
      </c>
      <c r="S27" s="78" t="str">
        <f t="shared" si="5"/>
        <v>NOT NULL</v>
      </c>
      <c r="T27" s="78" t="str">
        <f t="shared" si="6"/>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milscm_2023_009.sny_202310_backup_mt2_shikkan_kanren.henkou_ymd IS '変更年月日';</v>
      </c>
    </row>
    <row r="28" spans="1:52" s="25" customFormat="1" ht="35.4" thickBot="1">
      <c r="A28" s="4"/>
      <c r="B28" s="27">
        <f>ROW()-12</f>
        <v>16</v>
      </c>
      <c r="C28" s="57" t="s">
        <v>1927</v>
      </c>
      <c r="D28" s="57" t="s">
        <v>1928</v>
      </c>
      <c r="E28" s="56"/>
      <c r="F28" s="56" t="s">
        <v>739</v>
      </c>
      <c r="G28" s="56" t="str">
        <f t="shared" si="3"/>
        <v>text</v>
      </c>
      <c r="H28" s="59">
        <v>99999999</v>
      </c>
      <c r="I28" s="60" t="s">
        <v>127</v>
      </c>
      <c r="J28" s="64" t="s">
        <v>2697</v>
      </c>
      <c r="N28" s="78"/>
      <c r="O28" s="78"/>
      <c r="P28" s="78" t="str">
        <f t="shared" si="4"/>
        <v>,del_ymd</v>
      </c>
      <c r="Q28" s="78" t="str">
        <f t="shared" si="0"/>
        <v>TEXT</v>
      </c>
      <c r="R28" s="78" t="str">
        <f t="shared" si="1"/>
        <v>default '99999999'</v>
      </c>
      <c r="S28" s="78" t="str">
        <f t="shared" si="5"/>
        <v>NOT NULL</v>
      </c>
      <c r="T28" s="78" t="str">
        <f t="shared" si="6"/>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milscm_2023_009.sny_202310_backup_mt2_shikkan_kanren.del_ymd IS '廃止年月日';</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ENT_01_A4-13</v>
      </c>
      <c r="E6" s="251"/>
      <c r="F6" s="251"/>
      <c r="G6" s="251"/>
      <c r="H6" s="251"/>
      <c r="I6" s="251"/>
      <c r="J6" s="252"/>
    </row>
    <row r="7" spans="1:45">
      <c r="B7" s="240" t="s">
        <v>115</v>
      </c>
      <c r="C7" s="241"/>
      <c r="D7" s="242" t="s">
        <v>2699</v>
      </c>
      <c r="E7" s="243"/>
      <c r="F7" s="243"/>
      <c r="G7" s="243"/>
      <c r="H7" s="243"/>
      <c r="I7" s="243"/>
      <c r="J7" s="244"/>
    </row>
    <row r="8" spans="1:45">
      <c r="B8" s="240" t="s">
        <v>116</v>
      </c>
      <c r="C8" s="241"/>
      <c r="D8" s="242" t="str">
        <f>エンティティ一覧!AE2&amp;"_"&amp;D5&amp;"_mt2_iyakuhin_seibun_kanren"</f>
        <v>sny_202310_backup_mt2_iyakuhin_seibun_kanren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milscm_2023_009.sny_202310_backup_mt2_iyakuhin_seibun_kanren;</v>
      </c>
      <c r="O10" s="78"/>
      <c r="P10" s="78"/>
      <c r="Q10" s="78"/>
      <c r="R10" s="78"/>
      <c r="S10" s="78"/>
      <c r="T10" s="78"/>
      <c r="AJ10" s="78" t="str">
        <f>"ALTER TABLE ONLY "&amp;エンティティ一覧!$O$2&amp;"."&amp;D$8</f>
        <v>ALTER TABLE ONLY milscm_2023_009.sny_202310_backup_mt2_iyakuhin_seibun_kanren</v>
      </c>
      <c r="AS10" s="78" t="str">
        <f>"ALTER TABLE "&amp;エンティティ一覧!$O$2&amp;"."&amp;D$8&amp;" OWNER TO pgmisgrp1;"</f>
        <v>ALTER TABLE milscm_2023_009.sny_202310_backup_mt2_iyakuhin_seibun_kanren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milscm_2023_009.sny_202310_backup_mt2_iyakuhin_seibun_kanren</v>
      </c>
      <c r="O11" s="78"/>
      <c r="P11" s="78"/>
      <c r="Q11" s="78"/>
      <c r="R11" s="78"/>
      <c r="S11" s="78"/>
      <c r="T11" s="78"/>
      <c r="AJ11" s="78" t="str">
        <f>"ADD CONSTRAINT "&amp;D$8&amp;"_pkey PRIMARY KEY"</f>
        <v>ADD CONSTRAINT sny_202310_backup_mt2_iyakuhin_seibun_kanren_pkey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2048</v>
      </c>
      <c r="D13" s="6" t="s">
        <v>2700</v>
      </c>
      <c r="E13" s="8" t="s">
        <v>127</v>
      </c>
      <c r="F13" s="8" t="s">
        <v>1757</v>
      </c>
      <c r="G13" s="7" t="str">
        <f>IF(F13="フラグ","boolean",IF(F13="文字列","text",IF(F13="整数","integer",IF(F13="実数","numeric",""))))</f>
        <v>text</v>
      </c>
      <c r="H13" s="9"/>
      <c r="I13" s="10" t="s">
        <v>127</v>
      </c>
      <c r="J13" s="11" t="s">
        <v>2709</v>
      </c>
      <c r="M13" s="4"/>
      <c r="N13" s="78"/>
      <c r="O13" s="78"/>
      <c r="P13" s="78" t="str">
        <f>IF(B13&lt;&gt;1,","&amp;D13,D13)</f>
        <v>yj_cd</v>
      </c>
      <c r="Q13" s="78" t="str">
        <f t="shared" ref="Q13:Q32" si="0">UPPER(G13)</f>
        <v>TEXT</v>
      </c>
      <c r="R13" s="78" t="str">
        <f t="shared" ref="R13:R32"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milscm_2023_009.sny_202310_backup_mt2_iyakuhin_seibun_kanren.yj_cd IS 'ＹＪコード';</v>
      </c>
    </row>
    <row r="14" spans="1:45" s="25" customFormat="1" ht="34.799999999999997">
      <c r="A14" s="4"/>
      <c r="B14" s="21">
        <f t="shared" ref="B14:B31" si="2">ROW()-12</f>
        <v>2</v>
      </c>
      <c r="C14" s="6" t="s">
        <v>1177</v>
      </c>
      <c r="D14" s="6" t="s">
        <v>2567</v>
      </c>
      <c r="E14" s="8"/>
      <c r="F14" s="7" t="s">
        <v>739</v>
      </c>
      <c r="G14" s="7" t="str">
        <f t="shared" ref="G14:G32" si="3">IF(F14="フラグ","boolean",IF(F14="文字列","text",IF(F14="整数","integer",IF(F14="実数","numeric",""))))</f>
        <v>text</v>
      </c>
      <c r="H14" s="26"/>
      <c r="I14" s="10"/>
      <c r="J14" s="11" t="s">
        <v>2710</v>
      </c>
      <c r="M14" s="4"/>
      <c r="N14" s="78"/>
      <c r="O14" s="78"/>
      <c r="P14" s="78" t="str">
        <f t="shared" ref="P14:P32" si="4">IF(B14&lt;&gt;1,","&amp;D14,D14)</f>
        <v>,iyakuhin_cd</v>
      </c>
      <c r="Q14" s="78" t="str">
        <f t="shared" si="0"/>
        <v>TEXT</v>
      </c>
      <c r="R14" s="78" t="str">
        <f t="shared" si="1"/>
        <v/>
      </c>
      <c r="S14" s="78" t="str">
        <f t="shared" ref="S14:S32" si="5">IF(I14="○","NOT NULL","")</f>
        <v/>
      </c>
      <c r="T14" s="78" t="str">
        <f t="shared" ref="T14:T32"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milscm_2023_009.sny_202310_backup_mt2_iyakuhin_seibun_kanren.iyakuhin_cd IS '医薬品コード';</v>
      </c>
    </row>
    <row r="15" spans="1:45" s="25" customFormat="1" ht="34.799999999999997">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milscm_2023_009.sny_202310_backup_mt2_iyakuhin_seibun_kanren.iyakuhin_name IS '医薬品名';</v>
      </c>
    </row>
    <row r="16" spans="1:45" s="25" customFormat="1" ht="52.2">
      <c r="A16" s="4"/>
      <c r="B16" s="21">
        <f t="shared" si="2"/>
        <v>4</v>
      </c>
      <c r="C16" s="6" t="s">
        <v>2050</v>
      </c>
      <c r="D16" s="6" t="s">
        <v>2051</v>
      </c>
      <c r="E16" s="8"/>
      <c r="F16" s="7" t="s">
        <v>1757</v>
      </c>
      <c r="G16" s="7" t="str">
        <f t="shared" si="3"/>
        <v>text</v>
      </c>
      <c r="H16" s="26"/>
      <c r="I16" s="10" t="s">
        <v>127</v>
      </c>
      <c r="J16" s="11" t="s">
        <v>2711</v>
      </c>
      <c r="M16" s="4"/>
      <c r="N16" s="78"/>
      <c r="O16" s="78"/>
      <c r="P16" s="78" t="str">
        <f t="shared" si="4"/>
        <v>,haigozai_f</v>
      </c>
      <c r="Q16" s="78" t="str">
        <f t="shared" si="0"/>
        <v>TEXT</v>
      </c>
      <c r="R16" s="78" t="str">
        <f t="shared" si="1"/>
        <v/>
      </c>
      <c r="S16" s="78" t="str">
        <f t="shared" si="5"/>
        <v>NOT NULL</v>
      </c>
      <c r="T16" s="78" t="str">
        <f t="shared" si="6"/>
        <v>-- 配合剤フラグ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2052</v>
      </c>
      <c r="D17" s="6" t="s">
        <v>2701</v>
      </c>
      <c r="E17" s="8"/>
      <c r="F17" s="7" t="s">
        <v>1757</v>
      </c>
      <c r="G17" s="7" t="str">
        <f t="shared" si="3"/>
        <v>text</v>
      </c>
      <c r="H17" s="26"/>
      <c r="I17" s="10" t="s">
        <v>127</v>
      </c>
      <c r="J17" s="11" t="s">
        <v>2712</v>
      </c>
      <c r="M17" s="4"/>
      <c r="N17" s="78"/>
      <c r="O17" s="78"/>
      <c r="P17" s="78" t="str">
        <f t="shared" si="4"/>
        <v>,seibun_group_cd</v>
      </c>
      <c r="Q17" s="78" t="str">
        <f t="shared" si="0"/>
        <v>TEXT</v>
      </c>
      <c r="R17" s="78" t="str">
        <f t="shared" si="1"/>
        <v/>
      </c>
      <c r="S17" s="78" t="str">
        <f t="shared" si="5"/>
        <v>NOT NULL</v>
      </c>
      <c r="T17" s="78" t="str">
        <f t="shared" si="6"/>
        <v>-- 成分グループコード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2054</v>
      </c>
      <c r="D18" s="6" t="s">
        <v>2702</v>
      </c>
      <c r="E18" s="8" t="s">
        <v>127</v>
      </c>
      <c r="F18" s="7" t="s">
        <v>1757</v>
      </c>
      <c r="G18" s="7" t="str">
        <f t="shared" si="3"/>
        <v>text</v>
      </c>
      <c r="H18" s="26"/>
      <c r="I18" s="10" t="s">
        <v>127</v>
      </c>
      <c r="J18" s="11" t="s">
        <v>2712</v>
      </c>
      <c r="M18" s="4"/>
      <c r="N18" s="78"/>
      <c r="O18" s="78"/>
      <c r="P18" s="78" t="str">
        <f t="shared" si="4"/>
        <v>,seibun_cd</v>
      </c>
      <c r="Q18" s="78" t="str">
        <f t="shared" si="0"/>
        <v>TEXT</v>
      </c>
      <c r="R18" s="78" t="str">
        <f t="shared" si="1"/>
        <v/>
      </c>
      <c r="S18" s="78" t="str">
        <f t="shared" si="5"/>
        <v>NOT NULL</v>
      </c>
      <c r="T18" s="78" t="str">
        <f t="shared" si="6"/>
        <v>-- 成分コード</v>
      </c>
      <c r="U18" s="4"/>
      <c r="AA18" s="4"/>
      <c r="AB18" s="4"/>
      <c r="AC18" s="4"/>
      <c r="AD18" s="4"/>
      <c r="AE18" s="4"/>
      <c r="AF18" s="4"/>
      <c r="AG18" s="4"/>
      <c r="AH18" s="4"/>
      <c r="AI18" s="4"/>
      <c r="AJ18" s="78" t="str">
        <f>IF(E18="○",IF(COUNTA(E$13:E18)=1,"",",")&amp;D18,"")</f>
        <v>,seibun_cd</v>
      </c>
      <c r="AK18" s="4"/>
      <c r="AL18" s="4"/>
      <c r="AM18" s="4"/>
      <c r="AN18" s="4"/>
      <c r="AO18" s="4"/>
      <c r="AP18" s="4"/>
      <c r="AQ18" s="4"/>
      <c r="AR18" s="4"/>
      <c r="AS18" s="78"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2079</v>
      </c>
      <c r="D19" s="6" t="s">
        <v>2080</v>
      </c>
      <c r="E19" s="8"/>
      <c r="F19" s="7" t="s">
        <v>1757</v>
      </c>
      <c r="G19" s="7" t="str">
        <f t="shared" si="3"/>
        <v>text</v>
      </c>
      <c r="H19" s="26"/>
      <c r="I19" s="10" t="s">
        <v>127</v>
      </c>
      <c r="J19" s="11" t="s">
        <v>2713</v>
      </c>
      <c r="M19" s="4"/>
      <c r="N19" s="78"/>
      <c r="O19" s="78"/>
      <c r="P19" s="78" t="str">
        <f t="shared" si="4"/>
        <v>,seibun_name</v>
      </c>
      <c r="Q19" s="78" t="str">
        <f t="shared" si="0"/>
        <v>TEXT</v>
      </c>
      <c r="R19" s="78" t="str">
        <f t="shared" si="1"/>
        <v/>
      </c>
      <c r="S19" s="78" t="str">
        <f t="shared" si="5"/>
        <v>NOT NULL</v>
      </c>
      <c r="T19" s="78" t="str">
        <f t="shared" si="6"/>
        <v>-- 成分名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2056</v>
      </c>
      <c r="D20" s="6" t="s">
        <v>2057</v>
      </c>
      <c r="E20" s="8"/>
      <c r="F20" s="7" t="s">
        <v>1764</v>
      </c>
      <c r="G20" s="7" t="str">
        <f t="shared" si="3"/>
        <v>numeric</v>
      </c>
      <c r="H20" s="26"/>
      <c r="I20" s="10"/>
      <c r="J20" s="11" t="s">
        <v>2712</v>
      </c>
      <c r="M20" s="4"/>
      <c r="N20" s="78"/>
      <c r="O20" s="78"/>
      <c r="P20" s="78" t="str">
        <f t="shared" si="4"/>
        <v>,seibunryo</v>
      </c>
      <c r="Q20" s="78" t="str">
        <f t="shared" si="0"/>
        <v>NUMERIC</v>
      </c>
      <c r="R20" s="78" t="str">
        <f t="shared" si="1"/>
        <v/>
      </c>
      <c r="S20" s="78" t="str">
        <f t="shared" si="5"/>
        <v/>
      </c>
      <c r="T20" s="78" t="str">
        <f t="shared" si="6"/>
        <v>-- 成分量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2058</v>
      </c>
      <c r="D21" s="6" t="s">
        <v>2703</v>
      </c>
      <c r="E21" s="8"/>
      <c r="F21" s="7" t="s">
        <v>1757</v>
      </c>
      <c r="G21" s="7" t="str">
        <f t="shared" si="3"/>
        <v>text</v>
      </c>
      <c r="H21" s="26"/>
      <c r="I21" s="10"/>
      <c r="J21" s="11" t="s">
        <v>2712</v>
      </c>
      <c r="M21" s="4"/>
      <c r="N21" s="78"/>
      <c r="O21" s="78"/>
      <c r="P21" s="78" t="str">
        <f t="shared" si="4"/>
        <v>,seibun_unit_cd</v>
      </c>
      <c r="Q21" s="78" t="str">
        <f t="shared" si="0"/>
        <v>TEXT</v>
      </c>
      <c r="R21" s="78" t="str">
        <f t="shared" si="1"/>
        <v/>
      </c>
      <c r="S21" s="78" t="str">
        <f t="shared" si="5"/>
        <v/>
      </c>
      <c r="T21" s="78" t="str">
        <f t="shared" si="6"/>
        <v>-- 成分単位コード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2704</v>
      </c>
      <c r="D22" s="6" t="s">
        <v>2705</v>
      </c>
      <c r="E22" s="8"/>
      <c r="F22" s="7" t="s">
        <v>1757</v>
      </c>
      <c r="G22" s="7" t="str">
        <f t="shared" si="3"/>
        <v>text</v>
      </c>
      <c r="H22" s="26"/>
      <c r="I22" s="10"/>
      <c r="J22" s="11" t="s">
        <v>2714</v>
      </c>
      <c r="M22" s="4"/>
      <c r="N22" s="78"/>
      <c r="O22" s="78"/>
      <c r="P22" s="78" t="str">
        <f t="shared" si="4"/>
        <v>,seibun_unit_name</v>
      </c>
      <c r="Q22" s="78" t="str">
        <f t="shared" si="0"/>
        <v>TEXT</v>
      </c>
      <c r="R22" s="78" t="str">
        <f t="shared" si="1"/>
        <v/>
      </c>
      <c r="S22" s="78" t="str">
        <f t="shared" si="5"/>
        <v/>
      </c>
      <c r="T22" s="78" t="str">
        <f t="shared" si="6"/>
        <v>-- 成分単位名称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2060</v>
      </c>
      <c r="D23" s="6" t="s">
        <v>2061</v>
      </c>
      <c r="E23" s="8"/>
      <c r="F23" s="7" t="s">
        <v>1764</v>
      </c>
      <c r="G23" s="7" t="str">
        <f t="shared" si="3"/>
        <v>numeric</v>
      </c>
      <c r="H23" s="26"/>
      <c r="I23" s="10"/>
      <c r="J23" s="11" t="s">
        <v>2712</v>
      </c>
      <c r="M23" s="4"/>
      <c r="N23" s="78"/>
      <c r="O23" s="78"/>
      <c r="P23" s="78" t="str">
        <f t="shared" si="4"/>
        <v>,kokuji_kikakuryo</v>
      </c>
      <c r="Q23" s="78" t="str">
        <f t="shared" si="0"/>
        <v>NUMERIC</v>
      </c>
      <c r="R23" s="78" t="str">
        <f t="shared" si="1"/>
        <v/>
      </c>
      <c r="S23" s="78" t="str">
        <f t="shared" si="5"/>
        <v/>
      </c>
      <c r="T23" s="78" t="str">
        <f t="shared" si="6"/>
        <v>-- 告示規格量</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2062</v>
      </c>
      <c r="D24" s="6" t="s">
        <v>2706</v>
      </c>
      <c r="E24" s="8"/>
      <c r="F24" s="7" t="s">
        <v>1757</v>
      </c>
      <c r="G24" s="7" t="str">
        <f t="shared" si="3"/>
        <v>text</v>
      </c>
      <c r="H24" s="26"/>
      <c r="I24" s="10"/>
      <c r="J24" s="11" t="s">
        <v>2712</v>
      </c>
      <c r="M24" s="4"/>
      <c r="N24" s="78"/>
      <c r="O24" s="78"/>
      <c r="P24" s="78" t="str">
        <f t="shared" si="4"/>
        <v>,kokuji_kikaku_unit_cd</v>
      </c>
      <c r="Q24" s="78" t="str">
        <f t="shared" si="0"/>
        <v>TEXT</v>
      </c>
      <c r="R24" s="78" t="str">
        <f t="shared" si="1"/>
        <v/>
      </c>
      <c r="S24" s="78" t="str">
        <f t="shared" si="5"/>
        <v/>
      </c>
      <c r="T24" s="78" t="str">
        <f t="shared" si="6"/>
        <v>-- 告示規格単位コード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milscm_2023_009.sny_202310_backup_mt2_iyakuhin_seibun_kanren.kokuji_kikaku_unit_cd IS '告示規格単位コード';</v>
      </c>
    </row>
    <row r="25" spans="1:45" s="25" customFormat="1" ht="30">
      <c r="A25" s="4"/>
      <c r="B25" s="21">
        <f t="shared" si="2"/>
        <v>13</v>
      </c>
      <c r="C25" s="6" t="s">
        <v>2707</v>
      </c>
      <c r="D25" s="6" t="s">
        <v>2708</v>
      </c>
      <c r="E25" s="8"/>
      <c r="F25" s="7" t="s">
        <v>1757</v>
      </c>
      <c r="G25" s="7" t="str">
        <f t="shared" si="3"/>
        <v>text</v>
      </c>
      <c r="H25" s="26"/>
      <c r="I25" s="10"/>
      <c r="J25" s="11" t="s">
        <v>2714</v>
      </c>
      <c r="M25" s="4"/>
      <c r="N25" s="78"/>
      <c r="O25" s="78"/>
      <c r="P25" s="78" t="str">
        <f t="shared" si="4"/>
        <v>,kokuji_kikaku_unit_name</v>
      </c>
      <c r="Q25" s="78" t="str">
        <f t="shared" si="0"/>
        <v>TEXT</v>
      </c>
      <c r="R25" s="78" t="str">
        <f t="shared" si="1"/>
        <v/>
      </c>
      <c r="S25" s="78" t="str">
        <f t="shared" si="5"/>
        <v/>
      </c>
      <c r="T25" s="78" t="str">
        <f t="shared" si="6"/>
        <v>-- 告示規格単位名称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milscm_2023_009.sny_202310_backup_mt2_iyakuhin_seibun_kanren.kokuji_kikaku_unit_name IS '告示規格単位名称';</v>
      </c>
    </row>
    <row r="26" spans="1:45" s="25" customFormat="1" ht="34.799999999999997">
      <c r="A26" s="4"/>
      <c r="B26" s="21">
        <f t="shared" si="2"/>
        <v>14</v>
      </c>
      <c r="C26" s="6" t="s">
        <v>2135</v>
      </c>
      <c r="D26" s="6" t="s">
        <v>2136</v>
      </c>
      <c r="E26" s="8"/>
      <c r="F26" s="7" t="s">
        <v>1757</v>
      </c>
      <c r="G26" s="7" t="str">
        <f t="shared" si="3"/>
        <v>text</v>
      </c>
      <c r="H26" s="26"/>
      <c r="I26" s="10"/>
      <c r="J26" s="11" t="s">
        <v>2710</v>
      </c>
      <c r="M26" s="4"/>
      <c r="N26" s="78"/>
      <c r="O26" s="78"/>
      <c r="P26" s="78" t="str">
        <f t="shared" si="4"/>
        <v>,kikaku_naiyou</v>
      </c>
      <c r="Q26" s="78" t="str">
        <f t="shared" si="0"/>
        <v>TEXT</v>
      </c>
      <c r="R26" s="78" t="str">
        <f t="shared" si="1"/>
        <v/>
      </c>
      <c r="S26" s="78" t="str">
        <f t="shared" si="5"/>
        <v/>
      </c>
      <c r="T26" s="78" t="str">
        <f t="shared" si="6"/>
        <v>-- 規格内容</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2064</v>
      </c>
      <c r="D27" s="6" t="s">
        <v>2065</v>
      </c>
      <c r="E27" s="8"/>
      <c r="F27" s="7" t="s">
        <v>1757</v>
      </c>
      <c r="G27" s="7" t="str">
        <f t="shared" ref="G27:G30" si="7">IF(F27="フラグ","boolean",IF(F27="文字列","text",IF(F27="整数","integer",IF(F27="実数","numeric",""))))</f>
        <v>text</v>
      </c>
      <c r="H27" s="26"/>
      <c r="I27" s="10"/>
      <c r="J27" s="11" t="s">
        <v>2712</v>
      </c>
      <c r="M27" s="4"/>
      <c r="N27" s="78"/>
      <c r="O27" s="78"/>
      <c r="P27" s="78" t="str">
        <f t="shared" ref="P27:P30" si="8">IF(B27&lt;&gt;1,","&amp;D27,D27)</f>
        <v>,bikou</v>
      </c>
      <c r="Q27" s="78" t="str">
        <f t="shared" ref="Q27:Q30" si="9">UPPER(G27)</f>
        <v>TEXT</v>
      </c>
      <c r="R27" s="78" t="str">
        <f t="shared" ref="R27:R30" si="10">IF(H27&lt;&gt;"","default "&amp;IF(G27="text","'"&amp;H27&amp;"'",H27),"")</f>
        <v/>
      </c>
      <c r="S27" s="78" t="str">
        <f t="shared" ref="S27:S30" si="11">IF(I27="○","NOT NULL","")</f>
        <v/>
      </c>
      <c r="T27" s="78" t="str">
        <f t="shared" ref="T27:T30" si="12">"-- "&amp;C27</f>
        <v>-- 備考</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milscm_2023_009.sny_202310_backup_mt2_iyakuhin_seibun_kanren.bikou IS '備考';</v>
      </c>
    </row>
    <row r="28" spans="1:45" s="25" customFormat="1" ht="34.799999999999997">
      <c r="A28" s="4"/>
      <c r="B28" s="21">
        <f t="shared" si="2"/>
        <v>16</v>
      </c>
      <c r="C28" s="6" t="s">
        <v>2419</v>
      </c>
      <c r="D28" s="6" t="s">
        <v>1901</v>
      </c>
      <c r="E28" s="8" t="s">
        <v>127</v>
      </c>
      <c r="F28" s="7" t="s">
        <v>739</v>
      </c>
      <c r="G28" s="7" t="str">
        <f t="shared" si="7"/>
        <v>text</v>
      </c>
      <c r="H28" s="26" t="s">
        <v>1940</v>
      </c>
      <c r="I28" s="10" t="s">
        <v>127</v>
      </c>
      <c r="J28" s="11" t="s">
        <v>2715</v>
      </c>
      <c r="M28" s="4"/>
      <c r="N28" s="78"/>
      <c r="O28" s="78"/>
      <c r="P28" s="78" t="str">
        <f t="shared" si="8"/>
        <v>,update_ymd</v>
      </c>
      <c r="Q28" s="78" t="str">
        <f t="shared" si="9"/>
        <v>TEXT</v>
      </c>
      <c r="R28" s="78" t="str">
        <f t="shared" si="10"/>
        <v>default '99999999'</v>
      </c>
      <c r="S28" s="78" t="str">
        <f t="shared" si="11"/>
        <v>NOT NULL</v>
      </c>
      <c r="T28" s="78" t="str">
        <f t="shared" si="12"/>
        <v>-- データ登録日</v>
      </c>
      <c r="U28" s="4"/>
      <c r="AA28" s="4"/>
      <c r="AB28" s="4"/>
      <c r="AC28" s="4"/>
      <c r="AD28" s="4"/>
      <c r="AE28" s="4"/>
      <c r="AF28" s="4"/>
      <c r="AG28" s="4"/>
      <c r="AH28" s="4"/>
      <c r="AI28" s="4"/>
      <c r="AJ28" s="78" t="str">
        <f>IF(E28="○",IF(COUNTA(E$13:E28)=1,"",",")&amp;D28,"")</f>
        <v>,update_ymd</v>
      </c>
      <c r="AK28" s="4"/>
      <c r="AL28" s="4"/>
      <c r="AM28" s="4"/>
      <c r="AN28" s="4"/>
      <c r="AO28" s="4"/>
      <c r="AP28" s="4"/>
      <c r="AQ28" s="4"/>
      <c r="AR28" s="4"/>
      <c r="AS28" s="78" t="str">
        <f>"COMMENT ON COLUMN "&amp;エンティティ一覧!$O$2&amp;"."&amp;D$8&amp;"."&amp;D28&amp;" IS '"&amp;C28&amp;"';"</f>
        <v>COMMENT ON COLUMN milscm_2023_009.sny_202310_backup_mt2_iyakuhin_seibun_kanren.update_ymd IS 'データ登録日';</v>
      </c>
    </row>
    <row r="29" spans="1:45" s="25" customFormat="1" ht="52.2">
      <c r="A29" s="4"/>
      <c r="B29" s="21">
        <f t="shared" si="2"/>
        <v>17</v>
      </c>
      <c r="C29" s="6" t="s">
        <v>2527</v>
      </c>
      <c r="D29" s="6" t="s">
        <v>2528</v>
      </c>
      <c r="E29" s="8"/>
      <c r="F29" s="7" t="s">
        <v>739</v>
      </c>
      <c r="G29" s="7" t="str">
        <f t="shared" si="7"/>
        <v>text</v>
      </c>
      <c r="H29" s="26">
        <v>0</v>
      </c>
      <c r="I29" s="10" t="s">
        <v>127</v>
      </c>
      <c r="J29" s="11" t="s">
        <v>2716</v>
      </c>
      <c r="M29" s="4"/>
      <c r="N29" s="78"/>
      <c r="O29" s="78"/>
      <c r="P29" s="78" t="str">
        <f t="shared" si="8"/>
        <v>,new_f</v>
      </c>
      <c r="Q29" s="78" t="str">
        <f t="shared" si="9"/>
        <v>TEXT</v>
      </c>
      <c r="R29" s="78" t="str">
        <f t="shared" si="10"/>
        <v>default '0'</v>
      </c>
      <c r="S29" s="78" t="str">
        <f t="shared" si="11"/>
        <v>NOT NULL</v>
      </c>
      <c r="T29" s="78" t="str">
        <f t="shared" si="12"/>
        <v>-- 最新フラグ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milscm_2023_009.sny_202310_backup_mt2_iyakuhin_seibun_kanren.new_f IS '最新フラグ';</v>
      </c>
    </row>
    <row r="30" spans="1:45" s="25" customFormat="1" ht="52.2">
      <c r="A30" s="4"/>
      <c r="B30" s="21">
        <f t="shared" si="2"/>
        <v>18</v>
      </c>
      <c r="C30" s="6" t="s">
        <v>2554</v>
      </c>
      <c r="D30" s="6" t="s">
        <v>1924</v>
      </c>
      <c r="E30" s="8"/>
      <c r="F30" s="7" t="s">
        <v>739</v>
      </c>
      <c r="G30" s="7" t="str">
        <f t="shared" si="7"/>
        <v>text</v>
      </c>
      <c r="H30" s="26">
        <v>0</v>
      </c>
      <c r="I30" s="10" t="s">
        <v>127</v>
      </c>
      <c r="J30" s="11" t="s">
        <v>2717</v>
      </c>
      <c r="M30" s="4"/>
      <c r="N30" s="78"/>
      <c r="O30" s="78"/>
      <c r="P30" s="78" t="str">
        <f t="shared" si="8"/>
        <v>,del_f</v>
      </c>
      <c r="Q30" s="78" t="str">
        <f t="shared" si="9"/>
        <v>TEXT</v>
      </c>
      <c r="R30" s="78" t="str">
        <f t="shared" si="10"/>
        <v>default '0'</v>
      </c>
      <c r="S30" s="78" t="str">
        <f t="shared" si="11"/>
        <v>NOT NULL</v>
      </c>
      <c r="T30" s="78" t="str">
        <f t="shared" si="12"/>
        <v>-- 削除フラグ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milscm_2023_009.sny_202310_backup_mt2_iyakuhin_seibun_kanren.del_f IS '削除フラグ';</v>
      </c>
    </row>
    <row r="31" spans="1:45" s="25" customFormat="1" ht="121.8">
      <c r="A31" s="4"/>
      <c r="B31" s="21">
        <f t="shared" si="2"/>
        <v>19</v>
      </c>
      <c r="C31" s="6" t="s">
        <v>1987</v>
      </c>
      <c r="D31" s="6" t="s">
        <v>1926</v>
      </c>
      <c r="E31" s="8"/>
      <c r="F31" s="7" t="s">
        <v>739</v>
      </c>
      <c r="G31" s="7" t="str">
        <f t="shared" si="3"/>
        <v>text</v>
      </c>
      <c r="H31" s="26" t="s">
        <v>1940</v>
      </c>
      <c r="I31" s="10" t="s">
        <v>127</v>
      </c>
      <c r="J31" s="11" t="s">
        <v>2718</v>
      </c>
      <c r="M31" s="4"/>
      <c r="N31" s="78"/>
      <c r="O31" s="78"/>
      <c r="P31" s="78" t="str">
        <f t="shared" si="4"/>
        <v>,henkou_ymd</v>
      </c>
      <c r="Q31" s="78" t="str">
        <f t="shared" si="0"/>
        <v>TEXT</v>
      </c>
      <c r="R31" s="78" t="str">
        <f t="shared" si="1"/>
        <v>default '99999999'</v>
      </c>
      <c r="S31" s="78" t="str">
        <f t="shared" si="5"/>
        <v>NOT NULL</v>
      </c>
      <c r="T31" s="78" t="str">
        <f t="shared" si="6"/>
        <v>-- 変更年月日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milscm_2023_009.sny_202310_backup_mt2_iyakuhin_seibun_kanren.henkou_ymd IS '変更年月日';</v>
      </c>
    </row>
    <row r="32" spans="1:45" s="25" customFormat="1" ht="70.2" thickBot="1">
      <c r="A32" s="4"/>
      <c r="B32" s="27">
        <f>ROW()-12</f>
        <v>20</v>
      </c>
      <c r="C32" s="57" t="s">
        <v>1927</v>
      </c>
      <c r="D32" s="57" t="s">
        <v>1928</v>
      </c>
      <c r="E32" s="56"/>
      <c r="F32" s="56" t="s">
        <v>739</v>
      </c>
      <c r="G32" s="56" t="str">
        <f t="shared" si="3"/>
        <v>text</v>
      </c>
      <c r="H32" s="59" t="s">
        <v>1940</v>
      </c>
      <c r="I32" s="60" t="s">
        <v>127</v>
      </c>
      <c r="J32" s="64" t="s">
        <v>2719</v>
      </c>
      <c r="N32" s="78"/>
      <c r="O32" s="78"/>
      <c r="P32" s="78" t="str">
        <f t="shared" si="4"/>
        <v>,del_ymd</v>
      </c>
      <c r="Q32" s="78" t="str">
        <f t="shared" si="0"/>
        <v>TEXT</v>
      </c>
      <c r="R32" s="78" t="str">
        <f t="shared" si="1"/>
        <v>default '99999999'</v>
      </c>
      <c r="S32" s="78" t="str">
        <f t="shared" si="5"/>
        <v>NOT NULL</v>
      </c>
      <c r="T32" s="78" t="str">
        <f t="shared" si="6"/>
        <v>-- 廃止年月日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milscm_2023_009.sny_202310_backup_mt2_iyakuhin_seibun_kanren.del_ymd IS '廃止年月日';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ENT_01_A4-14</v>
      </c>
      <c r="E6" s="251"/>
      <c r="F6" s="251"/>
      <c r="G6" s="251"/>
      <c r="H6" s="251"/>
      <c r="I6" s="251"/>
      <c r="J6" s="252"/>
    </row>
    <row r="7" spans="1:45">
      <c r="B7" s="240" t="s">
        <v>115</v>
      </c>
      <c r="C7" s="241"/>
      <c r="D7" s="242" t="s">
        <v>2720</v>
      </c>
      <c r="E7" s="243"/>
      <c r="F7" s="243"/>
      <c r="G7" s="243"/>
      <c r="H7" s="243"/>
      <c r="I7" s="243"/>
      <c r="J7" s="244"/>
    </row>
    <row r="8" spans="1:45">
      <c r="B8" s="240" t="s">
        <v>116</v>
      </c>
      <c r="C8" s="241"/>
      <c r="D8" s="242" t="str">
        <f>エンティティ一覧!AE2&amp;"_"&amp;D5&amp;"_mt2_iyakuhin_tekiyou_byomei_kanren"</f>
        <v>sny_202310_backup_mt2_iyakuhin_tekiyou_byomei_kanren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milscm_2023_009.sny_202310_backup_mt2_iyakuhin_tekiyou_byomei_kanren;</v>
      </c>
      <c r="O10" s="78"/>
      <c r="P10" s="78"/>
      <c r="Q10" s="78"/>
      <c r="R10" s="78"/>
      <c r="S10" s="78"/>
      <c r="T10" s="78"/>
      <c r="AJ10" s="78" t="str">
        <f>"ALTER TABLE ONLY "&amp;エンティティ一覧!$O$2&amp;"."&amp;D$8</f>
        <v>ALTER TABLE ONLY milscm_2023_009.sny_202310_backup_mt2_iyakuhin_tekiyou_byomei_kanren</v>
      </c>
      <c r="AS10" s="78" t="str">
        <f>"ALTER TABLE "&amp;エンティティ一覧!$O$2&amp;"."&amp;D$8&amp;" OWNER TO pgmisgrp1;"</f>
        <v>ALTER TABLE milscm_2023_009.sny_202310_backup_mt2_iyakuhin_tekiyou_byomei_kanren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milscm_2023_009.sny_202310_backup_mt2_iyakuhin_tekiyou_byomei_kanren</v>
      </c>
      <c r="O11" s="78"/>
      <c r="P11" s="78"/>
      <c r="Q11" s="78"/>
      <c r="R11" s="78"/>
      <c r="S11" s="78"/>
      <c r="T11" s="78"/>
      <c r="AJ11" s="78" t="str">
        <f>"ADD CONSTRAINT "&amp;D$8&amp;"_pkey PRIMARY KEY"</f>
        <v>ADD CONSTRAINT sny_202310_backup_mt2_iyakuhin_tekiyou_byomei_kanren_pkey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milscm_2023_009.sny_202310_backup_mt2_iyakuhin_tekiyou_byomei_kanren IS 'バックアップ_医薬品適用病名関連マスタ';</v>
      </c>
    </row>
    <row r="13" spans="1:45" s="25" customFormat="1" ht="34.799999999999997">
      <c r="A13" s="4"/>
      <c r="B13" s="21">
        <f>ROW()-12</f>
        <v>1</v>
      </c>
      <c r="C13" s="6" t="s">
        <v>2048</v>
      </c>
      <c r="D13" s="6" t="s">
        <v>2700</v>
      </c>
      <c r="E13" s="8" t="s">
        <v>127</v>
      </c>
      <c r="F13" s="8" t="s">
        <v>1757</v>
      </c>
      <c r="G13" s="7" t="str">
        <f>IF(F13="フラグ","boolean",IF(F13="文字列","text",IF(F13="整数","integer",IF(F13="実数","numeric",""))))</f>
        <v>text</v>
      </c>
      <c r="H13" s="9"/>
      <c r="I13" s="10" t="s">
        <v>127</v>
      </c>
      <c r="J13" s="11" t="s">
        <v>2724</v>
      </c>
      <c r="M13" s="4"/>
      <c r="N13" s="78"/>
      <c r="O13" s="78"/>
      <c r="P13" s="78" t="str">
        <f>IF(B13&lt;&gt;1,","&amp;D13,D13)</f>
        <v>yj_cd</v>
      </c>
      <c r="Q13" s="78" t="str">
        <f t="shared" ref="Q13:Q26" si="0">UPPER(G13)</f>
        <v>TEXT</v>
      </c>
      <c r="R13" s="78" t="str">
        <f t="shared" ref="R13:R26"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milscm_2023_009.sny_202310_backup_mt2_iyakuhin_tekiyou_byomei_kanren.yj_cd IS 'ＹＪコード';</v>
      </c>
    </row>
    <row r="14" spans="1:45" s="25" customFormat="1" ht="34.799999999999997">
      <c r="A14" s="4"/>
      <c r="B14" s="21">
        <f t="shared" ref="B14:B25" si="2">ROW()-12</f>
        <v>2</v>
      </c>
      <c r="C14" s="6" t="s">
        <v>1177</v>
      </c>
      <c r="D14" s="6" t="s">
        <v>2567</v>
      </c>
      <c r="E14" s="8"/>
      <c r="F14" s="7" t="s">
        <v>739</v>
      </c>
      <c r="G14" s="7" t="str">
        <f t="shared" ref="G14:G26" si="3">IF(F14="フラグ","boolean",IF(F14="文字列","text",IF(F14="整数","integer",IF(F14="実数","numeric",""))))</f>
        <v>text</v>
      </c>
      <c r="H14" s="26"/>
      <c r="I14" s="10"/>
      <c r="J14" s="11" t="s">
        <v>2725</v>
      </c>
      <c r="M14" s="4"/>
      <c r="N14" s="78"/>
      <c r="O14" s="78"/>
      <c r="P14" s="78" t="str">
        <f t="shared" ref="P14:P26" si="4">IF(B14&lt;&gt;1,","&amp;D14,D14)</f>
        <v>,iyakuhin_cd</v>
      </c>
      <c r="Q14" s="78" t="str">
        <f t="shared" si="0"/>
        <v>TEXT</v>
      </c>
      <c r="R14" s="78" t="str">
        <f t="shared" si="1"/>
        <v/>
      </c>
      <c r="S14" s="78" t="str">
        <f t="shared" ref="S14:S26" si="5">IF(I14="○","NOT NULL","")</f>
        <v/>
      </c>
      <c r="T14" s="78" t="str">
        <f t="shared" ref="T14:T26"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milscm_2023_009.sny_202310_backup_mt2_iyakuhin_tekiyou_byomei_kanren.iyakuhin_cd IS '医薬品コード';</v>
      </c>
    </row>
    <row r="15" spans="1:45" s="25" customFormat="1" ht="34.799999999999997">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milscm_2023_009.sny_202310_backup_mt2_iyakuhin_tekiyou_byomei_kanren.iyakuhin_name IS '医薬品名';</v>
      </c>
    </row>
    <row r="16" spans="1:45" s="25" customFormat="1" ht="34.799999999999997">
      <c r="A16" s="4"/>
      <c r="B16" s="21">
        <f t="shared" si="2"/>
        <v>4</v>
      </c>
      <c r="C16" s="6" t="s">
        <v>2103</v>
      </c>
      <c r="D16" s="6" t="s">
        <v>2721</v>
      </c>
      <c r="E16" s="8" t="s">
        <v>127</v>
      </c>
      <c r="F16" s="7" t="s">
        <v>1757</v>
      </c>
      <c r="G16" s="7" t="str">
        <f t="shared" si="3"/>
        <v>text</v>
      </c>
      <c r="H16" s="26"/>
      <c r="I16" s="10" t="s">
        <v>127</v>
      </c>
      <c r="J16" s="11" t="s">
        <v>2724</v>
      </c>
      <c r="M16" s="4"/>
      <c r="N16" s="78"/>
      <c r="O16" s="78"/>
      <c r="P16" s="78" t="str">
        <f t="shared" si="4"/>
        <v>,tekiyou_byoumei_cd</v>
      </c>
      <c r="Q16" s="78" t="str">
        <f t="shared" si="0"/>
        <v>TEXT</v>
      </c>
      <c r="R16" s="78" t="str">
        <f t="shared" si="1"/>
        <v/>
      </c>
      <c r="S16" s="78" t="str">
        <f t="shared" si="5"/>
        <v>NOT NULL</v>
      </c>
      <c r="T16" s="78" t="str">
        <f t="shared" si="6"/>
        <v>-- 適用病名コード</v>
      </c>
      <c r="U16" s="4"/>
      <c r="AA16" s="4"/>
      <c r="AB16" s="4"/>
      <c r="AC16" s="4"/>
      <c r="AD16" s="4"/>
      <c r="AE16" s="4"/>
      <c r="AF16" s="4"/>
      <c r="AG16" s="4"/>
      <c r="AH16" s="4"/>
      <c r="AI16" s="4"/>
      <c r="AJ16" s="78" t="str">
        <f>IF(E16="○",IF(COUNTA(E$13:E16)=1,"",",")&amp;D16,"")</f>
        <v>,tekiyou_byoumei_cd</v>
      </c>
      <c r="AK16" s="4"/>
      <c r="AL16" s="4"/>
      <c r="AM16" s="4"/>
      <c r="AN16" s="4"/>
      <c r="AO16" s="4"/>
      <c r="AP16" s="4"/>
      <c r="AQ16" s="4"/>
      <c r="AR16" s="4"/>
      <c r="AS16" s="78"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2127</v>
      </c>
      <c r="D17" s="6" t="s">
        <v>2128</v>
      </c>
      <c r="E17" s="8"/>
      <c r="F17" s="7" t="s">
        <v>1757</v>
      </c>
      <c r="G17" s="7" t="str">
        <f t="shared" si="3"/>
        <v>text</v>
      </c>
      <c r="H17" s="26"/>
      <c r="I17" s="10" t="s">
        <v>127</v>
      </c>
      <c r="J17" s="11" t="s">
        <v>2726</v>
      </c>
      <c r="M17" s="4"/>
      <c r="N17" s="78"/>
      <c r="O17" s="78"/>
      <c r="P17" s="78" t="str">
        <f t="shared" si="4"/>
        <v>,tekiyou_byoumei_name</v>
      </c>
      <c r="Q17" s="78" t="str">
        <f t="shared" si="0"/>
        <v>TEXT</v>
      </c>
      <c r="R17" s="78" t="str">
        <f t="shared" si="1"/>
        <v/>
      </c>
      <c r="S17" s="78" t="str">
        <f t="shared" si="5"/>
        <v>NOT NULL</v>
      </c>
      <c r="T17" s="78" t="str">
        <f t="shared" si="6"/>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milscm_2023_009.sny_202310_backup_mt2_iyakuhin_tekiyou_byomei_kanren.tekiyou_byoumei_name IS '適用病名';</v>
      </c>
    </row>
    <row r="18" spans="1:52" s="25" customFormat="1" ht="34.799999999999997">
      <c r="A18" s="4"/>
      <c r="B18" s="21">
        <f t="shared" si="2"/>
        <v>6</v>
      </c>
      <c r="C18" s="6" t="s">
        <v>2105</v>
      </c>
      <c r="D18" s="6" t="s">
        <v>2672</v>
      </c>
      <c r="E18" s="8" t="s">
        <v>127</v>
      </c>
      <c r="F18" s="7" t="s">
        <v>1757</v>
      </c>
      <c r="G18" s="7" t="str">
        <f t="shared" si="3"/>
        <v>text</v>
      </c>
      <c r="H18" s="26"/>
      <c r="I18" s="10" t="s">
        <v>127</v>
      </c>
      <c r="J18" s="11" t="s">
        <v>2727</v>
      </c>
      <c r="M18" s="4"/>
      <c r="N18" s="78"/>
      <c r="O18" s="78"/>
      <c r="P18" s="78" t="str">
        <f t="shared" si="4"/>
        <v>,shikkan_cd</v>
      </c>
      <c r="Q18" s="78" t="str">
        <f t="shared" si="0"/>
        <v>TEXT</v>
      </c>
      <c r="R18" s="78" t="str">
        <f t="shared" si="1"/>
        <v/>
      </c>
      <c r="S18" s="78" t="str">
        <f t="shared" si="5"/>
        <v>NOT NULL</v>
      </c>
      <c r="T18" s="78" t="str">
        <f t="shared" si="6"/>
        <v>-- 疾患コード</v>
      </c>
      <c r="U18" s="4"/>
      <c r="AA18" s="4"/>
      <c r="AB18" s="4"/>
      <c r="AC18" s="4"/>
      <c r="AD18" s="4"/>
      <c r="AE18" s="4"/>
      <c r="AF18" s="4"/>
      <c r="AG18" s="4"/>
      <c r="AH18" s="4"/>
      <c r="AI18" s="4"/>
      <c r="AJ18" s="78" t="str">
        <f>IF(E18="○",IF(COUNTA(E$13:E18)=1,"",",")&amp;D18,"")</f>
        <v>,shikkan_cd</v>
      </c>
      <c r="AK18" s="4"/>
      <c r="AL18" s="4"/>
      <c r="AM18" s="4"/>
      <c r="AN18" s="4"/>
      <c r="AO18" s="4"/>
      <c r="AP18" s="4"/>
      <c r="AQ18" s="4"/>
      <c r="AR18" s="4"/>
      <c r="AS18" s="78" t="str">
        <f>"COMMENT ON COLUMN "&amp;エンティティ一覧!$O$2&amp;"."&amp;D$8&amp;"."&amp;D18&amp;" IS '"&amp;C18&amp;"';"</f>
        <v>COMMENT ON COLUMN milscm_2023_009.sny_202310_backup_mt2_iyakuhin_tekiyou_byomei_kanren.shikkan_cd IS '疾患コード';</v>
      </c>
    </row>
    <row r="19" spans="1:52" s="25" customFormat="1" ht="34.799999999999997">
      <c r="A19" s="4"/>
      <c r="B19" s="21">
        <f t="shared" si="2"/>
        <v>7</v>
      </c>
      <c r="C19" s="6" t="s">
        <v>2107</v>
      </c>
      <c r="D19" s="6" t="s">
        <v>2108</v>
      </c>
      <c r="E19" s="8"/>
      <c r="F19" s="7" t="s">
        <v>1757</v>
      </c>
      <c r="G19" s="7" t="str">
        <f t="shared" si="3"/>
        <v>text</v>
      </c>
      <c r="H19" s="26"/>
      <c r="I19" s="10"/>
      <c r="J19" s="11" t="s">
        <v>2727</v>
      </c>
      <c r="M19" s="4"/>
      <c r="N19" s="78"/>
      <c r="O19" s="78"/>
      <c r="P19" s="78" t="str">
        <f t="shared" si="4"/>
        <v>,shikkan_name</v>
      </c>
      <c r="Q19" s="78" t="str">
        <f t="shared" si="0"/>
        <v>TEXT</v>
      </c>
      <c r="R19" s="78" t="str">
        <f t="shared" si="1"/>
        <v/>
      </c>
      <c r="S19" s="78" t="str">
        <f t="shared" si="5"/>
        <v/>
      </c>
      <c r="T19" s="78" t="str">
        <f t="shared" si="6"/>
        <v>-- 疾患名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milscm_2023_009.sny_202310_backup_mt2_iyakuhin_tekiyou_byomei_kanren.shikkan_name IS '疾患名';</v>
      </c>
    </row>
    <row r="20" spans="1:52" s="25" customFormat="1" ht="69.599999999999994">
      <c r="A20" s="4"/>
      <c r="B20" s="21">
        <f t="shared" si="2"/>
        <v>8</v>
      </c>
      <c r="C20" s="6" t="s">
        <v>2112</v>
      </c>
      <c r="D20" s="6" t="s">
        <v>2722</v>
      </c>
      <c r="E20" s="8"/>
      <c r="F20" s="7" t="s">
        <v>1757</v>
      </c>
      <c r="G20" s="7" t="str">
        <f t="shared" si="3"/>
        <v>text</v>
      </c>
      <c r="H20" s="26"/>
      <c r="I20" s="10"/>
      <c r="J20" s="11" t="s">
        <v>2728</v>
      </c>
      <c r="M20" s="4"/>
      <c r="N20" s="78"/>
      <c r="O20" s="78"/>
      <c r="P20" s="78" t="str">
        <f t="shared" si="4"/>
        <v>,kumiawase_cd</v>
      </c>
      <c r="Q20" s="78" t="str">
        <f t="shared" si="0"/>
        <v>TEXT</v>
      </c>
      <c r="R20" s="78" t="str">
        <f t="shared" si="1"/>
        <v/>
      </c>
      <c r="S20" s="78" t="str">
        <f t="shared" si="5"/>
        <v/>
      </c>
      <c r="T20" s="78" t="str">
        <f t="shared" si="6"/>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milscm_2023_009.sny_202310_backup_mt2_iyakuhin_tekiyou_byomei_kanren.kumiawase_cd IS '組み合わせコード';</v>
      </c>
    </row>
    <row r="21" spans="1:52" s="25" customFormat="1" ht="69.599999999999994">
      <c r="A21" s="4"/>
      <c r="B21" s="21">
        <f t="shared" si="2"/>
        <v>9</v>
      </c>
      <c r="C21" s="6" t="s">
        <v>2114</v>
      </c>
      <c r="D21" s="6" t="s">
        <v>2723</v>
      </c>
      <c r="E21" s="8"/>
      <c r="F21" s="7" t="s">
        <v>1757</v>
      </c>
      <c r="G21" s="7" t="str">
        <f t="shared" si="3"/>
        <v>text</v>
      </c>
      <c r="H21" s="26"/>
      <c r="I21" s="10"/>
      <c r="J21" s="11" t="s">
        <v>2729</v>
      </c>
      <c r="M21" s="4"/>
      <c r="N21" s="78"/>
      <c r="O21" s="78"/>
      <c r="P21" s="78" t="str">
        <f t="shared" si="4"/>
        <v>,kankeisei_cd</v>
      </c>
      <c r="Q21" s="78" t="str">
        <f t="shared" si="0"/>
        <v>TEXT</v>
      </c>
      <c r="R21" s="78" t="str">
        <f t="shared" si="1"/>
        <v/>
      </c>
      <c r="S21" s="78" t="str">
        <f t="shared" si="5"/>
        <v/>
      </c>
      <c r="T21" s="78" t="str">
        <f t="shared" si="6"/>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milscm_2023_009.sny_202310_backup_mt2_iyakuhin_tekiyou_byomei_kanren.kankeisei_cd IS '関係性レベルコード';</v>
      </c>
    </row>
    <row r="22" spans="1:52" s="25" customFormat="1" ht="34.799999999999997">
      <c r="A22" s="4"/>
      <c r="B22" s="21">
        <f t="shared" si="2"/>
        <v>10</v>
      </c>
      <c r="C22" s="6" t="s">
        <v>2419</v>
      </c>
      <c r="D22" s="6" t="s">
        <v>1901</v>
      </c>
      <c r="E22" s="8" t="s">
        <v>127</v>
      </c>
      <c r="F22" s="7" t="s">
        <v>739</v>
      </c>
      <c r="G22" s="7" t="str">
        <f t="shared" si="3"/>
        <v>text</v>
      </c>
      <c r="H22" s="26" t="s">
        <v>1940</v>
      </c>
      <c r="I22" s="10" t="s">
        <v>127</v>
      </c>
      <c r="J22" s="11" t="s">
        <v>2730</v>
      </c>
      <c r="M22" s="4"/>
      <c r="N22" s="78"/>
      <c r="O22" s="78"/>
      <c r="P22" s="78" t="str">
        <f t="shared" si="4"/>
        <v>,update_ymd</v>
      </c>
      <c r="Q22" s="78" t="str">
        <f t="shared" si="0"/>
        <v>TEXT</v>
      </c>
      <c r="R22" s="78" t="str">
        <f t="shared" si="1"/>
        <v>default '99999999'</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milscm_2023_009.sny_202310_backup_mt2_iyakuhin_tekiyou_byomei_kanren.update_ymd IS 'データ登録日';</v>
      </c>
    </row>
    <row r="23" spans="1:52" s="25" customFormat="1" ht="52.2">
      <c r="A23" s="4"/>
      <c r="B23" s="21">
        <f t="shared" si="2"/>
        <v>11</v>
      </c>
      <c r="C23" s="6" t="s">
        <v>2527</v>
      </c>
      <c r="D23" s="6" t="s">
        <v>2528</v>
      </c>
      <c r="E23" s="8"/>
      <c r="F23" s="7" t="s">
        <v>739</v>
      </c>
      <c r="G23" s="7" t="str">
        <f t="shared" si="3"/>
        <v>text</v>
      </c>
      <c r="H23" s="26">
        <v>0</v>
      </c>
      <c r="I23" s="10" t="s">
        <v>127</v>
      </c>
      <c r="J23" s="11" t="s">
        <v>2716</v>
      </c>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milscm_2023_009.sny_202310_backup_mt2_iyakuhin_tekiyou_byomei_kanren.new_f IS '最新フラグ';</v>
      </c>
    </row>
    <row r="24" spans="1:52" s="25" customFormat="1" ht="69.599999999999994">
      <c r="A24" s="4"/>
      <c r="B24" s="21">
        <f t="shared" si="2"/>
        <v>12</v>
      </c>
      <c r="C24" s="6" t="s">
        <v>2554</v>
      </c>
      <c r="D24" s="6" t="s">
        <v>1924</v>
      </c>
      <c r="E24" s="8"/>
      <c r="F24" s="7" t="s">
        <v>739</v>
      </c>
      <c r="G24" s="7" t="str">
        <f t="shared" si="3"/>
        <v>text</v>
      </c>
      <c r="H24" s="26">
        <v>0</v>
      </c>
      <c r="I24" s="10" t="s">
        <v>127</v>
      </c>
      <c r="J24" s="11" t="s">
        <v>2731</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milscm_2023_009.sny_202310_backup_mt2_iyakuhin_tekiyou_byomei_kanren.del_f IS '削除フラグ';</v>
      </c>
    </row>
    <row r="25" spans="1:52" s="25" customFormat="1" ht="139.19999999999999">
      <c r="A25" s="4"/>
      <c r="B25" s="21">
        <f t="shared" si="2"/>
        <v>13</v>
      </c>
      <c r="C25" s="6" t="s">
        <v>1987</v>
      </c>
      <c r="D25" s="6" t="s">
        <v>1926</v>
      </c>
      <c r="E25" s="8"/>
      <c r="F25" s="7" t="s">
        <v>739</v>
      </c>
      <c r="G25" s="7" t="str">
        <f t="shared" si="3"/>
        <v>text</v>
      </c>
      <c r="H25" s="26" t="s">
        <v>1940</v>
      </c>
      <c r="I25" s="10" t="s">
        <v>127</v>
      </c>
      <c r="J25" s="11" t="s">
        <v>2732</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milscm_2023_009.sny_202310_backup_mt2_iyakuhin_tekiyou_byomei_kanren.henkou_ymd IS '変更年月日';</v>
      </c>
    </row>
    <row r="26" spans="1:52" s="25" customFormat="1" ht="87.6" thickBot="1">
      <c r="A26" s="4"/>
      <c r="B26" s="27">
        <f>ROW()-12</f>
        <v>14</v>
      </c>
      <c r="C26" s="57" t="s">
        <v>1927</v>
      </c>
      <c r="D26" s="57" t="s">
        <v>1928</v>
      </c>
      <c r="E26" s="56"/>
      <c r="F26" s="56" t="s">
        <v>739</v>
      </c>
      <c r="G26" s="56" t="str">
        <f t="shared" si="3"/>
        <v>text</v>
      </c>
      <c r="H26" s="59" t="s">
        <v>1940</v>
      </c>
      <c r="I26" s="60" t="s">
        <v>127</v>
      </c>
      <c r="J26" s="64" t="s">
        <v>2733</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milscm_2023_009.sny_202310_backup_mt2_iyakuhin_tekiyou_byomei_kanren.del_ymd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3" t="s">
        <v>2734</v>
      </c>
      <c r="C30" s="87"/>
      <c r="D30" s="84"/>
      <c r="E30" s="84"/>
      <c r="F30" s="84"/>
      <c r="G30" s="84"/>
      <c r="H30" s="84"/>
      <c r="I30" s="84"/>
      <c r="J30" s="84"/>
      <c r="K30" s="84"/>
      <c r="L30" s="84"/>
      <c r="M30" s="88"/>
    </row>
    <row r="31" spans="1:52" s="25" customFormat="1">
      <c r="A31" s="4"/>
      <c r="C31" s="25" t="s">
        <v>2735</v>
      </c>
      <c r="M31" s="12"/>
      <c r="W31" s="4"/>
    </row>
    <row r="32" spans="1:52">
      <c r="B32" s="84" t="s">
        <v>2736</v>
      </c>
      <c r="C32" s="84"/>
      <c r="D32" s="84"/>
      <c r="E32" s="84"/>
      <c r="F32" s="84"/>
      <c r="G32" s="84"/>
      <c r="H32" s="84"/>
      <c r="I32" s="84"/>
      <c r="J32" s="84"/>
      <c r="K32" s="84"/>
      <c r="L32" s="84"/>
      <c r="M32" s="88"/>
    </row>
    <row r="33" spans="1:23">
      <c r="B33" s="84"/>
      <c r="C33" s="85" t="s">
        <v>2737</v>
      </c>
      <c r="D33" s="256" t="s">
        <v>2738</v>
      </c>
      <c r="E33" s="257"/>
      <c r="F33" s="257"/>
      <c r="G33" s="257"/>
      <c r="H33" s="258"/>
      <c r="I33" s="256" t="s">
        <v>2739</v>
      </c>
      <c r="J33" s="258"/>
    </row>
    <row r="34" spans="1:23" ht="18.75" customHeight="1">
      <c r="B34" s="84"/>
      <c r="C34" s="86" t="s">
        <v>2740</v>
      </c>
      <c r="D34" s="253" t="s">
        <v>2741</v>
      </c>
      <c r="E34" s="254"/>
      <c r="F34" s="254"/>
      <c r="G34" s="254"/>
      <c r="H34" s="255"/>
      <c r="I34" s="253" t="s">
        <v>2742</v>
      </c>
      <c r="J34" s="255"/>
    </row>
    <row r="35" spans="1:23" ht="18.75" customHeight="1">
      <c r="B35" s="84"/>
      <c r="C35" s="86" t="s">
        <v>2743</v>
      </c>
      <c r="D35" s="253" t="s">
        <v>2798</v>
      </c>
      <c r="E35" s="254"/>
      <c r="F35" s="254"/>
      <c r="G35" s="254"/>
      <c r="H35" s="255"/>
      <c r="I35" s="253" t="s">
        <v>2788</v>
      </c>
      <c r="J35" s="255"/>
    </row>
    <row r="36" spans="1:23" ht="18.75" customHeight="1">
      <c r="B36" s="84"/>
      <c r="C36" s="86" t="s">
        <v>2744</v>
      </c>
      <c r="D36" s="253" t="s">
        <v>2745</v>
      </c>
      <c r="E36" s="254"/>
      <c r="F36" s="254"/>
      <c r="G36" s="254"/>
      <c r="H36" s="255"/>
      <c r="I36" s="253" t="s">
        <v>2789</v>
      </c>
      <c r="J36" s="255"/>
    </row>
    <row r="37" spans="1:23" ht="18.75" customHeight="1">
      <c r="B37" s="84"/>
      <c r="C37" s="86" t="s">
        <v>2746</v>
      </c>
      <c r="D37" s="253" t="s">
        <v>2747</v>
      </c>
      <c r="E37" s="254"/>
      <c r="F37" s="254"/>
      <c r="G37" s="254"/>
      <c r="H37" s="255"/>
      <c r="I37" s="253" t="s">
        <v>2790</v>
      </c>
      <c r="J37" s="255"/>
    </row>
    <row r="38" spans="1:23" ht="18.75" customHeight="1">
      <c r="B38" s="84"/>
      <c r="C38" s="86" t="s">
        <v>2748</v>
      </c>
      <c r="D38" s="253" t="s">
        <v>2749</v>
      </c>
      <c r="E38" s="254"/>
      <c r="F38" s="254"/>
      <c r="G38" s="254"/>
      <c r="H38" s="255"/>
      <c r="I38" s="253" t="s">
        <v>2791</v>
      </c>
      <c r="J38" s="255"/>
    </row>
    <row r="39" spans="1:23" ht="18.75" customHeight="1">
      <c r="B39" s="84"/>
      <c r="C39" s="86" t="s">
        <v>2750</v>
      </c>
      <c r="D39" s="253" t="s">
        <v>2751</v>
      </c>
      <c r="E39" s="254"/>
      <c r="F39" s="254"/>
      <c r="G39" s="254"/>
      <c r="H39" s="255"/>
      <c r="I39" s="253" t="s">
        <v>2792</v>
      </c>
      <c r="J39" s="255"/>
    </row>
    <row r="40" spans="1:23" ht="18.75" customHeight="1">
      <c r="B40" s="84"/>
      <c r="C40" s="86" t="s">
        <v>2752</v>
      </c>
      <c r="D40" s="253" t="s">
        <v>2753</v>
      </c>
      <c r="E40" s="254"/>
      <c r="F40" s="254"/>
      <c r="G40" s="254"/>
      <c r="H40" s="255"/>
      <c r="I40" s="253" t="s">
        <v>2793</v>
      </c>
      <c r="J40" s="255"/>
    </row>
    <row r="41" spans="1:23" ht="18.75" customHeight="1">
      <c r="B41" s="84"/>
      <c r="C41" s="86" t="s">
        <v>2754</v>
      </c>
      <c r="D41" s="253" t="s">
        <v>2755</v>
      </c>
      <c r="E41" s="254"/>
      <c r="F41" s="254"/>
      <c r="G41" s="254"/>
      <c r="H41" s="255"/>
      <c r="I41" s="253" t="s">
        <v>2793</v>
      </c>
      <c r="J41" s="255"/>
    </row>
    <row r="42" spans="1:23" ht="18.75" customHeight="1">
      <c r="B42" s="84"/>
      <c r="C42" s="86" t="s">
        <v>2756</v>
      </c>
      <c r="D42" s="253" t="s">
        <v>2757</v>
      </c>
      <c r="E42" s="254"/>
      <c r="F42" s="254"/>
      <c r="G42" s="254"/>
      <c r="H42" s="255"/>
      <c r="I42" s="253" t="s">
        <v>2794</v>
      </c>
      <c r="J42" s="255"/>
    </row>
    <row r="43" spans="1:23" ht="18.75" customHeight="1">
      <c r="B43" s="84"/>
      <c r="C43" s="86" t="s">
        <v>2758</v>
      </c>
      <c r="D43" s="253" t="s">
        <v>2759</v>
      </c>
      <c r="E43" s="254"/>
      <c r="F43" s="254"/>
      <c r="G43" s="254"/>
      <c r="H43" s="255"/>
      <c r="I43" s="253" t="s">
        <v>2795</v>
      </c>
      <c r="J43" s="255"/>
    </row>
    <row r="44" spans="1:23" ht="18.75" customHeight="1">
      <c r="B44" s="84"/>
      <c r="C44" s="86" t="s">
        <v>2760</v>
      </c>
      <c r="D44" s="253" t="s">
        <v>2761</v>
      </c>
      <c r="E44" s="254"/>
      <c r="F44" s="254"/>
      <c r="G44" s="254"/>
      <c r="H44" s="255"/>
      <c r="I44" s="253" t="s">
        <v>2795</v>
      </c>
      <c r="J44" s="255"/>
    </row>
    <row r="45" spans="1:23" ht="18.75" customHeight="1">
      <c r="B45" s="84"/>
      <c r="C45" s="86" t="s">
        <v>2762</v>
      </c>
      <c r="D45" s="253" t="s">
        <v>2763</v>
      </c>
      <c r="E45" s="254"/>
      <c r="F45" s="254"/>
      <c r="G45" s="254"/>
      <c r="H45" s="255"/>
      <c r="I45" s="253" t="s">
        <v>2796</v>
      </c>
      <c r="J45" s="255"/>
    </row>
    <row r="46" spans="1:23" ht="18.75" customHeight="1">
      <c r="B46" s="84"/>
      <c r="C46" s="86" t="s">
        <v>2764</v>
      </c>
      <c r="D46" s="253" t="s">
        <v>2765</v>
      </c>
      <c r="E46" s="254"/>
      <c r="F46" s="254"/>
      <c r="G46" s="254"/>
      <c r="H46" s="255"/>
      <c r="I46" s="253" t="s">
        <v>2797</v>
      </c>
      <c r="J46" s="255"/>
    </row>
    <row r="47" spans="1:23" s="25" customFormat="1">
      <c r="A47" s="4"/>
      <c r="M47" s="12"/>
      <c r="W47" s="4"/>
    </row>
    <row r="48" spans="1:23" s="25" customFormat="1">
      <c r="A48" s="4"/>
      <c r="B48" s="84" t="s">
        <v>2766</v>
      </c>
      <c r="C48" s="84"/>
      <c r="D48" s="84"/>
      <c r="E48" s="84"/>
      <c r="F48" s="84"/>
      <c r="G48" s="84"/>
      <c r="H48" s="84"/>
      <c r="I48" s="84"/>
      <c r="J48" s="84"/>
      <c r="K48" s="84"/>
      <c r="L48" s="84"/>
      <c r="M48" s="88"/>
      <c r="W48" s="4"/>
    </row>
    <row r="49" spans="1:52" s="25" customFormat="1">
      <c r="A49" s="4"/>
      <c r="B49" s="84"/>
      <c r="C49" s="85" t="s">
        <v>2767</v>
      </c>
      <c r="D49" s="260" t="s">
        <v>2738</v>
      </c>
      <c r="E49" s="260"/>
      <c r="F49" s="260"/>
      <c r="G49" s="260"/>
      <c r="H49" s="260"/>
      <c r="N49" s="4"/>
    </row>
    <row r="50" spans="1:52" s="25" customFormat="1">
      <c r="A50" s="4"/>
      <c r="B50" s="84"/>
      <c r="C50" s="89" t="s">
        <v>2768</v>
      </c>
      <c r="D50" s="259" t="s">
        <v>2769</v>
      </c>
      <c r="E50" s="259"/>
      <c r="F50" s="259"/>
      <c r="G50" s="259"/>
      <c r="H50" s="259"/>
      <c r="N50" s="4"/>
    </row>
    <row r="51" spans="1:52" s="25" customFormat="1">
      <c r="A51" s="4"/>
      <c r="B51" s="84"/>
      <c r="C51" s="89" t="s">
        <v>2770</v>
      </c>
      <c r="D51" s="259" t="s">
        <v>2771</v>
      </c>
      <c r="E51" s="259"/>
      <c r="F51" s="259"/>
      <c r="G51" s="259"/>
      <c r="H51" s="259"/>
      <c r="N51" s="4"/>
    </row>
    <row r="52" spans="1:52" s="25" customFormat="1">
      <c r="A52" s="4"/>
      <c r="B52" s="84"/>
      <c r="C52" s="89" t="s">
        <v>2772</v>
      </c>
      <c r="D52" s="259" t="s">
        <v>2773</v>
      </c>
      <c r="E52" s="259"/>
      <c r="F52" s="259"/>
      <c r="G52" s="259"/>
      <c r="H52" s="259"/>
      <c r="J52" s="25" t="s">
        <v>2774</v>
      </c>
      <c r="N52" s="4"/>
    </row>
    <row r="53" spans="1:52" s="25" customFormat="1">
      <c r="A53" s="4"/>
      <c r="B53" s="84"/>
      <c r="C53" s="89" t="s">
        <v>2775</v>
      </c>
      <c r="D53" s="259" t="s">
        <v>2776</v>
      </c>
      <c r="E53" s="259"/>
      <c r="F53" s="259"/>
      <c r="G53" s="259"/>
      <c r="H53" s="259"/>
      <c r="J53" s="25" t="s">
        <v>2777</v>
      </c>
      <c r="N53" s="4"/>
    </row>
    <row r="54" spans="1:52" s="25" customFormat="1" ht="18.75" customHeight="1">
      <c r="A54" s="4"/>
      <c r="B54" s="84"/>
      <c r="C54" s="89" t="s">
        <v>2778</v>
      </c>
      <c r="D54" s="259" t="s">
        <v>2779</v>
      </c>
      <c r="E54" s="259"/>
      <c r="F54" s="259"/>
      <c r="G54" s="259"/>
      <c r="H54" s="259"/>
      <c r="N54" s="4"/>
    </row>
    <row r="55" spans="1:52" s="25" customFormat="1">
      <c r="A55" s="4"/>
      <c r="B55" s="84"/>
      <c r="C55" s="86" t="s">
        <v>2764</v>
      </c>
      <c r="D55" s="259" t="s">
        <v>2780</v>
      </c>
      <c r="E55" s="259"/>
      <c r="F55" s="259"/>
      <c r="G55" s="259"/>
      <c r="H55" s="259"/>
      <c r="N55" s="4"/>
    </row>
    <row r="56" spans="1:52" s="25" customFormat="1">
      <c r="A56" s="4"/>
      <c r="M56" s="12"/>
      <c r="W56" s="4"/>
    </row>
    <row r="57" spans="1:52" s="25" customFormat="1">
      <c r="A57" s="4"/>
      <c r="C57" s="25" t="s">
        <v>2781</v>
      </c>
      <c r="M57" s="12"/>
      <c r="W57" s="4"/>
    </row>
    <row r="58" spans="1:52" s="25" customFormat="1">
      <c r="A58" s="4"/>
      <c r="C58" s="85" t="s">
        <v>2767</v>
      </c>
      <c r="D58" s="260" t="s">
        <v>2738</v>
      </c>
      <c r="E58" s="260"/>
      <c r="F58" s="260"/>
      <c r="G58" s="260"/>
      <c r="H58" s="260"/>
      <c r="M58" s="12"/>
      <c r="W58" s="4"/>
    </row>
    <row r="59" spans="1:52" s="25" customFormat="1">
      <c r="A59" s="4"/>
      <c r="C59" s="89" t="s">
        <v>2782</v>
      </c>
      <c r="D59" s="259" t="s">
        <v>2783</v>
      </c>
      <c r="E59" s="259"/>
      <c r="F59" s="259"/>
      <c r="G59" s="259"/>
      <c r="H59" s="259"/>
      <c r="M59" s="12"/>
      <c r="W59" s="4"/>
    </row>
    <row r="60" spans="1:52" s="25" customFormat="1">
      <c r="A60" s="4"/>
      <c r="C60" s="89" t="s">
        <v>2784</v>
      </c>
      <c r="D60" s="259" t="s">
        <v>2785</v>
      </c>
      <c r="E60" s="259"/>
      <c r="F60" s="259"/>
      <c r="G60" s="259"/>
      <c r="H60" s="259"/>
      <c r="M60" s="12"/>
      <c r="W60" s="4"/>
    </row>
    <row r="61" spans="1:52" s="25" customFormat="1">
      <c r="A61" s="4"/>
      <c r="C61" s="89" t="s">
        <v>2786</v>
      </c>
      <c r="D61" s="259" t="s">
        <v>2787</v>
      </c>
      <c r="E61" s="259"/>
      <c r="F61" s="259"/>
      <c r="G61" s="259"/>
      <c r="H61" s="259"/>
      <c r="M61" s="12"/>
      <c r="W61" s="4"/>
    </row>
    <row r="62" spans="1:52" s="25" customFormat="1">
      <c r="A62" s="4"/>
      <c r="C62" s="86" t="s">
        <v>2764</v>
      </c>
      <c r="D62" s="259" t="s">
        <v>2780</v>
      </c>
      <c r="E62" s="259"/>
      <c r="F62" s="259"/>
      <c r="G62" s="259"/>
      <c r="H62" s="259"/>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ENT_01_A6-02</v>
      </c>
      <c r="E6" s="251"/>
      <c r="F6" s="251"/>
      <c r="G6" s="251"/>
      <c r="H6" s="251"/>
      <c r="I6" s="251"/>
      <c r="J6" s="252"/>
    </row>
    <row r="7" spans="1:45">
      <c r="B7" s="240" t="s">
        <v>115</v>
      </c>
      <c r="C7" s="241"/>
      <c r="D7" s="242" t="s">
        <v>3204</v>
      </c>
      <c r="E7" s="243"/>
      <c r="F7" s="243"/>
      <c r="G7" s="243"/>
      <c r="H7" s="243"/>
      <c r="I7" s="243"/>
      <c r="J7" s="244"/>
    </row>
    <row r="8" spans="1:45">
      <c r="B8" s="240" t="s">
        <v>116</v>
      </c>
      <c r="C8" s="241"/>
      <c r="D8" s="242" t="str">
        <f>エンティティ一覧!AE2&amp;"_"&amp;D5&amp;"_text_mml_common"</f>
        <v>sny_202310_backup_text_mml_common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MML共通テーブルから組入れ条件の第一条件で絞り込んだ結果を格納するテーブル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milscm_2023_009.sny_202310_backup_text_mml_common;</v>
      </c>
      <c r="O10" s="78"/>
      <c r="P10" s="78"/>
      <c r="Q10" s="78"/>
      <c r="R10" s="78"/>
      <c r="S10" s="78"/>
      <c r="T10" s="78"/>
      <c r="AJ10" s="78" t="str">
        <f>"ALTER TABLE ONLY "&amp;エンティティ一覧!$O$2&amp;"."&amp;D$8</f>
        <v>ALTER TABLE ONLY milscm_2023_009.sny_202310_backup_text_mml_common</v>
      </c>
      <c r="AS10" s="78" t="str">
        <f>"ALTER TABLE "&amp;エンティティ一覧!$O$2&amp;"."&amp;D$8&amp;" OWNER TO pgmisgrp1;"</f>
        <v>ALTER TABLE milscm_2023_009.sny_202310_backup_text_mml_common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milscm_2023_009.sny_202310_backup_text_mml_common</v>
      </c>
      <c r="O11" s="78"/>
      <c r="P11" s="78"/>
      <c r="Q11" s="78"/>
      <c r="R11" s="78"/>
      <c r="S11" s="78"/>
      <c r="T11" s="78"/>
      <c r="AJ11" s="78" t="str">
        <f>"ADD CONSTRAINT "&amp;D$8&amp;"_pkey PRIMARY KEY"</f>
        <v>ADD CONSTRAINT sny_202310_backup_text_mml_common_pkey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milscm_2023_009.sny_202310_backup_text_mml_common IS 'バックアップ_MML共通';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milscm_2023_009.sny_202310_backup_text_mml_common.new_f IS '最新フラグ';</v>
      </c>
    </row>
    <row r="23" spans="1:52" s="25" customFormat="1" ht="18"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ENT_01_A6-03</v>
      </c>
      <c r="E6" s="251"/>
      <c r="F6" s="251"/>
      <c r="G6" s="251"/>
      <c r="H6" s="251"/>
      <c r="I6" s="251"/>
      <c r="J6" s="252"/>
    </row>
    <row r="7" spans="1:45">
      <c r="B7" s="240" t="s">
        <v>115</v>
      </c>
      <c r="C7" s="241"/>
      <c r="D7" s="242" t="s">
        <v>2799</v>
      </c>
      <c r="E7" s="243"/>
      <c r="F7" s="243"/>
      <c r="G7" s="243"/>
      <c r="H7" s="243"/>
      <c r="I7" s="243"/>
      <c r="J7" s="244"/>
    </row>
    <row r="8" spans="1:45">
      <c r="B8" s="240" t="s">
        <v>116</v>
      </c>
      <c r="C8" s="241"/>
      <c r="D8" s="242" t="str">
        <f>エンティティ一覧!AE2&amp;"_"&amp;D5&amp;"_text_mml_mmlrd_body"</f>
        <v>sny_202310_backup_text_mml_mmlrd_body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milscm_2023_009.sny_202310_backup_text_mml_mmlrd_body;</v>
      </c>
      <c r="O10" s="78"/>
      <c r="P10" s="78"/>
      <c r="Q10" s="78"/>
      <c r="R10" s="78"/>
      <c r="S10" s="78"/>
      <c r="T10" s="78"/>
      <c r="AJ10" s="78" t="str">
        <f>"ALTER TABLE ONLY "&amp;エンティティ一覧!$O$2&amp;"."&amp;D$8</f>
        <v>ALTER TABLE ONLY milscm_2023_009.sny_202310_backup_text_mml_mmlrd_body</v>
      </c>
      <c r="AS10" s="78" t="str">
        <f>"ALTER TABLE "&amp;エンティティ一覧!$O$2&amp;"."&amp;D$8&amp;" OWNER TO pgmisgrp1;"</f>
        <v>ALTER TABLE milscm_2023_009.sny_202310_backup_text_mml_mmlrd_body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milscm_2023_009.sny_202310_backup_text_mml_mmlrd_body</v>
      </c>
      <c r="O11" s="78"/>
      <c r="P11" s="78"/>
      <c r="Q11" s="78"/>
      <c r="R11" s="78"/>
      <c r="S11" s="78"/>
      <c r="T11" s="78"/>
      <c r="AJ11" s="78" t="str">
        <f>"ADD CONSTRAINT "&amp;D$8&amp;"_pkey PRIMARY KEY"</f>
        <v>ADD CONSTRAINT sny_202310_backup_text_mml_mmlrd_body_pkey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milscm_2023_009.sny_202310_backup_text_mml_mmlrd_body.outcome IS '転帰';</v>
      </c>
    </row>
    <row r="21" spans="1:52" s="25" customFormat="1" ht="18"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ENT_01_A6-04</v>
      </c>
      <c r="E6" s="251"/>
      <c r="F6" s="251"/>
      <c r="G6" s="251"/>
      <c r="H6" s="251"/>
      <c r="I6" s="251"/>
      <c r="J6" s="252"/>
    </row>
    <row r="7" spans="1:45">
      <c r="B7" s="240" t="s">
        <v>115</v>
      </c>
      <c r="C7" s="241"/>
      <c r="D7" s="242" t="s">
        <v>2815</v>
      </c>
      <c r="E7" s="243"/>
      <c r="F7" s="243"/>
      <c r="G7" s="243"/>
      <c r="H7" s="243"/>
      <c r="I7" s="243"/>
      <c r="J7" s="244"/>
    </row>
    <row r="8" spans="1:45">
      <c r="B8" s="240" t="s">
        <v>116</v>
      </c>
      <c r="C8" s="241"/>
      <c r="D8" s="242" t="str">
        <f>エンティティ一覧!AE2&amp;"_"&amp;D5&amp;"_text_mml_mmlrd_byomei"</f>
        <v>sny_202310_backup_text_mml_mmlrd_byomei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milscm_2023_009.sny_202310_backup_text_mml_mmlrd_byomei;</v>
      </c>
      <c r="O10" s="78"/>
      <c r="P10" s="78"/>
      <c r="Q10" s="78"/>
      <c r="R10" s="78"/>
      <c r="S10" s="78"/>
      <c r="T10" s="78"/>
      <c r="AJ10" s="78" t="str">
        <f>"ALTER TABLE ONLY "&amp;エンティティ一覧!$O$2&amp;"."&amp;D$8</f>
        <v>ALTER TABLE ONLY milscm_2023_009.sny_202310_backup_text_mml_mmlrd_byomei</v>
      </c>
      <c r="AS10" s="78" t="str">
        <f>"ALTER TABLE "&amp;エンティティ一覧!$O$2&amp;"."&amp;D$8&amp;" OWNER TO pgmisgrp1;"</f>
        <v>ALTER TABLE milscm_2023_009.sny_202310_backup_text_mml_mmlrd_byomei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milscm_2023_009.sny_202310_backup_text_mml_mmlrd_byomei</v>
      </c>
      <c r="O11" s="78"/>
      <c r="P11" s="78"/>
      <c r="Q11" s="78"/>
      <c r="R11" s="78"/>
      <c r="S11" s="78"/>
      <c r="T11" s="78"/>
      <c r="AJ11" s="78" t="str">
        <f>"ADD CONSTRAINT "&amp;D$8&amp;"_pkey PRIMARY KEY"</f>
        <v>ADD CONSTRAINT sny_202310_backup_text_mml_mmlrd_byomei_pkey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milscm_2023_009.sny_202310_backup_text_mml_mmlrd_byomei.tag_name IS 'タグ名';</v>
      </c>
    </row>
    <row r="20" spans="1:52" s="25" customFormat="1" ht="34.799999999999997">
      <c r="A20" s="4"/>
      <c r="B20" s="21">
        <f t="shared" si="2"/>
        <v>8</v>
      </c>
      <c r="C20" s="6" t="s">
        <v>1341</v>
      </c>
      <c r="D20" s="6" t="s">
        <v>2820</v>
      </c>
      <c r="E20" s="8"/>
      <c r="F20" s="7" t="s">
        <v>1841</v>
      </c>
      <c r="G20" s="7" t="str">
        <f t="shared" ref="G20" si="7">IF(F20="フラグ","boolean",IF(F20="文字列","text",IF(F20="整数","integer",IF(F20="実数","numeric",""))))</f>
        <v>text</v>
      </c>
      <c r="H20" s="26"/>
      <c r="I20" s="10"/>
      <c r="J20" s="11" t="s">
        <v>2825</v>
      </c>
      <c r="M20" s="4"/>
      <c r="N20" s="78"/>
      <c r="O20" s="78"/>
      <c r="P20" s="78" t="str">
        <f t="shared" ref="P20" si="8">IF(B20&lt;&gt;1,","&amp;D20,D20)</f>
        <v>,diagnosis</v>
      </c>
      <c r="Q20" s="78" t="str">
        <f t="shared" ref="Q20" si="9">UPPER(G20)</f>
        <v>TEXT</v>
      </c>
      <c r="R20" s="78" t="str">
        <f t="shared" ref="R20" si="10">IF(H20&lt;&gt;"","default "&amp;IF(G20="text","'"&amp;H20&amp;"'",H20),"")</f>
        <v/>
      </c>
      <c r="S20" s="78" t="str">
        <f t="shared" ref="S20" si="11">IF(I20="○","NOT NULL","")</f>
        <v/>
      </c>
      <c r="T20" s="78" t="str">
        <f t="shared" ref="T20" si="12">"-- "&amp;C20</f>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milscm_2023_009.sny_202310_backup_text_mml_mmlrd_byomei.code IS 'コード値';</v>
      </c>
    </row>
    <row r="22" spans="1:52" s="25" customFormat="1" ht="18"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ENT_01_A6-05</v>
      </c>
      <c r="E6" s="251"/>
      <c r="F6" s="251"/>
      <c r="G6" s="251"/>
      <c r="H6" s="251"/>
      <c r="I6" s="251"/>
      <c r="J6" s="252"/>
    </row>
    <row r="7" spans="1:45">
      <c r="B7" s="240" t="s">
        <v>115</v>
      </c>
      <c r="C7" s="241"/>
      <c r="D7" s="242" t="s">
        <v>2826</v>
      </c>
      <c r="E7" s="243"/>
      <c r="F7" s="243"/>
      <c r="G7" s="243"/>
      <c r="H7" s="243"/>
      <c r="I7" s="243"/>
      <c r="J7" s="244"/>
    </row>
    <row r="8" spans="1:45">
      <c r="B8" s="240" t="s">
        <v>116</v>
      </c>
      <c r="C8" s="241"/>
      <c r="D8" s="242" t="str">
        <f>エンティティ一覧!AE2&amp;"_"&amp;D5&amp;"_text_mml_mmlrd_category"</f>
        <v>sny_202310_backup_text_mml_mmlrd_category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milscm_2023_009.sny_202310_backup_text_mml_mmlrd_category;</v>
      </c>
      <c r="O10" s="78"/>
      <c r="P10" s="78"/>
      <c r="Q10" s="78"/>
      <c r="R10" s="78"/>
      <c r="S10" s="78"/>
      <c r="T10" s="78"/>
      <c r="AJ10" s="78" t="str">
        <f>"ALTER TABLE ONLY "&amp;エンティティ一覧!$O$2&amp;"."&amp;D$8</f>
        <v>ALTER TABLE ONLY milscm_2023_009.sny_202310_backup_text_mml_mmlrd_category</v>
      </c>
      <c r="AS10" s="78" t="str">
        <f>"ALTER TABLE "&amp;エンティティ一覧!$O$2&amp;"."&amp;D$8&amp;" OWNER TO pgmisgrp1;"</f>
        <v>ALTER TABLE milscm_2023_009.sny_202310_backup_text_mml_mmlrd_category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milscm_2023_009.sny_202310_backup_text_mml_mmlrd_category</v>
      </c>
      <c r="O11" s="78"/>
      <c r="P11" s="78"/>
      <c r="Q11" s="78"/>
      <c r="R11" s="78"/>
      <c r="S11" s="78"/>
      <c r="T11" s="78"/>
      <c r="AJ11" s="78" t="str">
        <f>"ADD CONSTRAINT "&amp;D$8&amp;"_pkey PRIMARY KEY"</f>
        <v>ADD CONSTRAINT sny_202310_backup_text_mml_mmlrd_category_pkey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2827</v>
      </c>
      <c r="D18" s="6" t="s">
        <v>2828</v>
      </c>
      <c r="E18" s="8" t="s">
        <v>127</v>
      </c>
      <c r="F18" s="7" t="s">
        <v>2802</v>
      </c>
      <c r="G18" s="7" t="str">
        <f t="shared" si="3"/>
        <v>integer</v>
      </c>
      <c r="H18" s="26"/>
      <c r="I18" s="10" t="s">
        <v>127</v>
      </c>
      <c r="J18" s="11"/>
      <c r="M18" s="4"/>
      <c r="N18" s="78"/>
      <c r="O18" s="78"/>
      <c r="P18" s="78" t="str">
        <f t="shared" si="4"/>
        <v>,category_no</v>
      </c>
      <c r="Q18" s="78" t="str">
        <f t="shared" si="0"/>
        <v>INTEGER</v>
      </c>
      <c r="R18" s="78" t="str">
        <f t="shared" si="1"/>
        <v/>
      </c>
      <c r="S18" s="78" t="str">
        <f t="shared" si="5"/>
        <v>NOT NULL</v>
      </c>
      <c r="T18" s="78" t="str">
        <f t="shared" si="6"/>
        <v>-- カテゴリ名No</v>
      </c>
      <c r="U18" s="4"/>
      <c r="AA18" s="4"/>
      <c r="AB18" s="4"/>
      <c r="AC18" s="4"/>
      <c r="AD18" s="4"/>
      <c r="AE18" s="4"/>
      <c r="AF18" s="4"/>
      <c r="AG18" s="4"/>
      <c r="AH18" s="4"/>
      <c r="AI18" s="4"/>
      <c r="AJ18" s="78" t="str">
        <f>IF(E18="○",IF(COUNTA(E$13:E18)=1,"",",")&amp;D18,"")</f>
        <v>,category_no</v>
      </c>
      <c r="AK18" s="4"/>
      <c r="AL18" s="4"/>
      <c r="AM18" s="4"/>
      <c r="AN18" s="4"/>
      <c r="AO18" s="4"/>
      <c r="AP18" s="4"/>
      <c r="AQ18" s="4"/>
      <c r="AR18" s="4"/>
      <c r="AS18" s="78"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1355</v>
      </c>
      <c r="D19" s="6" t="s">
        <v>2829</v>
      </c>
      <c r="E19" s="8"/>
      <c r="F19" s="7" t="s">
        <v>1841</v>
      </c>
      <c r="G19" s="7" t="str">
        <f t="shared" si="3"/>
        <v>text</v>
      </c>
      <c r="H19" s="26"/>
      <c r="I19" s="10"/>
      <c r="J19" s="11"/>
      <c r="M19" s="4"/>
      <c r="N19" s="78"/>
      <c r="O19" s="78"/>
      <c r="P19" s="78" t="str">
        <f t="shared" si="4"/>
        <v>,category</v>
      </c>
      <c r="Q19" s="78" t="str">
        <f t="shared" si="0"/>
        <v>TEXT</v>
      </c>
      <c r="R19" s="78" t="str">
        <f t="shared" si="1"/>
        <v/>
      </c>
      <c r="S19" s="78" t="str">
        <f t="shared" si="5"/>
        <v/>
      </c>
      <c r="T19" s="78" t="str">
        <f t="shared" si="6"/>
        <v>-- 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milscm_2023_009.sny_202310_backup_text_mml_mmlrd_category.category IS '分類名';</v>
      </c>
    </row>
    <row r="20" spans="1:52" s="25" customFormat="1" ht="18" thickBot="1">
      <c r="A20" s="4"/>
      <c r="B20" s="27">
        <f>ROW()-12</f>
        <v>8</v>
      </c>
      <c r="C20" s="57" t="s">
        <v>1357</v>
      </c>
      <c r="D20" s="57" t="s">
        <v>2830</v>
      </c>
      <c r="E20" s="56"/>
      <c r="F20" s="56" t="s">
        <v>1841</v>
      </c>
      <c r="G20" s="56" t="str">
        <f t="shared" si="3"/>
        <v>text</v>
      </c>
      <c r="H20" s="59"/>
      <c r="I20" s="60"/>
      <c r="J20" s="64"/>
      <c r="N20" s="78"/>
      <c r="O20" s="78"/>
      <c r="P20" s="78" t="str">
        <f t="shared" si="4"/>
        <v>,table_id</v>
      </c>
      <c r="Q20" s="78" t="str">
        <f t="shared" si="0"/>
        <v>TEXT</v>
      </c>
      <c r="R20" s="78" t="str">
        <f t="shared" si="1"/>
        <v/>
      </c>
      <c r="S20" s="78" t="str">
        <f t="shared" si="5"/>
        <v/>
      </c>
      <c r="T20" s="78" t="str">
        <f t="shared" si="6"/>
        <v>-- 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milscm_2023_009.sny_202310_backup_text_mml_mmlrd_category.table_id IS '分類コード';</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ENT_01_A6-24</v>
      </c>
      <c r="E6" s="251"/>
      <c r="F6" s="251"/>
      <c r="G6" s="251"/>
      <c r="H6" s="251"/>
      <c r="I6" s="251"/>
      <c r="J6" s="252"/>
    </row>
    <row r="7" spans="1:45">
      <c r="B7" s="240" t="s">
        <v>115</v>
      </c>
      <c r="C7" s="241"/>
      <c r="D7" s="242" t="s">
        <v>2831</v>
      </c>
      <c r="E7" s="243"/>
      <c r="F7" s="243"/>
      <c r="G7" s="243"/>
      <c r="H7" s="243"/>
      <c r="I7" s="243"/>
      <c r="J7" s="244"/>
    </row>
    <row r="8" spans="1:45">
      <c r="B8" s="240" t="s">
        <v>116</v>
      </c>
      <c r="C8" s="241"/>
      <c r="D8" s="242" t="str">
        <f>エンティティ一覧!AE2&amp;"_"&amp;D5&amp;"_text_mml_mmlps_body"</f>
        <v>sny_202310_backup_text_mml_mmlps_body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milscm_2023_009.sny_202310_backup_text_mml_mmlps_body;</v>
      </c>
      <c r="O10" s="78"/>
      <c r="P10" s="78"/>
      <c r="Q10" s="78"/>
      <c r="R10" s="78"/>
      <c r="S10" s="78"/>
      <c r="T10" s="78"/>
      <c r="AJ10" s="78" t="str">
        <f>"ALTER TABLE ONLY "&amp;エンティティ一覧!$O$2&amp;"."&amp;D$8</f>
        <v>ALTER TABLE ONLY milscm_2023_009.sny_202310_backup_text_mml_mmlps_body</v>
      </c>
      <c r="AS10" s="78" t="str">
        <f>"ALTER TABLE "&amp;エンティティ一覧!$O$2&amp;"."&amp;D$8&amp;" OWNER TO pgmisgrp1;"</f>
        <v>ALTER TABLE milscm_2023_009.sny_202310_backup_text_mml_mmlps_body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milscm_2023_009.sny_202310_backup_text_mml_mmlps_body</v>
      </c>
      <c r="O11" s="78"/>
      <c r="P11" s="78"/>
      <c r="Q11" s="78"/>
      <c r="R11" s="78"/>
      <c r="S11" s="78"/>
      <c r="T11" s="78"/>
      <c r="AJ11" s="78" t="str">
        <f>"ADD CONSTRAINT "&amp;D$8&amp;"_pkey PRIMARY KEY"</f>
        <v>ADD CONSTRAINT sny_202310_backup_text_mml_mmlps_body_pkey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milscm_2023_009.sny_202310_backup_text_mml_mmlps_body.master_id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milscm_2023_009.sny_202310_backup_text_mml_mmlps_body.issued_to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milscm_2023_009.sny_202310_backup_text_mml_mmlps_body.narcotic_prescription_license_no IS '麻薬施用者番号';</v>
      </c>
    </row>
    <row r="20" spans="1:52" s="25" customFormat="1" ht="18"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ENT_01_A6-25</v>
      </c>
      <c r="E6" s="251"/>
      <c r="F6" s="251"/>
      <c r="G6" s="251"/>
      <c r="H6" s="251"/>
      <c r="I6" s="251"/>
      <c r="J6" s="252"/>
    </row>
    <row r="7" spans="1:45">
      <c r="B7" s="240" t="s">
        <v>115</v>
      </c>
      <c r="C7" s="241"/>
      <c r="D7" s="242" t="s">
        <v>2839</v>
      </c>
      <c r="E7" s="243"/>
      <c r="F7" s="243"/>
      <c r="G7" s="243"/>
      <c r="H7" s="243"/>
      <c r="I7" s="243"/>
      <c r="J7" s="244"/>
    </row>
    <row r="8" spans="1:45">
      <c r="B8" s="240" t="s">
        <v>116</v>
      </c>
      <c r="C8" s="241"/>
      <c r="D8" s="242" t="str">
        <f>エンティティ一覧!AE2&amp;"_"&amp;D5&amp;"_text_mml_mmlps_medication"</f>
        <v>sny_202310_backup_text_mml_mmlps_medication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milscm_2023_009.sny_202310_backup_text_mml_mmlps_medication;</v>
      </c>
      <c r="O10" s="78"/>
      <c r="P10" s="78"/>
      <c r="Q10" s="78"/>
      <c r="R10" s="78"/>
      <c r="S10" s="78"/>
      <c r="T10" s="78"/>
      <c r="AJ10" s="78" t="str">
        <f>"ALTER TABLE ONLY "&amp;エンティティ一覧!$O$2&amp;"."&amp;D$8</f>
        <v>ALTER TABLE ONLY milscm_2023_009.sny_202310_backup_text_mml_mmlps_medication</v>
      </c>
      <c r="AS10" s="78" t="str">
        <f>"ALTER TABLE "&amp;エンティティ一覧!$O$2&amp;"."&amp;D$8&amp;" OWNER TO pgmisgrp1;"</f>
        <v>ALTER TABLE milscm_2023_009.sny_202310_backup_text_mml_mmlps_medication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milscm_2023_009.sny_202310_backup_text_mml_mmlps_medication</v>
      </c>
      <c r="O11" s="78"/>
      <c r="P11" s="78"/>
      <c r="Q11" s="78"/>
      <c r="R11" s="78"/>
      <c r="S11" s="78"/>
      <c r="T11" s="78"/>
      <c r="AJ11" s="78" t="str">
        <f>"ADD CONSTRAINT "&amp;D$8&amp;"_pkey PRIMARY KEY"</f>
        <v>ADD CONSTRAINT sny_202310_backup_text_mml_mmlps_medication_pkey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2842</v>
      </c>
      <c r="D19" s="6" t="s">
        <v>2843</v>
      </c>
      <c r="E19" s="8"/>
      <c r="F19" s="7" t="s">
        <v>1841</v>
      </c>
      <c r="G19" s="7" t="str">
        <f t="shared" ref="G19:G32" si="7">IF(F19="フラグ","boolean",IF(F19="文字列","text",IF(F19="整数","integer",IF(F19="実数","numeric",""))))</f>
        <v>text</v>
      </c>
      <c r="H19" s="26"/>
      <c r="I19" s="10"/>
      <c r="J19" s="11"/>
      <c r="M19" s="4"/>
      <c r="N19" s="78"/>
      <c r="O19" s="78"/>
      <c r="P19" s="78" t="str">
        <f t="shared" ref="P19:P32" si="8">IF(B19&lt;&gt;1,","&amp;D19,D19)</f>
        <v>,medicine_name</v>
      </c>
      <c r="Q19" s="78" t="str">
        <f t="shared" ref="Q19:Q32" si="9">UPPER(G19)</f>
        <v>TEXT</v>
      </c>
      <c r="R19" s="78" t="str">
        <f t="shared" ref="R19:R32" si="10">IF(H19&lt;&gt;"","default "&amp;IF(G19="text","'"&amp;H19&amp;"'",H19),"")</f>
        <v/>
      </c>
      <c r="S19" s="78" t="str">
        <f t="shared" ref="S19:S32" si="11">IF(I19="○","NOT NULL","")</f>
        <v/>
      </c>
      <c r="T19" s="78" t="str">
        <f t="shared" ref="T19:T32"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milscm_2023_009.sny_202310_backup_text_mml_mmlps_medication.batch_no IS '処方番号';</v>
      </c>
    </row>
    <row r="31" spans="1:45" s="25" customFormat="1" ht="34.799999999999997">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7"/>
        <v>text</v>
      </c>
      <c r="H32" s="26"/>
      <c r="I32" s="10"/>
      <c r="J32" s="11" t="s">
        <v>2874</v>
      </c>
      <c r="M32" s="4"/>
      <c r="N32" s="78"/>
      <c r="O32" s="78"/>
      <c r="P32" s="78" t="str">
        <f t="shared" si="8"/>
        <v>,long_term</v>
      </c>
      <c r="Q32" s="78" t="str">
        <f t="shared" si="9"/>
        <v>TEXT</v>
      </c>
      <c r="R32" s="78" t="str">
        <f t="shared" si="10"/>
        <v/>
      </c>
      <c r="S32" s="78" t="str">
        <f t="shared" si="11"/>
        <v/>
      </c>
      <c r="T32" s="78" t="str">
        <f t="shared" si="12"/>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milscm_2023_009.sny_202310_backup_text_mml_mmlps_medication.long_term IS '長期処方可';</v>
      </c>
    </row>
    <row r="33" spans="1:52" s="25" customFormat="1" ht="18"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ENT_01_A6-26</v>
      </c>
      <c r="E6" s="251"/>
      <c r="F6" s="251"/>
      <c r="G6" s="251"/>
      <c r="H6" s="251"/>
      <c r="I6" s="251"/>
      <c r="J6" s="252"/>
    </row>
    <row r="7" spans="1:45">
      <c r="B7" s="240" t="s">
        <v>115</v>
      </c>
      <c r="C7" s="241"/>
      <c r="D7" s="242" t="s">
        <v>2875</v>
      </c>
      <c r="E7" s="243"/>
      <c r="F7" s="243"/>
      <c r="G7" s="243"/>
      <c r="H7" s="243"/>
      <c r="I7" s="243"/>
      <c r="J7" s="244"/>
    </row>
    <row r="8" spans="1:45">
      <c r="B8" s="240" t="s">
        <v>116</v>
      </c>
      <c r="C8" s="241"/>
      <c r="D8" s="242" t="str">
        <f>エンティティ一覧!AE2&amp;"_"&amp;D5&amp;"_text_mml_mmlps_medicine"</f>
        <v>sny_202310_backup_text_mml_mmlps_medicine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milscm_2023_009.sny_202310_backup_text_mml_mmlps_medicine;</v>
      </c>
      <c r="O10" s="78"/>
      <c r="P10" s="78"/>
      <c r="Q10" s="78"/>
      <c r="R10" s="78"/>
      <c r="S10" s="78"/>
      <c r="T10" s="78"/>
      <c r="AJ10" s="78" t="str">
        <f>"ALTER TABLE ONLY "&amp;エンティティ一覧!$O$2&amp;"."&amp;D$8</f>
        <v>ALTER TABLE ONLY milscm_2023_009.sny_202310_backup_text_mml_mmlps_medicine</v>
      </c>
      <c r="AS10" s="78" t="str">
        <f>"ALTER TABLE "&amp;エンティティ一覧!$O$2&amp;"."&amp;D$8&amp;" OWNER TO pgmisgrp1;"</f>
        <v>ALTER TABLE milscm_2023_009.sny_202310_backup_text_mml_mmlps_medicine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milscm_2023_009.sny_202310_backup_text_mml_mmlps_medicine</v>
      </c>
      <c r="O11" s="78"/>
      <c r="P11" s="78"/>
      <c r="Q11" s="78"/>
      <c r="R11" s="78"/>
      <c r="S11" s="78"/>
      <c r="T11" s="78"/>
      <c r="AJ11" s="78" t="str">
        <f>"ADD CONSTRAINT "&amp;D$8&amp;"_pkey PRIMARY KEY"</f>
        <v>ADD CONSTRAINT sny_202310_backup_text_mml_mmlps_medicine_pkey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2876</v>
      </c>
      <c r="D19" s="6" t="s">
        <v>2877</v>
      </c>
      <c r="E19" s="8" t="s">
        <v>127</v>
      </c>
      <c r="F19" s="7" t="s">
        <v>2802</v>
      </c>
      <c r="G19" s="7" t="str">
        <f t="shared" ref="G19" si="7">IF(F19="フラグ","boolean",IF(F19="文字列","text",IF(F19="整数","integer",IF(F19="実数","numeric",""))))</f>
        <v>integer</v>
      </c>
      <c r="H19" s="26"/>
      <c r="I19" s="10" t="s">
        <v>127</v>
      </c>
      <c r="J19" s="11"/>
      <c r="M19" s="4"/>
      <c r="N19" s="78"/>
      <c r="O19" s="78"/>
      <c r="P19" s="78" t="str">
        <f t="shared" ref="P19" si="8">IF(B19&lt;&gt;1,","&amp;D19,D19)</f>
        <v>,medicine_no</v>
      </c>
      <c r="Q19" s="78" t="str">
        <f t="shared" ref="Q19" si="9">UPPER(G19)</f>
        <v>INTEGER</v>
      </c>
      <c r="R19" s="78" t="str">
        <f t="shared" ref="R19" si="10">IF(H19&lt;&gt;"","default "&amp;IF(G19="text","'"&amp;H19&amp;"'",H19),"")</f>
        <v/>
      </c>
      <c r="S19" s="78" t="str">
        <f t="shared" ref="S19" si="11">IF(I19="○","NOT NULL","")</f>
        <v>NOT NULL</v>
      </c>
      <c r="T19" s="78" t="str">
        <f t="shared" ref="T19" si="12">"-- "&amp;C19</f>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ENT_01_A6-27</v>
      </c>
      <c r="E6" s="251"/>
      <c r="F6" s="251"/>
      <c r="G6" s="251"/>
      <c r="H6" s="251"/>
      <c r="I6" s="251"/>
      <c r="J6" s="252"/>
    </row>
    <row r="7" spans="1:45">
      <c r="B7" s="240" t="s">
        <v>115</v>
      </c>
      <c r="C7" s="241"/>
      <c r="D7" s="242" t="s">
        <v>2880</v>
      </c>
      <c r="E7" s="243"/>
      <c r="F7" s="243"/>
      <c r="G7" s="243"/>
      <c r="H7" s="243"/>
      <c r="I7" s="243"/>
      <c r="J7" s="244"/>
    </row>
    <row r="8" spans="1:45">
      <c r="B8" s="240" t="s">
        <v>116</v>
      </c>
      <c r="C8" s="241"/>
      <c r="D8" s="242" t="str">
        <f>エンティティ一覧!AE2&amp;"_"&amp;D5&amp;"_text_mml_mmlinj_body"</f>
        <v>sny_202310_backup_text_mml_mmlinj_body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milscm_2023_009.sny_202310_backup_text_mml_mmlinj_body;</v>
      </c>
      <c r="O10" s="78"/>
      <c r="P10" s="78"/>
      <c r="Q10" s="78"/>
      <c r="R10" s="78"/>
      <c r="S10" s="78"/>
      <c r="T10" s="78"/>
      <c r="AJ10" s="78" t="str">
        <f>"ALTER TABLE ONLY "&amp;エンティティ一覧!$O$2&amp;"."&amp;D$8</f>
        <v>ALTER TABLE ONLY milscm_2023_009.sny_202310_backup_text_mml_mmlinj_body</v>
      </c>
      <c r="AS10" s="78" t="str">
        <f>"ALTER TABLE "&amp;エンティティ一覧!$O$2&amp;"."&amp;D$8&amp;" OWNER TO pgmisgrp1;"</f>
        <v>ALTER TABLE milscm_2023_009.sny_202310_backup_text_mml_mmlinj_body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milscm_2023_009.sny_202310_backup_text_mml_mmlinj_body</v>
      </c>
      <c r="O11" s="78"/>
      <c r="P11" s="78"/>
      <c r="Q11" s="78"/>
      <c r="R11" s="78"/>
      <c r="S11" s="78"/>
      <c r="T11" s="78"/>
      <c r="AJ11" s="78" t="str">
        <f>"ADD CONSTRAINT "&amp;D$8&amp;"_pkey PRIMARY KEY"</f>
        <v>ADD CONSTRAINT sny_202310_backup_text_mml_mmlinj_body_pkey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milscm_2023_009.sny_202310_backup_text_mml_mmlinj_body.master_id IS '患者ID';</v>
      </c>
    </row>
    <row r="18" spans="1:52" s="25" customFormat="1" ht="30">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milscm_2023_009.sny_202310_backup_text_mml_mmlinj_body.narcotic_prescription_license_no IS '麻薬施用者番号';</v>
      </c>
    </row>
    <row r="19" spans="1:52" s="25" customFormat="1" ht="18"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milscm_2023_009.sny_202310_backup_text_mml_mmlinj_body.comment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ENT_01_A6-28</v>
      </c>
      <c r="E6" s="251"/>
      <c r="F6" s="251"/>
      <c r="G6" s="251"/>
      <c r="H6" s="251"/>
      <c r="I6" s="251"/>
      <c r="J6" s="252"/>
    </row>
    <row r="7" spans="1:45">
      <c r="B7" s="240" t="s">
        <v>115</v>
      </c>
      <c r="C7" s="241"/>
      <c r="D7" s="242" t="s">
        <v>2889</v>
      </c>
      <c r="E7" s="243"/>
      <c r="F7" s="243"/>
      <c r="G7" s="243"/>
      <c r="H7" s="243"/>
      <c r="I7" s="243"/>
      <c r="J7" s="244"/>
    </row>
    <row r="8" spans="1:45">
      <c r="B8" s="240" t="s">
        <v>116</v>
      </c>
      <c r="C8" s="241"/>
      <c r="D8" s="242" t="str">
        <f>エンティティ一覧!AE2&amp;"_"&amp;D5&amp;"_text_mml_mmlinj_medication"</f>
        <v>sny_202310_backup_text_mml_mmlinj_medication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milscm_2023_009.sny_202310_backup_text_mml_mmlinj_medication;</v>
      </c>
      <c r="O10" s="78"/>
      <c r="P10" s="78"/>
      <c r="Q10" s="78"/>
      <c r="R10" s="78"/>
      <c r="S10" s="78"/>
      <c r="T10" s="78"/>
      <c r="AJ10" s="78" t="str">
        <f>"ALTER TABLE ONLY "&amp;エンティティ一覧!$O$2&amp;"."&amp;D$8</f>
        <v>ALTER TABLE ONLY milscm_2023_009.sny_202310_backup_text_mml_mmlinj_medication</v>
      </c>
      <c r="AS10" s="78" t="str">
        <f>"ALTER TABLE "&amp;エンティティ一覧!$O$2&amp;"."&amp;D$8&amp;" OWNER TO pgmisgrp1;"</f>
        <v>ALTER TABLE milscm_2023_009.sny_202310_backup_text_mml_mmlinj_medication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milscm_2023_009.sny_202310_backup_text_mml_mmlinj_medication</v>
      </c>
      <c r="O11" s="78"/>
      <c r="P11" s="78"/>
      <c r="Q11" s="78"/>
      <c r="R11" s="78"/>
      <c r="S11" s="78"/>
      <c r="T11" s="78"/>
      <c r="AJ11" s="78" t="str">
        <f>"ADD CONSTRAINT "&amp;D$8&amp;"_pkey PRIMARY KEY"</f>
        <v>ADD CONSTRAINT sny_202310_backup_text_mml_mmlinj_medication_pkey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2881</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2883</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milscm_2023_009.sny_202310_backup_text_mml_mmlinj_medication.batch_no IS '処方番号';</v>
      </c>
    </row>
    <row r="29" spans="1:52" s="25" customFormat="1" ht="18"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ENT_01_A6-29</v>
      </c>
      <c r="E6" s="251"/>
      <c r="F6" s="251"/>
      <c r="G6" s="251"/>
      <c r="H6" s="251"/>
      <c r="I6" s="251"/>
      <c r="J6" s="252"/>
    </row>
    <row r="7" spans="1:45">
      <c r="B7" s="240" t="s">
        <v>115</v>
      </c>
      <c r="C7" s="241"/>
      <c r="D7" s="242" t="s">
        <v>2890</v>
      </c>
      <c r="E7" s="243"/>
      <c r="F7" s="243"/>
      <c r="G7" s="243"/>
      <c r="H7" s="243"/>
      <c r="I7" s="243"/>
      <c r="J7" s="244"/>
    </row>
    <row r="8" spans="1:45">
      <c r="B8" s="240" t="s">
        <v>116</v>
      </c>
      <c r="C8" s="241"/>
      <c r="D8" s="242" t="str">
        <f>エンティティ一覧!AE2&amp;"_"&amp;D5&amp;"_text_mml_mmlinj_medicine"</f>
        <v>sny_202310_backup_text_mml_mmlinj_medicine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milscm_2023_009.sny_202310_backup_text_mml_mmlinj_medicine;</v>
      </c>
      <c r="O10" s="78"/>
      <c r="P10" s="78"/>
      <c r="Q10" s="78"/>
      <c r="R10" s="78"/>
      <c r="S10" s="78"/>
      <c r="T10" s="78"/>
      <c r="AJ10" s="78" t="str">
        <f>"ALTER TABLE ONLY "&amp;エンティティ一覧!$O$2&amp;"."&amp;D$8</f>
        <v>ALTER TABLE ONLY milscm_2023_009.sny_202310_backup_text_mml_mmlinj_medicine</v>
      </c>
      <c r="AS10" s="78" t="str">
        <f>"ALTER TABLE "&amp;エンティティ一覧!$O$2&amp;"."&amp;D$8&amp;" OWNER TO pgmisgrp1;"</f>
        <v>ALTER TABLE milscm_2023_009.sny_202310_backup_text_mml_mmlinj_medicine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milscm_2023_009.sny_202310_backup_text_mml_mmlinj_medicine</v>
      </c>
      <c r="O11" s="78"/>
      <c r="P11" s="78"/>
      <c r="Q11" s="78"/>
      <c r="R11" s="78"/>
      <c r="S11" s="78"/>
      <c r="T11" s="78"/>
      <c r="AJ11" s="78" t="str">
        <f>"ADD CONSTRAINT "&amp;D$8&amp;"_pkey PRIMARY KEY"</f>
        <v>ADD CONSTRAINT sny_202310_backup_text_mml_mmlinj_medicine_pkey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ENT_01_A6-42</v>
      </c>
      <c r="E6" s="251"/>
      <c r="F6" s="251"/>
      <c r="G6" s="251"/>
      <c r="H6" s="251"/>
      <c r="I6" s="251"/>
      <c r="J6" s="252"/>
    </row>
    <row r="7" spans="1:45">
      <c r="B7" s="240" t="s">
        <v>115</v>
      </c>
      <c r="C7" s="241"/>
      <c r="D7" s="242" t="s">
        <v>2891</v>
      </c>
      <c r="E7" s="243"/>
      <c r="F7" s="243"/>
      <c r="G7" s="243"/>
      <c r="H7" s="243"/>
      <c r="I7" s="243"/>
      <c r="J7" s="244"/>
    </row>
    <row r="8" spans="1:45">
      <c r="B8" s="240" t="s">
        <v>116</v>
      </c>
      <c r="C8" s="241"/>
      <c r="D8" s="242" t="str">
        <f>エンティティ一覧!AE2&amp;"_"&amp;D5&amp;"_text_mml_mmlsg_surgery_item"</f>
        <v>sny_202310_backup_text_mml_mmlsg_surgery_item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milscm_2023_009.sny_202310_backup_text_mml_mmlsg_surgery_item;</v>
      </c>
      <c r="O10" s="78"/>
      <c r="P10" s="78"/>
      <c r="Q10" s="78"/>
      <c r="R10" s="78"/>
      <c r="S10" s="78"/>
      <c r="T10" s="78"/>
      <c r="AJ10" s="78" t="str">
        <f>"ALTER TABLE ONLY "&amp;エンティティ一覧!$O$2&amp;"."&amp;D$8</f>
        <v>ALTER TABLE ONLY milscm_2023_009.sny_202310_backup_text_mml_mmlsg_surgery_item</v>
      </c>
      <c r="AS10" s="78" t="str">
        <f>"ALTER TABLE "&amp;エンティティ一覧!$O$2&amp;"."&amp;D$8&amp;" OWNER TO pgmisgrp1;"</f>
        <v>ALTER TABLE milscm_2023_009.sny_202310_backup_text_mml_mmlsg_surgery_item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milscm_2023_009.sny_202310_backup_text_mml_mmlsg_surgery_item</v>
      </c>
      <c r="O11" s="78"/>
      <c r="P11" s="78"/>
      <c r="Q11" s="78"/>
      <c r="R11" s="78"/>
      <c r="S11" s="78"/>
      <c r="T11" s="78"/>
      <c r="AJ11" s="78" t="str">
        <f>"ADD CONSTRAINT "&amp;D$8&amp;"_pkey PRIMARY KEY"</f>
        <v>ADD CONSTRAINT sny_202310_backup_text_mml_mmlsg_surgery_item_pkey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5" si="0">UPPER(G13)</f>
        <v>INTEGER</v>
      </c>
      <c r="R13" s="78" t="str">
        <f t="shared" ref="R13:R25"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2803</v>
      </c>
      <c r="D14" s="6" t="s">
        <v>2804</v>
      </c>
      <c r="E14" s="8" t="s">
        <v>127</v>
      </c>
      <c r="F14" s="7" t="s">
        <v>2802</v>
      </c>
      <c r="G14" s="7" t="str">
        <f t="shared" ref="G14:G25" si="3">IF(F14="フラグ","boolean",IF(F14="文字列","text",IF(F14="整数","integer",IF(F14="実数","numeric",""))))</f>
        <v>integer</v>
      </c>
      <c r="H14" s="26"/>
      <c r="I14" s="10" t="s">
        <v>127</v>
      </c>
      <c r="J14" s="11"/>
      <c r="M14" s="4"/>
      <c r="N14" s="78"/>
      <c r="O14" s="78"/>
      <c r="P14" s="78" t="str">
        <f t="shared" ref="P14:P25" si="4">IF(B14&lt;&gt;1,","&amp;D14,D14)</f>
        <v>,file_no</v>
      </c>
      <c r="Q14" s="78" t="str">
        <f t="shared" si="0"/>
        <v>INTEGER</v>
      </c>
      <c r="R14" s="78" t="str">
        <f t="shared" si="1"/>
        <v/>
      </c>
      <c r="S14" s="78" t="str">
        <f t="shared" ref="S14:S25" si="5">IF(I14="○","NOT NULL","")</f>
        <v>NOT NULL</v>
      </c>
      <c r="T14" s="78" t="str">
        <f t="shared" ref="T14:T25"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2894</v>
      </c>
      <c r="D19" s="6" t="s">
        <v>2895</v>
      </c>
      <c r="E19" s="8"/>
      <c r="F19" s="7" t="s">
        <v>1841</v>
      </c>
      <c r="G19" s="7" t="str">
        <f t="shared" si="3"/>
        <v>text</v>
      </c>
      <c r="H19" s="26"/>
      <c r="I19" s="10"/>
      <c r="J19" s="11"/>
      <c r="M19" s="4"/>
      <c r="N19" s="78"/>
      <c r="O19" s="78"/>
      <c r="P19" s="78" t="str">
        <f t="shared" si="4"/>
        <v>,surgical_info_type</v>
      </c>
      <c r="Q19" s="78" t="str">
        <f t="shared" si="0"/>
        <v>TEXT</v>
      </c>
      <c r="R19" s="78" t="str">
        <f t="shared" si="1"/>
        <v/>
      </c>
      <c r="S19" s="78" t="str">
        <f t="shared" si="5"/>
        <v/>
      </c>
      <c r="T19" s="78" t="str">
        <f t="shared" si="6"/>
        <v>-- 手術の種類コード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2896</v>
      </c>
      <c r="D20" s="6" t="s">
        <v>2897</v>
      </c>
      <c r="E20" s="8"/>
      <c r="F20" s="7" t="s">
        <v>1841</v>
      </c>
      <c r="G20" s="7" t="str">
        <f t="shared" ref="G20:G23" si="7">IF(F20="フラグ","boolean",IF(F20="文字列","text",IF(F20="整数","integer",IF(F20="実数","numeric",""))))</f>
        <v>text</v>
      </c>
      <c r="H20" s="26"/>
      <c r="I20" s="10"/>
      <c r="J20" s="11" t="s">
        <v>2871</v>
      </c>
      <c r="M20" s="4"/>
      <c r="N20" s="78"/>
      <c r="O20" s="78"/>
      <c r="P20" s="78" t="str">
        <f t="shared" ref="P20:P23" si="8">IF(B20&lt;&gt;1,","&amp;D20,D20)</f>
        <v>,surgical_info_date</v>
      </c>
      <c r="Q20" s="78" t="str">
        <f t="shared" ref="Q20:Q23" si="9">UPPER(G20)</f>
        <v>TEXT</v>
      </c>
      <c r="R20" s="78" t="str">
        <f t="shared" ref="R20:R23" si="10">IF(H20&lt;&gt;"","default "&amp;IF(G20="text","'"&amp;H20&amp;"'",H20),"")</f>
        <v/>
      </c>
      <c r="S20" s="78" t="str">
        <f t="shared" ref="S20:S23" si="11">IF(I20="○","NOT NULL","")</f>
        <v/>
      </c>
      <c r="T20" s="78" t="str">
        <f t="shared" ref="T20:T23" si="12">"-- "&amp;C20</f>
        <v>-- 手術施行日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milscm_2023_009.sny_202310_backup_text_mml_mmlsg_surgery_item.surgical_info_date IS '手術施行日';</v>
      </c>
    </row>
    <row r="21" spans="1:52" s="25" customFormat="1" ht="29.4" customHeight="1">
      <c r="A21" s="4"/>
      <c r="B21" s="21">
        <f t="shared" si="2"/>
        <v>9</v>
      </c>
      <c r="C21" s="6" t="s">
        <v>2898</v>
      </c>
      <c r="D21" s="6" t="s">
        <v>2899</v>
      </c>
      <c r="E21" s="8"/>
      <c r="F21" s="7" t="s">
        <v>1841</v>
      </c>
      <c r="G21" s="7" t="str">
        <f t="shared" si="7"/>
        <v>text</v>
      </c>
      <c r="H21" s="26"/>
      <c r="I21" s="10"/>
      <c r="J21" s="11" t="s">
        <v>2908</v>
      </c>
      <c r="M21" s="4"/>
      <c r="N21" s="78"/>
      <c r="O21" s="78"/>
      <c r="P21" s="78" t="str">
        <f t="shared" si="8"/>
        <v>,surgical_info_start_time</v>
      </c>
      <c r="Q21" s="78" t="str">
        <f t="shared" si="9"/>
        <v>TEXT</v>
      </c>
      <c r="R21" s="78" t="str">
        <f t="shared" si="10"/>
        <v/>
      </c>
      <c r="S21" s="78" t="str">
        <f t="shared" si="11"/>
        <v/>
      </c>
      <c r="T21" s="78" t="str">
        <f t="shared" si="12"/>
        <v>-- 手術開始時刻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2900</v>
      </c>
      <c r="D22" s="6" t="s">
        <v>2901</v>
      </c>
      <c r="E22" s="8"/>
      <c r="F22" s="7" t="s">
        <v>1841</v>
      </c>
      <c r="G22" s="7" t="str">
        <f t="shared" si="7"/>
        <v>text</v>
      </c>
      <c r="H22" s="26"/>
      <c r="I22" s="10"/>
      <c r="J22" s="11" t="s">
        <v>2909</v>
      </c>
      <c r="M22" s="4"/>
      <c r="N22" s="78"/>
      <c r="O22" s="78"/>
      <c r="P22" s="78" t="str">
        <f t="shared" si="8"/>
        <v>,surgical_info_duration</v>
      </c>
      <c r="Q22" s="78" t="str">
        <f t="shared" si="9"/>
        <v>TEXT</v>
      </c>
      <c r="R22" s="78" t="str">
        <f t="shared" si="10"/>
        <v/>
      </c>
      <c r="S22" s="78" t="str">
        <f t="shared" si="11"/>
        <v/>
      </c>
      <c r="T22" s="78" t="str">
        <f t="shared" si="12"/>
        <v>-- 手術時間</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2902</v>
      </c>
      <c r="D23" s="6" t="s">
        <v>2903</v>
      </c>
      <c r="E23" s="8"/>
      <c r="F23" s="7" t="s">
        <v>1841</v>
      </c>
      <c r="G23" s="7" t="str">
        <f t="shared" si="7"/>
        <v>text</v>
      </c>
      <c r="H23" s="26"/>
      <c r="I23" s="10"/>
      <c r="J23" s="11" t="s">
        <v>2909</v>
      </c>
      <c r="M23" s="4"/>
      <c r="N23" s="78"/>
      <c r="O23" s="78"/>
      <c r="P23" s="78" t="str">
        <f t="shared" si="8"/>
        <v>,anesthesia_duration</v>
      </c>
      <c r="Q23" s="78" t="str">
        <f t="shared" si="9"/>
        <v>TEXT</v>
      </c>
      <c r="R23" s="78" t="str">
        <f t="shared" si="10"/>
        <v/>
      </c>
      <c r="S23" s="78" t="str">
        <f t="shared" si="11"/>
        <v/>
      </c>
      <c r="T23" s="78" t="str">
        <f t="shared" si="12"/>
        <v>-- 麻酔時間</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2904</v>
      </c>
      <c r="D24" s="6" t="s">
        <v>2905</v>
      </c>
      <c r="E24" s="8"/>
      <c r="F24" s="7" t="s">
        <v>1841</v>
      </c>
      <c r="G24" s="7" t="str">
        <f t="shared" si="3"/>
        <v>text</v>
      </c>
      <c r="H24" s="26"/>
      <c r="I24" s="10"/>
      <c r="J24" s="11"/>
      <c r="M24" s="4"/>
      <c r="N24" s="78"/>
      <c r="O24" s="78"/>
      <c r="P24" s="78" t="str">
        <f t="shared" si="4"/>
        <v>,operative_notes</v>
      </c>
      <c r="Q24" s="78" t="str">
        <f t="shared" si="0"/>
        <v>TEXT</v>
      </c>
      <c r="R24" s="78" t="str">
        <f t="shared" si="1"/>
        <v/>
      </c>
      <c r="S24" s="78" t="str">
        <f t="shared" si="5"/>
        <v/>
      </c>
      <c r="T24" s="78" t="str">
        <f t="shared" si="6"/>
        <v>-- 手術記録の自由文章表現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milscm_2023_009.sny_202310_backup_text_mml_mmlsg_surgery_item.operative_notes IS '手術記録の自由文章表現';</v>
      </c>
    </row>
    <row r="25" spans="1:52" s="25" customFormat="1" ht="18" thickBot="1">
      <c r="A25" s="4"/>
      <c r="B25" s="27">
        <f>ROW()-12</f>
        <v>13</v>
      </c>
      <c r="C25" s="57" t="s">
        <v>2906</v>
      </c>
      <c r="D25" s="57" t="s">
        <v>2907</v>
      </c>
      <c r="E25" s="56"/>
      <c r="F25" s="56" t="s">
        <v>1841</v>
      </c>
      <c r="G25" s="56" t="str">
        <f t="shared" si="3"/>
        <v>text</v>
      </c>
      <c r="H25" s="59"/>
      <c r="I25" s="60"/>
      <c r="J25" s="64"/>
      <c r="N25" s="78"/>
      <c r="O25" s="78"/>
      <c r="P25" s="78" t="str">
        <f t="shared" si="4"/>
        <v>,memo</v>
      </c>
      <c r="Q25" s="78" t="str">
        <f t="shared" si="0"/>
        <v>TEXT</v>
      </c>
      <c r="R25" s="78" t="str">
        <f t="shared" si="1"/>
        <v/>
      </c>
      <c r="S25" s="78" t="str">
        <f t="shared" si="5"/>
        <v/>
      </c>
      <c r="T25" s="78" t="str">
        <f t="shared" si="6"/>
        <v>-- 手術に関する追加事項</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milscm_2023_009.sny_202310_backup_text_mml_mmlsg_surgery_item.memo IS '手術に関する追加事項';</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ENT_01_A6-43</v>
      </c>
      <c r="E6" s="251"/>
      <c r="F6" s="251"/>
      <c r="G6" s="251"/>
      <c r="H6" s="251"/>
      <c r="I6" s="251"/>
      <c r="J6" s="252"/>
    </row>
    <row r="7" spans="1:45">
      <c r="B7" s="240" t="s">
        <v>115</v>
      </c>
      <c r="C7" s="241"/>
      <c r="D7" s="242" t="s">
        <v>2910</v>
      </c>
      <c r="E7" s="243"/>
      <c r="F7" s="243"/>
      <c r="G7" s="243"/>
      <c r="H7" s="243"/>
      <c r="I7" s="243"/>
      <c r="J7" s="244"/>
    </row>
    <row r="8" spans="1:45">
      <c r="B8" s="240" t="s">
        <v>116</v>
      </c>
      <c r="C8" s="241"/>
      <c r="D8" s="242" t="str">
        <f>エンティティ一覧!AE2&amp;"_"&amp;D5&amp;"_text_mml_mmlsg_dp"</f>
        <v>sny_202310_backup_text_mml_mmlsg_dp</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milscm_2023_009.sny_202310_backup_text_mml_mmlsg_dp;</v>
      </c>
      <c r="O10" s="78"/>
      <c r="P10" s="78"/>
      <c r="Q10" s="78"/>
      <c r="R10" s="78"/>
      <c r="S10" s="78"/>
      <c r="T10" s="78"/>
      <c r="AJ10" s="78" t="str">
        <f>"ALTER TABLE ONLY "&amp;エンティティ一覧!$O$2&amp;"."&amp;D$8</f>
        <v>ALTER TABLE ONLY milscm_2023_009.sny_202310_backup_text_mml_mmlsg_dp</v>
      </c>
      <c r="AS10" s="78" t="str">
        <f>"ALTER TABLE "&amp;エンティティ一覧!$O$2&amp;"."&amp;D$8&amp;" OWNER TO pgmisgrp1;"</f>
        <v>ALTER TABLE milscm_2023_009.sny_202310_backup_text_mml_mmlsg_dp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milscm_2023_009.sny_202310_backup_text_mml_mmlsg_dp</v>
      </c>
      <c r="O11" s="78"/>
      <c r="P11" s="78"/>
      <c r="Q11" s="78"/>
      <c r="R11" s="78"/>
      <c r="S11" s="78"/>
      <c r="T11" s="78"/>
      <c r="AJ11" s="78" t="str">
        <f>"ADD CONSTRAINT "&amp;D$8&amp;"_pkey PRIMARY KEY"</f>
        <v>ADD CONSTRAINT sny_202310_backup_text_mml_mmlsg_dp_pkey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milscm_2023_009.sny_202310_backup_text_mml_mmlsg_dp.master_id IS '患者ID';</v>
      </c>
    </row>
    <row r="18" spans="1:52" s="25" customFormat="1">
      <c r="A18" s="4"/>
      <c r="B18" s="21">
        <f t="shared" si="2"/>
        <v>6</v>
      </c>
      <c r="C18" s="6" t="s">
        <v>2911</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milscm_2023_009.sny_202310_backup_text_mml_mmlsg_dp.surgery_item_no IS '手術項目No';</v>
      </c>
    </row>
    <row r="19" spans="1:52" s="25" customFormat="1" ht="52.2">
      <c r="A19" s="4"/>
      <c r="B19" s="21">
        <f t="shared" si="2"/>
        <v>7</v>
      </c>
      <c r="C19" s="6" t="s">
        <v>2912</v>
      </c>
      <c r="D19" s="6" t="s">
        <v>2819</v>
      </c>
      <c r="E19" s="8" t="s">
        <v>127</v>
      </c>
      <c r="F19" s="7" t="s">
        <v>1841</v>
      </c>
      <c r="G19" s="7" t="str">
        <f t="shared" ref="G19:G22" si="7">IF(F19="フラグ","boolean",IF(F19="文字列","text",IF(F19="整数","integer",IF(F19="実数","numeric",""))))</f>
        <v>text</v>
      </c>
      <c r="H19" s="26"/>
      <c r="I19" s="10" t="s">
        <v>127</v>
      </c>
      <c r="J19" s="11" t="s">
        <v>2932</v>
      </c>
      <c r="M19" s="4"/>
      <c r="N19" s="78"/>
      <c r="O19" s="78"/>
      <c r="P19" s="78" t="str">
        <f t="shared" ref="P19:P22" si="8">IF(B19&lt;&gt;1,","&amp;D19,D19)</f>
        <v>,tag_name</v>
      </c>
      <c r="Q19" s="78" t="str">
        <f t="shared" ref="Q19:Q22" si="9">UPPER(G19)</f>
        <v>TEXT</v>
      </c>
      <c r="R19" s="78" t="str">
        <f t="shared" ref="R19:R22" si="10">IF(H19&lt;&gt;"","default "&amp;IF(G19="text","'"&amp;H19&amp;"'",H19),"")</f>
        <v/>
      </c>
      <c r="S19" s="78" t="str">
        <f t="shared" ref="S19:S22" si="11">IF(I19="○","NOT NULL","")</f>
        <v>NOT NULL</v>
      </c>
      <c r="T19" s="78" t="str">
        <f t="shared" ref="T19:T22" si="12">"-- "&amp;C19</f>
        <v>-- タグ名</v>
      </c>
      <c r="U19" s="4"/>
      <c r="AA19" s="4"/>
      <c r="AB19" s="4"/>
      <c r="AC19" s="4"/>
      <c r="AD19" s="4"/>
      <c r="AE19" s="4"/>
      <c r="AF19" s="4"/>
      <c r="AG19" s="4"/>
      <c r="AH19" s="4"/>
      <c r="AI19" s="4"/>
      <c r="AJ19" s="78" t="str">
        <f>IF(E19="○",IF(COUNTA(E$13:E19)=1,"",",")&amp;D19,"")</f>
        <v>,tag_name</v>
      </c>
      <c r="AK19" s="4"/>
      <c r="AL19" s="4"/>
      <c r="AM19" s="4"/>
      <c r="AN19" s="4"/>
      <c r="AO19" s="4"/>
      <c r="AP19" s="4"/>
      <c r="AQ19" s="4"/>
      <c r="AR19" s="4"/>
      <c r="AS19" s="78" t="str">
        <f>"COMMENT ON COLUMN "&amp;エンティティ一覧!$O$2&amp;"."&amp;D$8&amp;"."&amp;D19&amp;" IS '"&amp;C19&amp;"';"</f>
        <v>COMMENT ON COLUMN milscm_2023_009.sny_202310_backup_text_mml_mmlsg_dp.tag_name IS 'タグ名';</v>
      </c>
    </row>
    <row r="20" spans="1:52" s="25" customFormat="1">
      <c r="A20" s="4"/>
      <c r="B20" s="21">
        <f t="shared" si="2"/>
        <v>8</v>
      </c>
      <c r="C20" s="6" t="s">
        <v>2913</v>
      </c>
      <c r="D20" s="6" t="s">
        <v>2914</v>
      </c>
      <c r="E20" s="8" t="s">
        <v>127</v>
      </c>
      <c r="F20" s="7" t="s">
        <v>2802</v>
      </c>
      <c r="G20" s="7" t="str">
        <f t="shared" si="7"/>
        <v>integer</v>
      </c>
      <c r="H20" s="26"/>
      <c r="I20" s="10" t="s">
        <v>127</v>
      </c>
      <c r="J20" s="11" t="s">
        <v>2933</v>
      </c>
      <c r="M20" s="4"/>
      <c r="N20" s="78"/>
      <c r="O20" s="78"/>
      <c r="P20" s="78" t="str">
        <f t="shared" si="8"/>
        <v>,dp_no</v>
      </c>
      <c r="Q20" s="78" t="str">
        <f t="shared" si="9"/>
        <v>INTEGER</v>
      </c>
      <c r="R20" s="78" t="str">
        <f t="shared" si="10"/>
        <v/>
      </c>
      <c r="S20" s="78" t="str">
        <f t="shared" si="11"/>
        <v>NOT NULL</v>
      </c>
      <c r="T20" s="78" t="str">
        <f t="shared" si="12"/>
        <v>-- 診療科情報No</v>
      </c>
      <c r="U20" s="4"/>
      <c r="AA20" s="4"/>
      <c r="AB20" s="4"/>
      <c r="AC20" s="4"/>
      <c r="AD20" s="4"/>
      <c r="AE20" s="4"/>
      <c r="AF20" s="4"/>
      <c r="AG20" s="4"/>
      <c r="AH20" s="4"/>
      <c r="AI20" s="4"/>
      <c r="AJ20" s="78" t="str">
        <f>IF(E20="○",IF(COUNTA(E$13:E20)=1,"",",")&amp;D20,"")</f>
        <v>,dp_no</v>
      </c>
      <c r="AK20" s="4"/>
      <c r="AL20" s="4"/>
      <c r="AM20" s="4"/>
      <c r="AN20" s="4"/>
      <c r="AO20" s="4"/>
      <c r="AP20" s="4"/>
      <c r="AQ20" s="4"/>
      <c r="AR20" s="4"/>
      <c r="AS20" s="78"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2915</v>
      </c>
      <c r="D21" s="6" t="s">
        <v>2916</v>
      </c>
      <c r="E21" s="8" t="s">
        <v>127</v>
      </c>
      <c r="F21" s="7" t="s">
        <v>2802</v>
      </c>
      <c r="G21" s="7" t="str">
        <f t="shared" si="7"/>
        <v>integer</v>
      </c>
      <c r="H21" s="26"/>
      <c r="I21" s="10" t="s">
        <v>127</v>
      </c>
      <c r="J21" s="11" t="s">
        <v>2934</v>
      </c>
      <c r="M21" s="4"/>
      <c r="N21" s="78"/>
      <c r="O21" s="78"/>
      <c r="P21" s="78" t="str">
        <f t="shared" si="8"/>
        <v>,dp_name_no</v>
      </c>
      <c r="Q21" s="78" t="str">
        <f t="shared" si="9"/>
        <v>INTEGER</v>
      </c>
      <c r="R21" s="78" t="str">
        <f t="shared" si="10"/>
        <v/>
      </c>
      <c r="S21" s="78" t="str">
        <f t="shared" si="11"/>
        <v>NOT NULL</v>
      </c>
      <c r="T21" s="78" t="str">
        <f t="shared" si="12"/>
        <v>-- 診療科名称No</v>
      </c>
      <c r="U21" s="4"/>
      <c r="AA21" s="4"/>
      <c r="AB21" s="4"/>
      <c r="AC21" s="4"/>
      <c r="AD21" s="4"/>
      <c r="AE21" s="4"/>
      <c r="AF21" s="4"/>
      <c r="AG21" s="4"/>
      <c r="AH21" s="4"/>
      <c r="AI21" s="4"/>
      <c r="AJ21" s="78" t="str">
        <f>IF(E21="○",IF(COUNTA(E$13:E21)=1,"",",")&amp;D21,"")</f>
        <v>,dp_name_no</v>
      </c>
      <c r="AK21" s="4"/>
      <c r="AL21" s="4"/>
      <c r="AM21" s="4"/>
      <c r="AN21" s="4"/>
      <c r="AO21" s="4"/>
      <c r="AP21" s="4"/>
      <c r="AQ21" s="4"/>
      <c r="AR21" s="4"/>
      <c r="AS21" s="78"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2917</v>
      </c>
      <c r="D22" s="6" t="s">
        <v>2918</v>
      </c>
      <c r="E22" s="8"/>
      <c r="F22" s="7" t="s">
        <v>1841</v>
      </c>
      <c r="G22" s="7" t="str">
        <f t="shared" si="7"/>
        <v>text</v>
      </c>
      <c r="H22" s="26"/>
      <c r="I22" s="10"/>
      <c r="J22" s="11"/>
      <c r="M22" s="4"/>
      <c r="N22" s="78"/>
      <c r="O22" s="78"/>
      <c r="P22" s="78" t="str">
        <f t="shared" si="8"/>
        <v>,id</v>
      </c>
      <c r="Q22" s="78" t="str">
        <f t="shared" si="9"/>
        <v>TEXT</v>
      </c>
      <c r="R22" s="78" t="str">
        <f t="shared" si="10"/>
        <v/>
      </c>
      <c r="S22" s="78" t="str">
        <f t="shared" si="11"/>
        <v/>
      </c>
      <c r="T22" s="78" t="str">
        <f t="shared" si="12"/>
        <v>-- 診療科ID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milscm_2023_009.sny_202310_backup_text_mml_mmlsg_dp.id IS '診療科ID';</v>
      </c>
    </row>
    <row r="23" spans="1:52" s="25" customFormat="1">
      <c r="A23" s="4"/>
      <c r="B23" s="21">
        <f t="shared" si="2"/>
        <v>11</v>
      </c>
      <c r="C23" s="6" t="s">
        <v>2919</v>
      </c>
      <c r="D23" s="6" t="s">
        <v>2920</v>
      </c>
      <c r="E23" s="8"/>
      <c r="F23" s="7" t="s">
        <v>1841</v>
      </c>
      <c r="G23" s="7" t="str">
        <f t="shared" si="3"/>
        <v>text</v>
      </c>
      <c r="H23" s="26"/>
      <c r="I23" s="10"/>
      <c r="J23" s="11"/>
      <c r="M23" s="4"/>
      <c r="N23" s="78"/>
      <c r="O23" s="78"/>
      <c r="P23" s="78" t="str">
        <f t="shared" si="4"/>
        <v>,type</v>
      </c>
      <c r="Q23" s="78" t="str">
        <f t="shared" si="0"/>
        <v>TEXT</v>
      </c>
      <c r="R23" s="78" t="str">
        <f t="shared" si="1"/>
        <v/>
      </c>
      <c r="S23" s="78" t="str">
        <f t="shared" si="5"/>
        <v/>
      </c>
      <c r="T23" s="78" t="str">
        <f t="shared" si="6"/>
        <v>-- 診療科ID_種類コード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2921</v>
      </c>
      <c r="D24" s="6" t="s">
        <v>2830</v>
      </c>
      <c r="E24" s="8"/>
      <c r="F24" s="7" t="s">
        <v>1841</v>
      </c>
      <c r="G24" s="7" t="str">
        <f t="shared" si="3"/>
        <v>text</v>
      </c>
      <c r="H24" s="26"/>
      <c r="I24" s="10"/>
      <c r="J24" s="11"/>
      <c r="M24" s="4"/>
      <c r="N24" s="78"/>
      <c r="O24" s="78"/>
      <c r="P24" s="78" t="str">
        <f t="shared" si="4"/>
        <v>,table_id</v>
      </c>
      <c r="Q24" s="78" t="str">
        <f t="shared" si="0"/>
        <v>TEXT</v>
      </c>
      <c r="R24" s="78" t="str">
        <f t="shared" si="1"/>
        <v/>
      </c>
      <c r="S24" s="78" t="str">
        <f t="shared" si="5"/>
        <v/>
      </c>
      <c r="T24" s="78" t="str">
        <f t="shared" si="6"/>
        <v>-- 診療科ID_テーブル名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milscm_2023_009.sny_202310_backup_text_mml_mmlsg_dp.table_id IS '診療科ID_テーブル名';</v>
      </c>
    </row>
    <row r="25" spans="1:52" s="25" customFormat="1" ht="29.4" customHeight="1">
      <c r="A25" s="4"/>
      <c r="B25" s="21">
        <f t="shared" si="2"/>
        <v>13</v>
      </c>
      <c r="C25" s="6" t="s">
        <v>2922</v>
      </c>
      <c r="D25" s="6" t="s">
        <v>2923</v>
      </c>
      <c r="E25" s="8"/>
      <c r="F25" s="7" t="s">
        <v>2802</v>
      </c>
      <c r="G25" s="7" t="str">
        <f t="shared" si="3"/>
        <v>integer</v>
      </c>
      <c r="H25" s="26"/>
      <c r="I25" s="10"/>
      <c r="J25" s="11"/>
      <c r="M25" s="4"/>
      <c r="N25" s="78"/>
      <c r="O25" s="78"/>
      <c r="P25" s="78" t="str">
        <f t="shared" si="4"/>
        <v>,check_digit</v>
      </c>
      <c r="Q25" s="78" t="str">
        <f t="shared" si="0"/>
        <v>INTEGER</v>
      </c>
      <c r="R25" s="78" t="str">
        <f t="shared" si="1"/>
        <v/>
      </c>
      <c r="S25" s="78" t="str">
        <f t="shared" si="5"/>
        <v/>
      </c>
      <c r="T25" s="78" t="str">
        <f t="shared" si="6"/>
        <v>-- 診療科ID_チェックディジット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2924</v>
      </c>
      <c r="D26" s="6" t="s">
        <v>2925</v>
      </c>
      <c r="E26" s="8"/>
      <c r="F26" s="7" t="s">
        <v>1841</v>
      </c>
      <c r="G26" s="7" t="str">
        <f t="shared" si="3"/>
        <v>text</v>
      </c>
      <c r="H26" s="26"/>
      <c r="I26" s="10"/>
      <c r="J26" s="11"/>
      <c r="M26" s="4"/>
      <c r="N26" s="78"/>
      <c r="O26" s="78"/>
      <c r="P26" s="78" t="str">
        <f t="shared" si="4"/>
        <v>,check_digit_schema</v>
      </c>
      <c r="Q26" s="78" t="str">
        <f t="shared" si="0"/>
        <v>TEXT</v>
      </c>
      <c r="R26" s="78" t="str">
        <f t="shared" si="1"/>
        <v/>
      </c>
      <c r="S26" s="78" t="str">
        <f t="shared" si="5"/>
        <v/>
      </c>
      <c r="T26" s="78" t="str">
        <f t="shared" si="6"/>
        <v>-- 診療科ID_チェックディジット方式</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2926</v>
      </c>
      <c r="D27" s="6" t="s">
        <v>2927</v>
      </c>
      <c r="E27" s="8"/>
      <c r="F27" s="7" t="s">
        <v>1841</v>
      </c>
      <c r="G27" s="7" t="str">
        <f t="shared" si="3"/>
        <v>text</v>
      </c>
      <c r="H27" s="26"/>
      <c r="I27" s="10"/>
      <c r="J27" s="11"/>
      <c r="M27" s="4"/>
      <c r="N27" s="78"/>
      <c r="O27" s="78"/>
      <c r="P27" s="78" t="str">
        <f t="shared" si="4"/>
        <v>,dp_name</v>
      </c>
      <c r="Q27" s="78" t="str">
        <f t="shared" si="0"/>
        <v>TEXT</v>
      </c>
      <c r="R27" s="78" t="str">
        <f t="shared" si="1"/>
        <v/>
      </c>
      <c r="S27" s="78" t="str">
        <f t="shared" si="5"/>
        <v/>
      </c>
      <c r="T27" s="78" t="str">
        <f t="shared" si="6"/>
        <v>-- 診療科名称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2928</v>
      </c>
      <c r="D28" s="6" t="s">
        <v>2929</v>
      </c>
      <c r="E28" s="8"/>
      <c r="F28" s="7" t="s">
        <v>1841</v>
      </c>
      <c r="G28" s="7" t="str">
        <f t="shared" si="3"/>
        <v>text</v>
      </c>
      <c r="H28" s="26"/>
      <c r="I28" s="10"/>
      <c r="J28" s="11"/>
      <c r="M28" s="4"/>
      <c r="N28" s="78"/>
      <c r="O28" s="78"/>
      <c r="P28" s="78" t="str">
        <f t="shared" si="4"/>
        <v>,dp_name_rep_code</v>
      </c>
      <c r="Q28" s="78" t="str">
        <f t="shared" si="0"/>
        <v>TEXT</v>
      </c>
      <c r="R28" s="78" t="str">
        <f t="shared" si="1"/>
        <v/>
      </c>
      <c r="S28" s="78" t="str">
        <f t="shared" si="5"/>
        <v/>
      </c>
      <c r="T28" s="78" t="str">
        <f t="shared" si="6"/>
        <v>-- 診療科名称_表記法</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milscm_2023_009.sny_202310_backup_text_mml_mmlsg_dp.dp_name_rep_code IS '診療科名称_表記法';</v>
      </c>
    </row>
    <row r="29" spans="1:52" s="25" customFormat="1" ht="18" thickBot="1">
      <c r="A29" s="4"/>
      <c r="B29" s="27">
        <f>ROW()-12</f>
        <v>17</v>
      </c>
      <c r="C29" s="57" t="s">
        <v>2930</v>
      </c>
      <c r="D29" s="57" t="s">
        <v>2931</v>
      </c>
      <c r="E29" s="56"/>
      <c r="F29" s="56" t="s">
        <v>1841</v>
      </c>
      <c r="G29" s="56" t="str">
        <f t="shared" si="3"/>
        <v>text</v>
      </c>
      <c r="H29" s="59"/>
      <c r="I29" s="60"/>
      <c r="J29" s="64"/>
      <c r="N29" s="78"/>
      <c r="O29" s="78"/>
      <c r="P29" s="78" t="str">
        <f t="shared" si="4"/>
        <v>,dp_name_table_id</v>
      </c>
      <c r="Q29" s="78" t="str">
        <f t="shared" si="0"/>
        <v>TEXT</v>
      </c>
      <c r="R29" s="78" t="str">
        <f t="shared" si="1"/>
        <v/>
      </c>
      <c r="S29" s="78" t="str">
        <f t="shared" si="5"/>
        <v/>
      </c>
      <c r="T29" s="78" t="str">
        <f t="shared" si="6"/>
        <v>-- 診療科名称_テーブル名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milscm_2023_009.sny_202310_backup_text_mml_mmlsg_dp.dp_name_table_id IS '診療科名称_テーブル名';</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ENT_01_A6-44</v>
      </c>
      <c r="E6" s="251"/>
      <c r="F6" s="251"/>
      <c r="G6" s="251"/>
      <c r="H6" s="251"/>
      <c r="I6" s="251"/>
      <c r="J6" s="252"/>
    </row>
    <row r="7" spans="1:45">
      <c r="B7" s="240" t="s">
        <v>115</v>
      </c>
      <c r="C7" s="241"/>
      <c r="D7" s="242" t="s">
        <v>2935</v>
      </c>
      <c r="E7" s="243"/>
      <c r="F7" s="243"/>
      <c r="G7" s="243"/>
      <c r="H7" s="243"/>
      <c r="I7" s="243"/>
      <c r="J7" s="244"/>
    </row>
    <row r="8" spans="1:45">
      <c r="B8" s="240" t="s">
        <v>116</v>
      </c>
      <c r="C8" s="241"/>
      <c r="D8" s="242" t="str">
        <f>エンティティ一覧!AE2&amp;"_"&amp;D5&amp;"_text_mml_mmlsg_rd"</f>
        <v>sny_202310_backup_text_mml_mmlsg_rd</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milscm_2023_009.sny_202310_backup_text_mml_mmlsg_rd;</v>
      </c>
      <c r="O10" s="78"/>
      <c r="P10" s="78"/>
      <c r="Q10" s="78"/>
      <c r="R10" s="78"/>
      <c r="S10" s="78"/>
      <c r="T10" s="78"/>
      <c r="AJ10" s="78" t="str">
        <f>"ALTER TABLE ONLY "&amp;エンティティ一覧!$O$2&amp;"."&amp;D$8</f>
        <v>ALTER TABLE ONLY milscm_2023_009.sny_202310_backup_text_mml_mmlsg_rd</v>
      </c>
      <c r="AS10" s="78" t="str">
        <f>"ALTER TABLE "&amp;エンティティ一覧!$O$2&amp;"."&amp;D$8&amp;" OWNER TO pgmisgrp1;"</f>
        <v>ALTER TABLE milscm_2023_009.sny_202310_backup_text_mml_mmlsg_rd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v>
      </c>
      <c r="O11" s="78"/>
      <c r="P11" s="78"/>
      <c r="Q11" s="78"/>
      <c r="R11" s="78"/>
      <c r="S11" s="78"/>
      <c r="T11" s="78"/>
      <c r="AJ11" s="78" t="str">
        <f>"ADD CONSTRAINT "&amp;D$8&amp;"_pkey PRIMARY KEY"</f>
        <v>ADD CONSTRAINT sny_202310_backup_text_mml_mmlsg_rd_pkey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1323</v>
      </c>
      <c r="D20" s="6" t="s">
        <v>2809</v>
      </c>
      <c r="E20" s="8"/>
      <c r="F20" s="7" t="s">
        <v>1841</v>
      </c>
      <c r="G20" s="7" t="str">
        <f t="shared" si="3"/>
        <v>text</v>
      </c>
      <c r="H20" s="26"/>
      <c r="I20" s="10"/>
      <c r="J20" s="11" t="s">
        <v>2814</v>
      </c>
      <c r="M20" s="4"/>
      <c r="N20" s="78"/>
      <c r="O20" s="78"/>
      <c r="P20" s="78" t="str">
        <f t="shared" si="4"/>
        <v>,start_date</v>
      </c>
      <c r="Q20" s="78" t="str">
        <f t="shared" si="0"/>
        <v>TEXT</v>
      </c>
      <c r="R20" s="78" t="str">
        <f t="shared" si="1"/>
        <v/>
      </c>
      <c r="S20" s="78" t="str">
        <f t="shared" si="5"/>
        <v/>
      </c>
      <c r="T20" s="78" t="str">
        <f t="shared" si="6"/>
        <v>-- 疾患開始日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milscm_2023_009.sny_202310_backup_text_mml_mmlsg_rd.start_date IS '疾患開始日';</v>
      </c>
    </row>
    <row r="21" spans="1:52" s="25" customFormat="1" ht="29.4" customHeight="1">
      <c r="A21" s="4"/>
      <c r="B21" s="21">
        <f t="shared" si="2"/>
        <v>9</v>
      </c>
      <c r="C21" s="6" t="s">
        <v>1325</v>
      </c>
      <c r="D21" s="6" t="s">
        <v>2810</v>
      </c>
      <c r="E21" s="8"/>
      <c r="F21" s="7" t="s">
        <v>1841</v>
      </c>
      <c r="G21" s="7" t="str">
        <f t="shared" si="3"/>
        <v>text</v>
      </c>
      <c r="H21" s="26"/>
      <c r="I21" s="10"/>
      <c r="J21" s="11" t="s">
        <v>2814</v>
      </c>
      <c r="M21" s="4"/>
      <c r="N21" s="78"/>
      <c r="O21" s="78"/>
      <c r="P21" s="78" t="str">
        <f t="shared" si="4"/>
        <v>,end_date</v>
      </c>
      <c r="Q21" s="78" t="str">
        <f t="shared" si="0"/>
        <v>TEXT</v>
      </c>
      <c r="R21" s="78" t="str">
        <f t="shared" si="1"/>
        <v/>
      </c>
      <c r="S21" s="78" t="str">
        <f t="shared" si="5"/>
        <v/>
      </c>
      <c r="T21" s="78" t="str">
        <f t="shared" si="6"/>
        <v>-- 疾患終了日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1327</v>
      </c>
      <c r="D22" s="6" t="s">
        <v>2811</v>
      </c>
      <c r="E22" s="8"/>
      <c r="F22" s="7" t="s">
        <v>1841</v>
      </c>
      <c r="G22" s="7" t="str">
        <f t="shared" si="3"/>
        <v>text</v>
      </c>
      <c r="H22" s="26"/>
      <c r="I22" s="10"/>
      <c r="J22" s="11"/>
      <c r="M22" s="4"/>
      <c r="N22" s="78"/>
      <c r="O22" s="78"/>
      <c r="P22" s="78" t="str">
        <f t="shared" si="4"/>
        <v>,outcome</v>
      </c>
      <c r="Q22" s="78" t="str">
        <f t="shared" si="0"/>
        <v>TEXT</v>
      </c>
      <c r="R22" s="78" t="str">
        <f t="shared" si="1"/>
        <v/>
      </c>
      <c r="S22" s="78" t="str">
        <f t="shared" si="5"/>
        <v/>
      </c>
      <c r="T22" s="78" t="str">
        <f t="shared" si="6"/>
        <v>-- 転帰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milscm_2023_009.sny_202310_backup_text_mml_mmlsg_rd.outcome IS '転帰';</v>
      </c>
    </row>
    <row r="23" spans="1:52" s="25" customFormat="1" ht="18" thickBot="1">
      <c r="A23" s="4"/>
      <c r="B23" s="27">
        <f>ROW()-12</f>
        <v>11</v>
      </c>
      <c r="C23" s="57" t="s">
        <v>1329</v>
      </c>
      <c r="D23" s="57" t="s">
        <v>2812</v>
      </c>
      <c r="E23" s="56"/>
      <c r="F23" s="56" t="s">
        <v>1841</v>
      </c>
      <c r="G23" s="56" t="str">
        <f t="shared" si="3"/>
        <v>text</v>
      </c>
      <c r="H23" s="59"/>
      <c r="I23" s="60"/>
      <c r="J23" s="64"/>
      <c r="N23" s="78"/>
      <c r="O23" s="78"/>
      <c r="P23" s="78" t="str">
        <f t="shared" si="4"/>
        <v>,first_encounter_date</v>
      </c>
      <c r="Q23" s="78" t="str">
        <f t="shared" si="0"/>
        <v>TEXT</v>
      </c>
      <c r="R23" s="78" t="str">
        <f t="shared" si="1"/>
        <v/>
      </c>
      <c r="S23" s="78" t="str">
        <f t="shared" si="5"/>
        <v/>
      </c>
      <c r="T23" s="78" t="str">
        <f t="shared" si="6"/>
        <v>-- 疾患の初診日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milscm_2023_009.sny_202310_backup_text_mml_mmlsg_rd.first_encounter_date IS '疾患の初診日';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ENT_01_A6-45</v>
      </c>
      <c r="E6" s="251"/>
      <c r="F6" s="251"/>
      <c r="G6" s="251"/>
      <c r="H6" s="251"/>
      <c r="I6" s="251"/>
      <c r="J6" s="252"/>
    </row>
    <row r="7" spans="1:45">
      <c r="B7" s="240" t="s">
        <v>115</v>
      </c>
      <c r="C7" s="241"/>
      <c r="D7" s="242" t="s">
        <v>2938</v>
      </c>
      <c r="E7" s="243"/>
      <c r="F7" s="243"/>
      <c r="G7" s="243"/>
      <c r="H7" s="243"/>
      <c r="I7" s="243"/>
      <c r="J7" s="244"/>
    </row>
    <row r="8" spans="1:45">
      <c r="B8" s="240" t="s">
        <v>116</v>
      </c>
      <c r="C8" s="241"/>
      <c r="D8" s="242" t="str">
        <f>エンティティ一覧!AE2&amp;"_"&amp;D5&amp;"_text_mml_mmlsg_rd_byomei"</f>
        <v>sny_202310_backup_text_mml_mmlsg_rd_byomei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milscm_2023_009.sny_202310_backup_text_mml_mmlsg_rd_byomei;</v>
      </c>
      <c r="O10" s="78"/>
      <c r="P10" s="78"/>
      <c r="Q10" s="78"/>
      <c r="R10" s="78"/>
      <c r="S10" s="78"/>
      <c r="T10" s="78"/>
      <c r="AJ10" s="78" t="str">
        <f>"ALTER TABLE ONLY "&amp;エンティティ一覧!$O$2&amp;"."&amp;D$8</f>
        <v>ALTER TABLE ONLY milscm_2023_009.sny_202310_backup_text_mml_mmlsg_rd_byomei</v>
      </c>
      <c r="AS10" s="78" t="str">
        <f>"ALTER TABLE "&amp;エンティティ一覧!$O$2&amp;"."&amp;D$8&amp;" OWNER TO pgmisgrp1;"</f>
        <v>ALTER TABLE milscm_2023_009.sny_202310_backup_text_mml_mmlsg_rd_byomei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milscm_2023_009.sny_202310_backup_text_mml_mmlsg_rd_byomei</v>
      </c>
      <c r="O11" s="78"/>
      <c r="P11" s="78"/>
      <c r="Q11" s="78"/>
      <c r="R11" s="78"/>
      <c r="S11" s="78"/>
      <c r="T11" s="78"/>
      <c r="AJ11" s="78" t="str">
        <f>"ADD CONSTRAINT "&amp;D$8&amp;"_pkey PRIMARY KEY"</f>
        <v>ADD CONSTRAINT sny_202310_backup_text_mml_mmlsg_rd_byomei_pkey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2803</v>
      </c>
      <c r="D14" s="6" t="s">
        <v>2804</v>
      </c>
      <c r="E14" s="8" t="s">
        <v>127</v>
      </c>
      <c r="F14" s="7" t="s">
        <v>2802</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2816</v>
      </c>
      <c r="D20" s="6" t="s">
        <v>2817</v>
      </c>
      <c r="E20" s="8" t="s">
        <v>127</v>
      </c>
      <c r="F20" s="7" t="s">
        <v>2802</v>
      </c>
      <c r="G20" s="7" t="str">
        <f t="shared" si="3"/>
        <v>integer</v>
      </c>
      <c r="H20" s="26"/>
      <c r="I20" s="10" t="s">
        <v>127</v>
      </c>
      <c r="J20" s="11"/>
      <c r="M20" s="4"/>
      <c r="N20" s="78"/>
      <c r="O20" s="78"/>
      <c r="P20" s="78" t="str">
        <f t="shared" si="4"/>
        <v>,byomei_no</v>
      </c>
      <c r="Q20" s="78" t="str">
        <f t="shared" si="0"/>
        <v>INTEGER</v>
      </c>
      <c r="R20" s="78" t="str">
        <f t="shared" si="1"/>
        <v/>
      </c>
      <c r="S20" s="78" t="str">
        <f t="shared" si="5"/>
        <v>NOT NULL</v>
      </c>
      <c r="T20" s="78" t="str">
        <f t="shared" si="6"/>
        <v>-- 病名No</v>
      </c>
      <c r="U20" s="4"/>
      <c r="AA20" s="4"/>
      <c r="AB20" s="4"/>
      <c r="AC20" s="4"/>
      <c r="AD20" s="4"/>
      <c r="AE20" s="4"/>
      <c r="AF20" s="4"/>
      <c r="AG20" s="4"/>
      <c r="AH20" s="4"/>
      <c r="AI20" s="4"/>
      <c r="AJ20" s="78" t="str">
        <f>IF(E20="○",IF(COUNTA(E$13:E20)=1,"",",")&amp;D20,"")</f>
        <v>,byomei_no</v>
      </c>
      <c r="AK20" s="4"/>
      <c r="AL20" s="4"/>
      <c r="AM20" s="4"/>
      <c r="AN20" s="4"/>
      <c r="AO20" s="4"/>
      <c r="AP20" s="4"/>
      <c r="AQ20" s="4"/>
      <c r="AR20" s="4"/>
      <c r="AS20" s="78" t="str">
        <f>"COMMENT ON COLUMN "&amp;エンティティ一覧!$O$2&amp;"."&amp;D$8&amp;"."&amp;D20&amp;" IS '"&amp;C20&amp;"';"</f>
        <v>COMMENT ON COLUMN milscm_2023_009.sny_202310_backup_text_mml_mmlsg_rd_byomei.byomei_no IS '病名No';</v>
      </c>
    </row>
    <row r="21" spans="1:52" s="25" customFormat="1" ht="29.4" customHeight="1">
      <c r="A21" s="4"/>
      <c r="B21" s="21">
        <f t="shared" si="2"/>
        <v>9</v>
      </c>
      <c r="C21" s="6" t="s">
        <v>2818</v>
      </c>
      <c r="D21" s="6" t="s">
        <v>2819</v>
      </c>
      <c r="E21" s="8"/>
      <c r="F21" s="7" t="s">
        <v>1841</v>
      </c>
      <c r="G21" s="7" t="str">
        <f t="shared" si="3"/>
        <v>text</v>
      </c>
      <c r="H21" s="26"/>
      <c r="I21" s="10"/>
      <c r="J21" s="11" t="s">
        <v>2824</v>
      </c>
      <c r="M21" s="4"/>
      <c r="N21" s="78"/>
      <c r="O21" s="78"/>
      <c r="P21" s="78" t="str">
        <f t="shared" si="4"/>
        <v>,tag_name</v>
      </c>
      <c r="Q21" s="78" t="str">
        <f t="shared" si="0"/>
        <v>TEXT</v>
      </c>
      <c r="R21" s="78" t="str">
        <f t="shared" si="1"/>
        <v/>
      </c>
      <c r="S21" s="78" t="str">
        <f t="shared" si="5"/>
        <v/>
      </c>
      <c r="T21" s="78" t="str">
        <f t="shared" si="6"/>
        <v>-- タグ名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milscm_2023_009.sny_202310_backup_text_mml_mmlsg_rd_byomei.tag_name IS 'タグ名';</v>
      </c>
    </row>
    <row r="22" spans="1:52" s="25" customFormat="1" ht="34.799999999999997">
      <c r="A22" s="4"/>
      <c r="B22" s="21">
        <f t="shared" si="2"/>
        <v>10</v>
      </c>
      <c r="C22" s="6" t="s">
        <v>1341</v>
      </c>
      <c r="D22" s="6" t="s">
        <v>2820</v>
      </c>
      <c r="E22" s="8"/>
      <c r="F22" s="7" t="s">
        <v>1841</v>
      </c>
      <c r="G22" s="7" t="str">
        <f t="shared" ref="G22" si="7">IF(F22="フラグ","boolean",IF(F22="文字列","text",IF(F22="整数","integer",IF(F22="実数","numeric",""))))</f>
        <v>text</v>
      </c>
      <c r="H22" s="26"/>
      <c r="I22" s="10"/>
      <c r="J22" s="11" t="s">
        <v>2825</v>
      </c>
      <c r="M22" s="4"/>
      <c r="N22" s="78"/>
      <c r="O22" s="78"/>
      <c r="P22" s="78" t="str">
        <f t="shared" ref="P22" si="8">IF(B22&lt;&gt;1,","&amp;D22,D22)</f>
        <v>,diagnosis</v>
      </c>
      <c r="Q22" s="78" t="str">
        <f t="shared" ref="Q22" si="9">UPPER(G22)</f>
        <v>TEXT</v>
      </c>
      <c r="R22" s="78" t="str">
        <f t="shared" ref="R22" si="10">IF(H22&lt;&gt;"","default "&amp;IF(G22="text","'"&amp;H22&amp;"'",H22),"")</f>
        <v/>
      </c>
      <c r="S22" s="78" t="str">
        <f t="shared" ref="S22" si="11">IF(I22="○","NOT NULL","")</f>
        <v/>
      </c>
      <c r="T22" s="78" t="str">
        <f t="shared" ref="T22" si="12">"-- "&amp;C22</f>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2821</v>
      </c>
      <c r="D23" s="6" t="s">
        <v>359</v>
      </c>
      <c r="E23" s="8"/>
      <c r="F23" s="7" t="s">
        <v>1841</v>
      </c>
      <c r="G23" s="7" t="str">
        <f t="shared" si="3"/>
        <v>text</v>
      </c>
      <c r="H23" s="26"/>
      <c r="I23" s="10"/>
      <c r="J23" s="11"/>
      <c r="M23" s="4"/>
      <c r="N23" s="78"/>
      <c r="O23" s="78"/>
      <c r="P23" s="78" t="str">
        <f t="shared" si="4"/>
        <v>,code</v>
      </c>
      <c r="Q23" s="78" t="str">
        <f t="shared" si="0"/>
        <v>TEXT</v>
      </c>
      <c r="R23" s="78" t="str">
        <f t="shared" si="1"/>
        <v/>
      </c>
      <c r="S23" s="78" t="str">
        <f t="shared" si="5"/>
        <v/>
      </c>
      <c r="T23" s="78" t="str">
        <f t="shared" si="6"/>
        <v>-- 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milscm_2023_009.sny_202310_backup_text_mml_mmlsg_rd_byomei.code IS 'コード値';</v>
      </c>
    </row>
    <row r="24" spans="1:52" s="25" customFormat="1" ht="18" thickBot="1">
      <c r="A24" s="4"/>
      <c r="B24" s="27">
        <f>ROW()-12</f>
        <v>12</v>
      </c>
      <c r="C24" s="57" t="s">
        <v>2822</v>
      </c>
      <c r="D24" s="57" t="s">
        <v>2823</v>
      </c>
      <c r="E24" s="56"/>
      <c r="F24" s="56" t="s">
        <v>1841</v>
      </c>
      <c r="G24" s="56" t="str">
        <f t="shared" si="3"/>
        <v>text</v>
      </c>
      <c r="H24" s="59"/>
      <c r="I24" s="60"/>
      <c r="J24" s="64"/>
      <c r="N24" s="78"/>
      <c r="O24" s="78"/>
      <c r="P24" s="78" t="str">
        <f t="shared" si="4"/>
        <v>,system</v>
      </c>
      <c r="Q24" s="78" t="str">
        <f t="shared" si="0"/>
        <v>TEXT</v>
      </c>
      <c r="R24" s="78" t="str">
        <f t="shared" si="1"/>
        <v/>
      </c>
      <c r="S24" s="78" t="str">
        <f t="shared" si="5"/>
        <v/>
      </c>
      <c r="T24" s="78" t="str">
        <f t="shared" si="6"/>
        <v>-- 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milscm_2023_009.sny_202310_backup_text_mml_mmlsg_rd_byomei.system IS 'コード体系名';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ENT_01_A6-46</v>
      </c>
      <c r="E6" s="251"/>
      <c r="F6" s="251"/>
      <c r="G6" s="251"/>
      <c r="H6" s="251"/>
      <c r="I6" s="251"/>
      <c r="J6" s="252"/>
    </row>
    <row r="7" spans="1:45">
      <c r="B7" s="240" t="s">
        <v>115</v>
      </c>
      <c r="C7" s="241"/>
      <c r="D7" s="242" t="s">
        <v>2939</v>
      </c>
      <c r="E7" s="243"/>
      <c r="F7" s="243"/>
      <c r="G7" s="243"/>
      <c r="H7" s="243"/>
      <c r="I7" s="243"/>
      <c r="J7" s="244"/>
    </row>
    <row r="8" spans="1:45">
      <c r="B8" s="240" t="s">
        <v>116</v>
      </c>
      <c r="C8" s="241"/>
      <c r="D8" s="242" t="str">
        <f>エンティティ一覧!AE2&amp;"_"&amp;D5&amp;"_text_mml_mmlsg_rd_category"</f>
        <v>sny_202310_backup_text_mml_mmlsg_rd_category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milscm_2023_009.sny_202310_backup_text_mml_mmlsg_rd_category;</v>
      </c>
      <c r="O10" s="78"/>
      <c r="P10" s="78"/>
      <c r="Q10" s="78"/>
      <c r="R10" s="78"/>
      <c r="S10" s="78"/>
      <c r="T10" s="78"/>
      <c r="AJ10" s="78" t="str">
        <f>"ALTER TABLE ONLY "&amp;エンティティ一覧!$O$2&amp;"."&amp;D$8</f>
        <v>ALTER TABLE ONLY milscm_2023_009.sny_202310_backup_text_mml_mmlsg_rd_category</v>
      </c>
      <c r="AS10" s="78" t="str">
        <f>"ALTER TABLE "&amp;エンティティ一覧!$O$2&amp;"."&amp;D$8&amp;" OWNER TO pgmisgrp1;"</f>
        <v>ALTER TABLE milscm_2023_009.sny_202310_backup_text_mml_mmlsg_rd_category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milscm_2023_009.sny_202310_backup_text_mml_mmlsg_rd_category</v>
      </c>
      <c r="O11" s="78"/>
      <c r="P11" s="78"/>
      <c r="Q11" s="78"/>
      <c r="R11" s="78"/>
      <c r="S11" s="78"/>
      <c r="T11" s="78"/>
      <c r="AJ11" s="78" t="str">
        <f>"ADD CONSTRAINT "&amp;D$8&amp;"_pkey PRIMARY KEY"</f>
        <v>ADD CONSTRAINT sny_202310_backup_text_mml_mmlsg_rd_category_pkey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2827</v>
      </c>
      <c r="D20" s="6" t="s">
        <v>2828</v>
      </c>
      <c r="E20" s="8" t="s">
        <v>127</v>
      </c>
      <c r="F20" s="7" t="s">
        <v>2802</v>
      </c>
      <c r="G20" s="7" t="str">
        <f t="shared" si="3"/>
        <v>integer</v>
      </c>
      <c r="H20" s="26"/>
      <c r="I20" s="10" t="s">
        <v>127</v>
      </c>
      <c r="J20" s="11"/>
      <c r="M20" s="4"/>
      <c r="N20" s="78"/>
      <c r="O20" s="78"/>
      <c r="P20" s="78" t="str">
        <f t="shared" si="4"/>
        <v>,category_no</v>
      </c>
      <c r="Q20" s="78" t="str">
        <f t="shared" si="0"/>
        <v>INTEGER</v>
      </c>
      <c r="R20" s="78" t="str">
        <f t="shared" si="1"/>
        <v/>
      </c>
      <c r="S20" s="78" t="str">
        <f t="shared" si="5"/>
        <v>NOT NULL</v>
      </c>
      <c r="T20" s="78" t="str">
        <f t="shared" si="6"/>
        <v>-- カテゴリ名No</v>
      </c>
      <c r="U20" s="4"/>
      <c r="AA20" s="4"/>
      <c r="AB20" s="4"/>
      <c r="AC20" s="4"/>
      <c r="AD20" s="4"/>
      <c r="AE20" s="4"/>
      <c r="AF20" s="4"/>
      <c r="AG20" s="4"/>
      <c r="AH20" s="4"/>
      <c r="AI20" s="4"/>
      <c r="AJ20" s="78" t="str">
        <f>IF(E20="○",IF(COUNTA(E$13:E20)=1,"",",")&amp;D20,"")</f>
        <v>,category_no</v>
      </c>
      <c r="AK20" s="4"/>
      <c r="AL20" s="4"/>
      <c r="AM20" s="4"/>
      <c r="AN20" s="4"/>
      <c r="AO20" s="4"/>
      <c r="AP20" s="4"/>
      <c r="AQ20" s="4"/>
      <c r="AR20" s="4"/>
      <c r="AS20" s="78"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1355</v>
      </c>
      <c r="D21" s="6" t="s">
        <v>2829</v>
      </c>
      <c r="E21" s="8"/>
      <c r="F21" s="7" t="s">
        <v>1841</v>
      </c>
      <c r="G21" s="7" t="str">
        <f t="shared" si="3"/>
        <v>text</v>
      </c>
      <c r="H21" s="26"/>
      <c r="I21" s="10"/>
      <c r="J21" s="11"/>
      <c r="M21" s="4"/>
      <c r="N21" s="78"/>
      <c r="O21" s="78"/>
      <c r="P21" s="78" t="str">
        <f t="shared" si="4"/>
        <v>,category</v>
      </c>
      <c r="Q21" s="78" t="str">
        <f t="shared" si="0"/>
        <v>TEXT</v>
      </c>
      <c r="R21" s="78" t="str">
        <f t="shared" si="1"/>
        <v/>
      </c>
      <c r="S21" s="78" t="str">
        <f t="shared" si="5"/>
        <v/>
      </c>
      <c r="T21" s="78" t="str">
        <f t="shared" si="6"/>
        <v>-- 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milscm_2023_009.sny_202310_backup_text_mml_mmlsg_rd_category.category IS '分類名';</v>
      </c>
    </row>
    <row r="22" spans="1:52" s="25" customFormat="1" ht="18" thickBot="1">
      <c r="A22" s="4"/>
      <c r="B22" s="27">
        <f>ROW()-12</f>
        <v>10</v>
      </c>
      <c r="C22" s="57" t="s">
        <v>1357</v>
      </c>
      <c r="D22" s="57" t="s">
        <v>2830</v>
      </c>
      <c r="E22" s="56"/>
      <c r="F22" s="56" t="s">
        <v>1841</v>
      </c>
      <c r="G22" s="56" t="str">
        <f t="shared" si="3"/>
        <v>text</v>
      </c>
      <c r="H22" s="59"/>
      <c r="I22" s="60"/>
      <c r="J22" s="64"/>
      <c r="N22" s="78"/>
      <c r="O22" s="78"/>
      <c r="P22" s="78" t="str">
        <f t="shared" si="4"/>
        <v>,table_id</v>
      </c>
      <c r="Q22" s="78" t="str">
        <f t="shared" si="0"/>
        <v>TEXT</v>
      </c>
      <c r="R22" s="78" t="str">
        <f t="shared" si="1"/>
        <v/>
      </c>
      <c r="S22" s="78" t="str">
        <f t="shared" si="5"/>
        <v/>
      </c>
      <c r="T22" s="78" t="str">
        <f t="shared" si="6"/>
        <v>-- 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milscm_2023_009.sny_202310_backup_text_mml_mmlsg_rd_category.table_id IS '分類コード';</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ENT_01_A6-47</v>
      </c>
      <c r="E6" s="251"/>
      <c r="F6" s="251"/>
      <c r="G6" s="251"/>
      <c r="H6" s="251"/>
      <c r="I6" s="251"/>
      <c r="J6" s="252"/>
    </row>
    <row r="7" spans="1:45">
      <c r="B7" s="240" t="s">
        <v>115</v>
      </c>
      <c r="C7" s="241"/>
      <c r="D7" s="242" t="s">
        <v>2940</v>
      </c>
      <c r="E7" s="243"/>
      <c r="F7" s="243"/>
      <c r="G7" s="243"/>
      <c r="H7" s="243"/>
      <c r="I7" s="243"/>
      <c r="J7" s="244"/>
    </row>
    <row r="8" spans="1:45">
      <c r="B8" s="240" t="s">
        <v>116</v>
      </c>
      <c r="C8" s="241"/>
      <c r="D8" s="242" t="str">
        <f>エンティティ一覧!AE2&amp;"_"&amp;D5&amp;"_text_mml_mmlsg_procedure_item"</f>
        <v>sny_202310_backup_text_mml_mmlsg_procedure_item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milscm_2023_009.sny_202310_backup_text_mml_mmlsg_procedure_item;</v>
      </c>
      <c r="O10" s="78"/>
      <c r="P10" s="78"/>
      <c r="Q10" s="78"/>
      <c r="R10" s="78"/>
      <c r="S10" s="78"/>
      <c r="T10" s="78"/>
      <c r="AJ10" s="78" t="str">
        <f>"ALTER TABLE ONLY "&amp;エンティティ一覧!$O$2&amp;"."&amp;D$8</f>
        <v>ALTER TABLE ONLY milscm_2023_009.sny_202310_backup_text_mml_mmlsg_procedure_item</v>
      </c>
      <c r="AS10" s="78" t="str">
        <f>"ALTER TABLE "&amp;エンティティ一覧!$O$2&amp;"."&amp;D$8&amp;" OWNER TO pgmisgrp1;"</f>
        <v>ALTER TABLE milscm_2023_009.sny_202310_backup_text_mml_mmlsg_procedure_item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milscm_2023_009.sny_202310_backup_text_mml_mmlsg_procedure_item</v>
      </c>
      <c r="O11" s="78"/>
      <c r="P11" s="78"/>
      <c r="Q11" s="78"/>
      <c r="R11" s="78"/>
      <c r="S11" s="78"/>
      <c r="T11" s="78"/>
      <c r="AJ11" s="78" t="str">
        <f>"ADD CONSTRAINT "&amp;D$8&amp;"_pkey PRIMARY KEY"</f>
        <v>ADD CONSTRAINT sny_202310_backup_text_mml_mmlsg_procedure_item_pkey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2943</v>
      </c>
      <c r="D20" s="6" t="s">
        <v>2944</v>
      </c>
      <c r="E20" s="8"/>
      <c r="F20" s="7" t="s">
        <v>1841</v>
      </c>
      <c r="G20" s="7" t="str">
        <f t="shared" si="3"/>
        <v>text</v>
      </c>
      <c r="H20" s="26"/>
      <c r="I20" s="10"/>
      <c r="J20" s="11"/>
      <c r="M20" s="4"/>
      <c r="N20" s="78"/>
      <c r="O20" s="78"/>
      <c r="P20" s="78" t="str">
        <f t="shared" si="4"/>
        <v>,operation</v>
      </c>
      <c r="Q20" s="78" t="str">
        <f t="shared" si="0"/>
        <v>TEXT</v>
      </c>
      <c r="R20" s="78" t="str">
        <f t="shared" si="1"/>
        <v/>
      </c>
      <c r="S20" s="78" t="str">
        <f t="shared" si="5"/>
        <v/>
      </c>
      <c r="T20" s="78" t="str">
        <f t="shared" si="6"/>
        <v>-- 手術法</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2945</v>
      </c>
      <c r="D21" s="6" t="s">
        <v>359</v>
      </c>
      <c r="E21" s="8"/>
      <c r="F21" s="7" t="s">
        <v>1841</v>
      </c>
      <c r="G21" s="7" t="str">
        <f t="shared" ref="G21" si="7">IF(F21="フラグ","boolean",IF(F21="文字列","text",IF(F21="整数","integer",IF(F21="実数","numeric",""))))</f>
        <v>text</v>
      </c>
      <c r="H21" s="26"/>
      <c r="I21" s="10"/>
      <c r="J21" s="11"/>
      <c r="M21" s="4"/>
      <c r="N21" s="78"/>
      <c r="O21" s="78"/>
      <c r="P21" s="78" t="str">
        <f t="shared" ref="P21" si="8">IF(B21&lt;&gt;1,","&amp;D21,D21)</f>
        <v>,code</v>
      </c>
      <c r="Q21" s="78" t="str">
        <f t="shared" ref="Q21" si="9">UPPER(G21)</f>
        <v>TEXT</v>
      </c>
      <c r="R21" s="78" t="str">
        <f t="shared" ref="R21" si="10">IF(H21&lt;&gt;"","default "&amp;IF(G21="text","'"&amp;H21&amp;"'",H21),"")</f>
        <v/>
      </c>
      <c r="S21" s="78" t="str">
        <f t="shared" ref="S21" si="11">IF(I21="○","NOT NULL","")</f>
        <v/>
      </c>
      <c r="T21" s="78" t="str">
        <f t="shared" ref="T21" si="12">"-- "&amp;C21</f>
        <v>-- 手術法コード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2946</v>
      </c>
      <c r="D22" s="6" t="s">
        <v>2823</v>
      </c>
      <c r="E22" s="8"/>
      <c r="F22" s="7" t="s">
        <v>1841</v>
      </c>
      <c r="G22" s="7" t="str">
        <f t="shared" si="3"/>
        <v>text</v>
      </c>
      <c r="H22" s="26"/>
      <c r="I22" s="10"/>
      <c r="J22" s="11"/>
      <c r="M22" s="4"/>
      <c r="N22" s="78"/>
      <c r="O22" s="78"/>
      <c r="P22" s="78" t="str">
        <f t="shared" si="4"/>
        <v>,system</v>
      </c>
      <c r="Q22" s="78" t="str">
        <f t="shared" si="0"/>
        <v>TEXT</v>
      </c>
      <c r="R22" s="78" t="str">
        <f t="shared" si="1"/>
        <v/>
      </c>
      <c r="S22" s="78" t="str">
        <f t="shared" si="5"/>
        <v/>
      </c>
      <c r="T22" s="78" t="str">
        <f t="shared" si="6"/>
        <v>-- 手術法コード体系名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milscm_2023_009.sny_202310_backup_text_mml_mmlsg_procedure_item.system IS '手術法コード体系名';</v>
      </c>
    </row>
    <row r="23" spans="1:52" s="25" customFormat="1" ht="18" thickBot="1">
      <c r="A23" s="4"/>
      <c r="B23" s="27">
        <f>ROW()-12</f>
        <v>11</v>
      </c>
      <c r="C23" s="57" t="s">
        <v>2947</v>
      </c>
      <c r="D23" s="57" t="s">
        <v>2948</v>
      </c>
      <c r="E23" s="56"/>
      <c r="F23" s="56" t="s">
        <v>1841</v>
      </c>
      <c r="G23" s="56" t="str">
        <f t="shared" si="3"/>
        <v>text</v>
      </c>
      <c r="H23" s="59"/>
      <c r="I23" s="60"/>
      <c r="J23" s="64"/>
      <c r="N23" s="78"/>
      <c r="O23" s="78"/>
      <c r="P23" s="78" t="str">
        <f t="shared" si="4"/>
        <v>,procedure_memo</v>
      </c>
      <c r="Q23" s="78" t="str">
        <f t="shared" si="0"/>
        <v>TEXT</v>
      </c>
      <c r="R23" s="78" t="str">
        <f t="shared" si="1"/>
        <v/>
      </c>
      <c r="S23" s="78" t="str">
        <f t="shared" si="5"/>
        <v/>
      </c>
      <c r="T23" s="78" t="str">
        <f t="shared" si="6"/>
        <v>-- 手術法に関する追加事項</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milscm_2023_009.sny_202310_backup_text_mml_mmlsg_procedure_item.procedure_memo IS '手術法に関する追加事項';</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ENT_01_A6-48</v>
      </c>
      <c r="E6" s="251"/>
      <c r="F6" s="251"/>
      <c r="G6" s="251"/>
      <c r="H6" s="251"/>
      <c r="I6" s="251"/>
      <c r="J6" s="252"/>
    </row>
    <row r="7" spans="1:45">
      <c r="B7" s="240" t="s">
        <v>115</v>
      </c>
      <c r="C7" s="241"/>
      <c r="D7" s="242" t="s">
        <v>2949</v>
      </c>
      <c r="E7" s="243"/>
      <c r="F7" s="243"/>
      <c r="G7" s="243"/>
      <c r="H7" s="243"/>
      <c r="I7" s="243"/>
      <c r="J7" s="244"/>
    </row>
    <row r="8" spans="1:45">
      <c r="B8" s="240" t="s">
        <v>116</v>
      </c>
      <c r="C8" s="241"/>
      <c r="D8" s="242" t="str">
        <f>エンティティ一覧!AE2&amp;"_"&amp;D5&amp;"_text_mml_mmlsg_operation_element"</f>
        <v>sny_202310_backup_text_mml_mmlsg_operation_element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milscm_2023_009.sny_202310_backup_text_mml_mmlsg_operation_element;</v>
      </c>
      <c r="O10" s="78"/>
      <c r="P10" s="78"/>
      <c r="Q10" s="78"/>
      <c r="R10" s="78"/>
      <c r="S10" s="78"/>
      <c r="T10" s="78"/>
      <c r="AJ10" s="78" t="str">
        <f>"ALTER TABLE ONLY "&amp;エンティティ一覧!$O$2&amp;"."&amp;D$8</f>
        <v>ALTER TABLE ONLY milscm_2023_009.sny_202310_backup_text_mml_mmlsg_operation_element</v>
      </c>
      <c r="AS10" s="78" t="str">
        <f>"ALTER TABLE "&amp;エンティティ一覧!$O$2&amp;"."&amp;D$8&amp;" OWNER TO pgmisgrp1;"</f>
        <v>ALTER TABLE milscm_2023_009.sny_202310_backup_text_mml_mmlsg_operation_element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milscm_2023_009.sny_202310_backup_text_mml_mmlsg_operation_element</v>
      </c>
      <c r="O11" s="78"/>
      <c r="P11" s="78"/>
      <c r="Q11" s="78"/>
      <c r="R11" s="78"/>
      <c r="S11" s="78"/>
      <c r="T11" s="78"/>
      <c r="AJ11" s="78" t="str">
        <f>"ADD CONSTRAINT "&amp;D$8&amp;"_pkey PRIMARY KEY"</f>
        <v>ADD CONSTRAINT sny_202310_backup_text_mml_mmlsg_operation_element_pkey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2950</v>
      </c>
      <c r="D20" s="6" t="s">
        <v>2951</v>
      </c>
      <c r="E20" s="8" t="s">
        <v>127</v>
      </c>
      <c r="F20" s="7" t="s">
        <v>2802</v>
      </c>
      <c r="G20" s="7" t="str">
        <f t="shared" si="3"/>
        <v>integer</v>
      </c>
      <c r="H20" s="26"/>
      <c r="I20" s="10" t="s">
        <v>127</v>
      </c>
      <c r="J20" s="11"/>
      <c r="M20" s="4"/>
      <c r="N20" s="78"/>
      <c r="O20" s="78"/>
      <c r="P20" s="78" t="str">
        <f t="shared" si="4"/>
        <v>,operation_element_no</v>
      </c>
      <c r="Q20" s="78" t="str">
        <f t="shared" si="0"/>
        <v>INTEGER</v>
      </c>
      <c r="R20" s="78" t="str">
        <f t="shared" si="1"/>
        <v/>
      </c>
      <c r="S20" s="78" t="str">
        <f t="shared" si="5"/>
        <v>NOT NULL</v>
      </c>
      <c r="T20" s="78" t="str">
        <f t="shared" si="6"/>
        <v>-- 手術要素No</v>
      </c>
      <c r="U20" s="4"/>
      <c r="AA20" s="4"/>
      <c r="AB20" s="4"/>
      <c r="AC20" s="4"/>
      <c r="AD20" s="4"/>
      <c r="AE20" s="4"/>
      <c r="AF20" s="4"/>
      <c r="AG20" s="4"/>
      <c r="AH20" s="4"/>
      <c r="AI20" s="4"/>
      <c r="AJ20" s="78" t="str">
        <f>IF(E20="○",IF(COUNTA(E$13:E20)=1,"",",")&amp;D20,"")</f>
        <v>,operation_element_no</v>
      </c>
      <c r="AK20" s="4"/>
      <c r="AL20" s="4"/>
      <c r="AM20" s="4"/>
      <c r="AN20" s="4"/>
      <c r="AO20" s="4"/>
      <c r="AP20" s="4"/>
      <c r="AQ20" s="4"/>
      <c r="AR20" s="4"/>
      <c r="AS20" s="78"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2952</v>
      </c>
      <c r="D21" s="6" t="s">
        <v>2944</v>
      </c>
      <c r="E21" s="8"/>
      <c r="F21" s="7" t="s">
        <v>1841</v>
      </c>
      <c r="G21" s="7" t="str">
        <f t="shared" si="3"/>
        <v>text</v>
      </c>
      <c r="H21" s="26"/>
      <c r="I21" s="10"/>
      <c r="J21" s="11"/>
      <c r="M21" s="4"/>
      <c r="N21" s="78"/>
      <c r="O21" s="78"/>
      <c r="P21" s="78" t="str">
        <f t="shared" si="4"/>
        <v>,operation</v>
      </c>
      <c r="Q21" s="78" t="str">
        <f t="shared" si="0"/>
        <v>TEXT</v>
      </c>
      <c r="R21" s="78" t="str">
        <f t="shared" si="1"/>
        <v/>
      </c>
      <c r="S21" s="78" t="str">
        <f t="shared" si="5"/>
        <v/>
      </c>
      <c r="T21" s="78" t="str">
        <f t="shared" si="6"/>
        <v>-- 分割された手術要素名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2945</v>
      </c>
      <c r="D22" s="6" t="s">
        <v>359</v>
      </c>
      <c r="E22" s="8"/>
      <c r="F22" s="7" t="s">
        <v>1841</v>
      </c>
      <c r="G22" s="7" t="str">
        <f t="shared" si="3"/>
        <v>text</v>
      </c>
      <c r="H22" s="26"/>
      <c r="I22" s="10"/>
      <c r="J22" s="11"/>
      <c r="M22" s="4"/>
      <c r="N22" s="78"/>
      <c r="O22" s="78"/>
      <c r="P22" s="78" t="str">
        <f t="shared" si="4"/>
        <v>,code</v>
      </c>
      <c r="Q22" s="78" t="str">
        <f t="shared" si="0"/>
        <v>TEXT</v>
      </c>
      <c r="R22" s="78" t="str">
        <f t="shared" si="1"/>
        <v/>
      </c>
      <c r="S22" s="78" t="str">
        <f t="shared" si="5"/>
        <v/>
      </c>
      <c r="T22" s="78" t="str">
        <f t="shared" si="6"/>
        <v>-- 手術法コード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milscm_2023_009.sny_202310_backup_text_mml_mmlsg_operation_element.code IS '手術法コード';</v>
      </c>
    </row>
    <row r="23" spans="1:52" s="25" customFormat="1" ht="18" thickBot="1">
      <c r="A23" s="4"/>
      <c r="B23" s="27">
        <f>ROW()-12</f>
        <v>11</v>
      </c>
      <c r="C23" s="57" t="s">
        <v>2946</v>
      </c>
      <c r="D23" s="57" t="s">
        <v>2823</v>
      </c>
      <c r="E23" s="56"/>
      <c r="F23" s="56" t="s">
        <v>1841</v>
      </c>
      <c r="G23" s="56" t="str">
        <f t="shared" si="3"/>
        <v>text</v>
      </c>
      <c r="H23" s="59"/>
      <c r="I23" s="60"/>
      <c r="J23" s="64"/>
      <c r="N23" s="78"/>
      <c r="O23" s="78"/>
      <c r="P23" s="78" t="str">
        <f t="shared" si="4"/>
        <v>,system</v>
      </c>
      <c r="Q23" s="78" t="str">
        <f t="shared" si="0"/>
        <v>TEXT</v>
      </c>
      <c r="R23" s="78" t="str">
        <f t="shared" si="1"/>
        <v/>
      </c>
      <c r="S23" s="78" t="str">
        <f t="shared" si="5"/>
        <v/>
      </c>
      <c r="T23" s="78" t="str">
        <f t="shared" si="6"/>
        <v>-- 手術法コード体系名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milscm_2023_009.sny_202310_backup_text_mml_mmlsg_operation_element.system IS '手術法コード体系名';</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ENT_01_A6-49</v>
      </c>
      <c r="E6" s="251"/>
      <c r="F6" s="251"/>
      <c r="G6" s="251"/>
      <c r="H6" s="251"/>
      <c r="I6" s="251"/>
      <c r="J6" s="252"/>
    </row>
    <row r="7" spans="1:45">
      <c r="B7" s="240" t="s">
        <v>115</v>
      </c>
      <c r="C7" s="241"/>
      <c r="D7" s="242" t="s">
        <v>2953</v>
      </c>
      <c r="E7" s="243"/>
      <c r="F7" s="243"/>
      <c r="G7" s="243"/>
      <c r="H7" s="243"/>
      <c r="I7" s="243"/>
      <c r="J7" s="244"/>
    </row>
    <row r="8" spans="1:45">
      <c r="B8" s="240" t="s">
        <v>116</v>
      </c>
      <c r="C8" s="241"/>
      <c r="D8" s="242" t="str">
        <f>エンティティ一覧!AE2&amp;"_"&amp;D5&amp;"_text_mml_mmlsg_anesthesia_procedure"</f>
        <v>sny_202310_backup_text_mml_mmlsg_anesthesia_procedure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milscm_2023_009.sny_202310_backup_text_mml_mmlsg_anesthesia_procedure;</v>
      </c>
      <c r="O10" s="78"/>
      <c r="P10" s="78"/>
      <c r="Q10" s="78"/>
      <c r="R10" s="78"/>
      <c r="S10" s="78"/>
      <c r="T10" s="78"/>
      <c r="AJ10" s="78" t="str">
        <f>"ALTER TABLE ONLY "&amp;エンティティ一覧!$O$2&amp;"."&amp;D$8</f>
        <v>ALTER TABLE ONLY milscm_2023_009.sny_202310_backup_text_mml_mmlsg_anesthesia_procedure</v>
      </c>
      <c r="AS10" s="78" t="str">
        <f>"ALTER TABLE "&amp;エンティティ一覧!$O$2&amp;"."&amp;D$8&amp;" OWNER TO pgmisgrp1;"</f>
        <v>ALTER TABLE milscm_2023_009.sny_202310_backup_text_mml_mmlsg_anesthesia_procedure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milscm_2023_009.sny_202310_backup_text_mml_mmlsg_anesthesia_procedure</v>
      </c>
      <c r="O11" s="78"/>
      <c r="P11" s="78"/>
      <c r="Q11" s="78"/>
      <c r="R11" s="78"/>
      <c r="S11" s="78"/>
      <c r="T11" s="78"/>
      <c r="AJ11" s="78" t="str">
        <f>"ADD CONSTRAINT "&amp;D$8&amp;"_pkey PRIMARY KEY"</f>
        <v>ADD CONSTRAINT sny_202310_backup_text_mml_mmlsg_anesthesia_procedure_pkey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2954</v>
      </c>
      <c r="D19" s="6" t="s">
        <v>2955</v>
      </c>
      <c r="E19" s="8" t="s">
        <v>127</v>
      </c>
      <c r="F19" s="7" t="s">
        <v>2802</v>
      </c>
      <c r="G19" s="7" t="str">
        <f t="shared" si="3"/>
        <v>integer</v>
      </c>
      <c r="H19" s="26"/>
      <c r="I19" s="10" t="s">
        <v>127</v>
      </c>
      <c r="J19" s="11"/>
      <c r="M19" s="4"/>
      <c r="N19" s="78"/>
      <c r="O19" s="78"/>
      <c r="P19" s="78" t="str">
        <f t="shared" si="4"/>
        <v>,anesthesia_no</v>
      </c>
      <c r="Q19" s="78" t="str">
        <f t="shared" si="0"/>
        <v>INTEGER</v>
      </c>
      <c r="R19" s="78" t="str">
        <f t="shared" si="1"/>
        <v/>
      </c>
      <c r="S19" s="78" t="str">
        <f t="shared" si="5"/>
        <v>NOT NULL</v>
      </c>
      <c r="T19" s="78" t="str">
        <f t="shared" si="6"/>
        <v>-- 麻酔法No</v>
      </c>
      <c r="U19" s="4"/>
      <c r="AA19" s="4"/>
      <c r="AB19" s="4"/>
      <c r="AC19" s="4"/>
      <c r="AD19" s="4"/>
      <c r="AE19" s="4"/>
      <c r="AF19" s="4"/>
      <c r="AG19" s="4"/>
      <c r="AH19" s="4"/>
      <c r="AI19" s="4"/>
      <c r="AJ19" s="78" t="str">
        <f>IF(E19="○",IF(COUNTA(E$13:E19)=1,"",",")&amp;D19,"")</f>
        <v>,anesthesia_no</v>
      </c>
      <c r="AK19" s="4"/>
      <c r="AL19" s="4"/>
      <c r="AM19" s="4"/>
      <c r="AN19" s="4"/>
      <c r="AO19" s="4"/>
      <c r="AP19" s="4"/>
      <c r="AQ19" s="4"/>
      <c r="AR19" s="4"/>
      <c r="AS19" s="78"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2956</v>
      </c>
      <c r="D20" s="6" t="s">
        <v>2957</v>
      </c>
      <c r="E20" s="8"/>
      <c r="F20" s="7" t="s">
        <v>1841</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麻酔法名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2958</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麻酔法名コード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milscm_2023_009.sny_202310_backup_text_mml_mmlsg_anesthesia_procedure.code IS '麻酔法名コード';</v>
      </c>
    </row>
    <row r="22" spans="1:52" s="25" customFormat="1" ht="18" thickBot="1">
      <c r="A22" s="4"/>
      <c r="B22" s="27">
        <f>ROW()-12</f>
        <v>10</v>
      </c>
      <c r="C22" s="57" t="s">
        <v>2959</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麻酔法名コード体系名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milscm_2023_009.sny_202310_backup_text_mml_mmlsg_anesthesia_procedure.system IS '麻酔法名コード体系名';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ENT_01_A6-50</v>
      </c>
      <c r="E6" s="251"/>
      <c r="F6" s="251"/>
      <c r="G6" s="251"/>
      <c r="H6" s="251"/>
      <c r="I6" s="251"/>
      <c r="J6" s="252"/>
    </row>
    <row r="7" spans="1:45">
      <c r="B7" s="240" t="s">
        <v>115</v>
      </c>
      <c r="C7" s="241"/>
      <c r="D7" s="242" t="s">
        <v>2960</v>
      </c>
      <c r="E7" s="243"/>
      <c r="F7" s="243"/>
      <c r="G7" s="243"/>
      <c r="H7" s="243"/>
      <c r="I7" s="243"/>
      <c r="J7" s="244"/>
    </row>
    <row r="8" spans="1:45">
      <c r="B8" s="240" t="s">
        <v>116</v>
      </c>
      <c r="C8" s="241"/>
      <c r="D8" s="242" t="str">
        <f>エンティティ一覧!AE2&amp;"_"&amp;D5&amp;"_text_mml_mmlrp_body"</f>
        <v>sny_202310_backup_text_mml_mmlrp_body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milscm_2023_009.sny_202310_backup_text_mml_mmlrp_body;</v>
      </c>
      <c r="O10" s="78"/>
      <c r="P10" s="78"/>
      <c r="Q10" s="78"/>
      <c r="R10" s="78"/>
      <c r="S10" s="78"/>
      <c r="T10" s="78"/>
      <c r="AJ10" s="78" t="str">
        <f>"ALTER TABLE ONLY "&amp;エンティティ一覧!$O$2&amp;"."&amp;D$8</f>
        <v>ALTER TABLE ONLY milscm_2023_009.sny_202310_backup_text_mml_mmlrp_body</v>
      </c>
      <c r="AS10" s="78" t="str">
        <f>"ALTER TABLE "&amp;エンティティ一覧!$O$2&amp;"."&amp;D$8&amp;" OWNER TO pgmisgrp1;"</f>
        <v>ALTER TABLE milscm_2023_009.sny_202310_backup_text_mml_mmlrp_body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milscm_2023_009.sny_202310_backup_text_mml_mmlrp_body</v>
      </c>
      <c r="O11" s="78"/>
      <c r="P11" s="78"/>
      <c r="Q11" s="78"/>
      <c r="R11" s="78"/>
      <c r="S11" s="78"/>
      <c r="T11" s="78"/>
      <c r="AJ11" s="78" t="str">
        <f>"ADD CONSTRAINT "&amp;D$8&amp;"_pkey PRIMARY KEY"</f>
        <v>ADD CONSTRAINT sny_202310_backup_text_mml_mmlrp_body_pkey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52" si="0">UPPER(G13)</f>
        <v>INTEGER</v>
      </c>
      <c r="R13" s="78" t="str">
        <f t="shared" ref="R13:R5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2803</v>
      </c>
      <c r="D14" s="6" t="s">
        <v>2804</v>
      </c>
      <c r="E14" s="8" t="s">
        <v>127</v>
      </c>
      <c r="F14" s="7" t="s">
        <v>2802</v>
      </c>
      <c r="G14" s="7" t="str">
        <f t="shared" ref="G14:G52" si="3">IF(F14="フラグ","boolean",IF(F14="文字列","text",IF(F14="整数","integer",IF(F14="実数","numeric",""))))</f>
        <v>integer</v>
      </c>
      <c r="H14" s="26"/>
      <c r="I14" s="10" t="s">
        <v>127</v>
      </c>
      <c r="J14" s="11"/>
      <c r="M14" s="4"/>
      <c r="N14" s="78"/>
      <c r="O14" s="78"/>
      <c r="P14" s="78" t="str">
        <f t="shared" ref="P14:P52" si="4">IF(B14&lt;&gt;1,","&amp;D14,D14)</f>
        <v>,file_no</v>
      </c>
      <c r="Q14" s="78" t="str">
        <f t="shared" si="0"/>
        <v>INTEGER</v>
      </c>
      <c r="R14" s="78" t="str">
        <f t="shared" si="1"/>
        <v/>
      </c>
      <c r="S14" s="78" t="str">
        <f t="shared" ref="S14:S52" si="5">IF(I14="○","NOT NULL","")</f>
        <v>NOT NULL</v>
      </c>
      <c r="T14" s="78" t="str">
        <f t="shared" ref="T14:T5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2961</v>
      </c>
      <c r="D18" s="6" t="s">
        <v>2962</v>
      </c>
      <c r="E18" s="8"/>
      <c r="F18" s="7" t="s">
        <v>1841</v>
      </c>
      <c r="G18" s="7" t="str">
        <f t="shared" si="3"/>
        <v>text</v>
      </c>
      <c r="H18" s="26"/>
      <c r="I18" s="10"/>
      <c r="J18" s="11" t="s">
        <v>2814</v>
      </c>
      <c r="M18" s="4"/>
      <c r="N18" s="78"/>
      <c r="O18" s="78"/>
      <c r="P18" s="78" t="str">
        <f t="shared" si="4"/>
        <v>,perform_time</v>
      </c>
      <c r="Q18" s="78" t="str">
        <f t="shared" si="0"/>
        <v>TEXT</v>
      </c>
      <c r="R18" s="78" t="str">
        <f t="shared" si="1"/>
        <v/>
      </c>
      <c r="S18" s="78" t="str">
        <f t="shared" si="5"/>
        <v/>
      </c>
      <c r="T18" s="78" t="str">
        <f t="shared" si="6"/>
        <v>-- 検査実施日時</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1572</v>
      </c>
      <c r="D19" s="6" t="s">
        <v>1573</v>
      </c>
      <c r="E19" s="8"/>
      <c r="F19" s="7" t="s">
        <v>1841</v>
      </c>
      <c r="G19" s="7" t="str">
        <f t="shared" si="3"/>
        <v>text</v>
      </c>
      <c r="H19" s="26"/>
      <c r="I19" s="10"/>
      <c r="J19" s="11" t="s">
        <v>2814</v>
      </c>
      <c r="M19" s="4"/>
      <c r="N19" s="78"/>
      <c r="O19" s="78"/>
      <c r="P19" s="78" t="str">
        <f t="shared" si="4"/>
        <v>,report_time</v>
      </c>
      <c r="Q19" s="78" t="str">
        <f t="shared" si="0"/>
        <v>TEXT</v>
      </c>
      <c r="R19" s="78" t="str">
        <f t="shared" si="1"/>
        <v/>
      </c>
      <c r="S19" s="78" t="str">
        <f t="shared" si="5"/>
        <v/>
      </c>
      <c r="T19" s="78" t="str">
        <f t="shared" si="6"/>
        <v>-- 報告日時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1574</v>
      </c>
      <c r="D20" s="6" t="s">
        <v>2963</v>
      </c>
      <c r="E20" s="8"/>
      <c r="F20" s="7" t="s">
        <v>1841</v>
      </c>
      <c r="G20" s="7" t="str">
        <f t="shared" si="3"/>
        <v>text</v>
      </c>
      <c r="H20" s="26"/>
      <c r="I20" s="10"/>
      <c r="J20" s="11"/>
      <c r="M20" s="4"/>
      <c r="N20" s="78"/>
      <c r="O20" s="78"/>
      <c r="P20" s="78" t="str">
        <f t="shared" si="4"/>
        <v>,report_status</v>
      </c>
      <c r="Q20" s="78" t="str">
        <f t="shared" si="0"/>
        <v>TEXT</v>
      </c>
      <c r="R20" s="78" t="str">
        <f t="shared" si="1"/>
        <v/>
      </c>
      <c r="S20" s="78" t="str">
        <f t="shared" si="5"/>
        <v/>
      </c>
      <c r="T20" s="78" t="str">
        <f t="shared" si="6"/>
        <v>-- 報告状態</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1576</v>
      </c>
      <c r="D21" s="6" t="s">
        <v>2964</v>
      </c>
      <c r="E21" s="8"/>
      <c r="F21" s="7" t="s">
        <v>1841</v>
      </c>
      <c r="G21" s="7" t="str">
        <f t="shared" ref="G21:G50" si="7">IF(F21="フラグ","boolean",IF(F21="文字列","text",IF(F21="整数","integer",IF(F21="実数","numeric",""))))</f>
        <v>text</v>
      </c>
      <c r="H21" s="26"/>
      <c r="I21" s="10"/>
      <c r="J21" s="11"/>
      <c r="M21" s="4"/>
      <c r="N21" s="78"/>
      <c r="O21" s="78"/>
      <c r="P21" s="78" t="str">
        <f t="shared" ref="P21:P50" si="8">IF(B21&lt;&gt;1,","&amp;D21,D21)</f>
        <v>,report_status_code</v>
      </c>
      <c r="Q21" s="78" t="str">
        <f t="shared" ref="Q21:Q50" si="9">UPPER(G21)</f>
        <v>TEXT</v>
      </c>
      <c r="R21" s="78" t="str">
        <f t="shared" ref="R21:R50" si="10">IF(H21&lt;&gt;"","default "&amp;IF(G21="text","'"&amp;H21&amp;"'",H21),"")</f>
        <v/>
      </c>
      <c r="S21" s="78" t="str">
        <f t="shared" ref="S21:S50" si="11">IF(I21="○","NOT NULL","")</f>
        <v/>
      </c>
      <c r="T21" s="78" t="str">
        <f t="shared" ref="T21:T50" si="12">"-- "&amp;C21</f>
        <v>-- 報告状態コード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2965</v>
      </c>
      <c r="D22" s="6" t="s">
        <v>2966</v>
      </c>
      <c r="E22" s="8"/>
      <c r="F22" s="7" t="s">
        <v>1841</v>
      </c>
      <c r="G22" s="7" t="str">
        <f t="shared" si="7"/>
        <v>text</v>
      </c>
      <c r="H22" s="26"/>
      <c r="I22" s="10"/>
      <c r="J22" s="11"/>
      <c r="M22" s="4"/>
      <c r="N22" s="78"/>
      <c r="O22" s="78"/>
      <c r="P22" s="78" t="str">
        <f t="shared" si="8"/>
        <v>,report_status_code_id</v>
      </c>
      <c r="Q22" s="78" t="str">
        <f t="shared" si="9"/>
        <v>TEXT</v>
      </c>
      <c r="R22" s="78" t="str">
        <f t="shared" si="10"/>
        <v/>
      </c>
      <c r="S22" s="78" t="str">
        <f t="shared" si="11"/>
        <v/>
      </c>
      <c r="T22" s="78" t="str">
        <f t="shared" si="12"/>
        <v>-- 報告状態コードID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2967</v>
      </c>
      <c r="D23" s="6" t="s">
        <v>2968</v>
      </c>
      <c r="E23" s="8"/>
      <c r="F23" s="7" t="s">
        <v>1841</v>
      </c>
      <c r="G23" s="7" t="str">
        <f t="shared" si="7"/>
        <v>text</v>
      </c>
      <c r="H23" s="26"/>
      <c r="I23" s="10"/>
      <c r="J23" s="11"/>
      <c r="M23" s="4"/>
      <c r="N23" s="78"/>
      <c r="O23" s="78"/>
      <c r="P23" s="78" t="str">
        <f t="shared" si="8"/>
        <v>,test_class</v>
      </c>
      <c r="Q23" s="78" t="str">
        <f t="shared" si="9"/>
        <v>TEXT</v>
      </c>
      <c r="R23" s="78" t="str">
        <f t="shared" si="10"/>
        <v/>
      </c>
      <c r="S23" s="78" t="str">
        <f t="shared" si="11"/>
        <v/>
      </c>
      <c r="T23" s="78" t="str">
        <f t="shared" si="12"/>
        <v>-- 報告書種別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2969</v>
      </c>
      <c r="D24" s="6" t="s">
        <v>2970</v>
      </c>
      <c r="E24" s="8"/>
      <c r="F24" s="7" t="s">
        <v>1841</v>
      </c>
      <c r="G24" s="7" t="str">
        <f t="shared" si="7"/>
        <v>text</v>
      </c>
      <c r="H24" s="26"/>
      <c r="I24" s="10"/>
      <c r="J24" s="11"/>
      <c r="M24" s="4"/>
      <c r="N24" s="78"/>
      <c r="O24" s="78"/>
      <c r="P24" s="78" t="str">
        <f t="shared" si="8"/>
        <v>,test_class_code</v>
      </c>
      <c r="Q24" s="78" t="str">
        <f t="shared" si="9"/>
        <v>TEXT</v>
      </c>
      <c r="R24" s="78" t="str">
        <f t="shared" si="10"/>
        <v/>
      </c>
      <c r="S24" s="78" t="str">
        <f t="shared" si="11"/>
        <v/>
      </c>
      <c r="T24" s="78" t="str">
        <f t="shared" si="12"/>
        <v>-- 報告書種別コード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2971</v>
      </c>
      <c r="D25" s="6" t="s">
        <v>2972</v>
      </c>
      <c r="E25" s="8"/>
      <c r="F25" s="7" t="s">
        <v>1841</v>
      </c>
      <c r="G25" s="7" t="str">
        <f t="shared" si="7"/>
        <v>text</v>
      </c>
      <c r="H25" s="26"/>
      <c r="I25" s="10"/>
      <c r="J25" s="11"/>
      <c r="M25" s="4"/>
      <c r="N25" s="78"/>
      <c r="O25" s="78"/>
      <c r="P25" s="78" t="str">
        <f t="shared" si="8"/>
        <v>,test_class_code_id</v>
      </c>
      <c r="Q25" s="78" t="str">
        <f t="shared" si="9"/>
        <v>TEXT</v>
      </c>
      <c r="R25" s="78" t="str">
        <f t="shared" si="10"/>
        <v/>
      </c>
      <c r="S25" s="78" t="str">
        <f t="shared" si="11"/>
        <v/>
      </c>
      <c r="T25" s="78" t="str">
        <f t="shared" si="12"/>
        <v>-- 報告書種別コードID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2973</v>
      </c>
      <c r="D26" s="6" t="s">
        <v>2974</v>
      </c>
      <c r="E26" s="8"/>
      <c r="F26" s="7" t="s">
        <v>1841</v>
      </c>
      <c r="G26" s="7" t="str">
        <f t="shared" si="7"/>
        <v>text</v>
      </c>
      <c r="H26" s="26"/>
      <c r="I26" s="10"/>
      <c r="J26" s="11"/>
      <c r="M26" s="4"/>
      <c r="N26" s="78"/>
      <c r="O26" s="78"/>
      <c r="P26" s="78" t="str">
        <f t="shared" si="8"/>
        <v>,test_sub_class</v>
      </c>
      <c r="Q26" s="78" t="str">
        <f t="shared" si="9"/>
        <v>TEXT</v>
      </c>
      <c r="R26" s="78" t="str">
        <f t="shared" si="10"/>
        <v/>
      </c>
      <c r="S26" s="78" t="str">
        <f t="shared" si="11"/>
        <v/>
      </c>
      <c r="T26" s="78" t="str">
        <f t="shared" si="12"/>
        <v>-- 報告書詳細種別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2975</v>
      </c>
      <c r="D27" s="6" t="s">
        <v>2976</v>
      </c>
      <c r="E27" s="8"/>
      <c r="F27" s="7" t="s">
        <v>1841</v>
      </c>
      <c r="G27" s="7" t="str">
        <f t="shared" si="7"/>
        <v>text</v>
      </c>
      <c r="H27" s="26"/>
      <c r="I27" s="10"/>
      <c r="J27" s="11"/>
      <c r="M27" s="4"/>
      <c r="N27" s="78"/>
      <c r="O27" s="78"/>
      <c r="P27" s="78" t="str">
        <f t="shared" si="8"/>
        <v>,test_sub_class_code</v>
      </c>
      <c r="Q27" s="78" t="str">
        <f t="shared" si="9"/>
        <v>TEXT</v>
      </c>
      <c r="R27" s="78" t="str">
        <f t="shared" si="10"/>
        <v/>
      </c>
      <c r="S27" s="78" t="str">
        <f t="shared" si="11"/>
        <v/>
      </c>
      <c r="T27" s="78" t="str">
        <f t="shared" si="12"/>
        <v>-- 報告書詳細種別コード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2977</v>
      </c>
      <c r="D28" s="6" t="s">
        <v>2978</v>
      </c>
      <c r="E28" s="8"/>
      <c r="F28" s="7" t="s">
        <v>1841</v>
      </c>
      <c r="G28" s="7" t="str">
        <f t="shared" si="7"/>
        <v>text</v>
      </c>
      <c r="H28" s="26"/>
      <c r="I28" s="10"/>
      <c r="J28" s="11"/>
      <c r="M28" s="4"/>
      <c r="N28" s="78"/>
      <c r="O28" s="78"/>
      <c r="P28" s="78" t="str">
        <f t="shared" si="8"/>
        <v>,test_sub_class_code_id</v>
      </c>
      <c r="Q28" s="78" t="str">
        <f t="shared" si="9"/>
        <v>TEXT</v>
      </c>
      <c r="R28" s="78" t="str">
        <f t="shared" si="10"/>
        <v/>
      </c>
      <c r="S28" s="78" t="str">
        <f t="shared" si="11"/>
        <v/>
      </c>
      <c r="T28" s="78" t="str">
        <f t="shared" si="12"/>
        <v>-- 報告書詳細種別コードID</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2979</v>
      </c>
      <c r="D29" s="6" t="s">
        <v>2980</v>
      </c>
      <c r="E29" s="8"/>
      <c r="F29" s="7" t="s">
        <v>1841</v>
      </c>
      <c r="G29" s="7" t="str">
        <f t="shared" si="7"/>
        <v>text</v>
      </c>
      <c r="H29" s="26"/>
      <c r="I29" s="10"/>
      <c r="J29" s="11"/>
      <c r="M29" s="4"/>
      <c r="N29" s="78"/>
      <c r="O29" s="78"/>
      <c r="P29" s="78" t="str">
        <f t="shared" si="8"/>
        <v>,organ</v>
      </c>
      <c r="Q29" s="78" t="str">
        <f t="shared" si="9"/>
        <v>TEXT</v>
      </c>
      <c r="R29" s="78" t="str">
        <f t="shared" si="10"/>
        <v/>
      </c>
      <c r="S29" s="78" t="str">
        <f t="shared" si="11"/>
        <v/>
      </c>
      <c r="T29" s="78" t="str">
        <f t="shared" si="12"/>
        <v>-- 臓器</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milscm_2023_009.sny_202310_backup_text_mml_mmlrp_body.organ IS '臓器';</v>
      </c>
    </row>
    <row r="30" spans="1:45" s="25" customFormat="1">
      <c r="A30" s="4"/>
      <c r="B30" s="21">
        <f t="shared" si="2"/>
        <v>18</v>
      </c>
      <c r="C30" s="6" t="s">
        <v>2981</v>
      </c>
      <c r="D30" s="6" t="s">
        <v>2982</v>
      </c>
      <c r="E30" s="8"/>
      <c r="F30" s="7" t="s">
        <v>1841</v>
      </c>
      <c r="G30" s="7" t="str">
        <f t="shared" si="7"/>
        <v>text</v>
      </c>
      <c r="H30" s="26"/>
      <c r="I30" s="10"/>
      <c r="J30" s="11"/>
      <c r="M30" s="4"/>
      <c r="N30" s="78"/>
      <c r="O30" s="78"/>
      <c r="P30" s="78" t="str">
        <f t="shared" si="8"/>
        <v>,con_facility</v>
      </c>
      <c r="Q30" s="78" t="str">
        <f t="shared" si="9"/>
        <v>TEXT</v>
      </c>
      <c r="R30" s="78" t="str">
        <f t="shared" si="10"/>
        <v/>
      </c>
      <c r="S30" s="78" t="str">
        <f t="shared" si="11"/>
        <v/>
      </c>
      <c r="T30" s="78" t="str">
        <f t="shared" si="12"/>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1586</v>
      </c>
      <c r="D31" s="6" t="s">
        <v>2983</v>
      </c>
      <c r="E31" s="8"/>
      <c r="F31" s="7" t="s">
        <v>1841</v>
      </c>
      <c r="G31" s="7" t="str">
        <f t="shared" si="7"/>
        <v>text</v>
      </c>
      <c r="H31" s="26"/>
      <c r="I31" s="10"/>
      <c r="J31" s="11"/>
      <c r="M31" s="4"/>
      <c r="N31" s="78"/>
      <c r="O31" s="78"/>
      <c r="P31" s="78" t="str">
        <f t="shared" si="8"/>
        <v>,con_facility_code</v>
      </c>
      <c r="Q31" s="78" t="str">
        <f t="shared" si="9"/>
        <v>TEXT</v>
      </c>
      <c r="R31" s="78" t="str">
        <f t="shared" si="10"/>
        <v/>
      </c>
      <c r="S31" s="78" t="str">
        <f t="shared" si="11"/>
        <v/>
      </c>
      <c r="T31" s="78" t="str">
        <f t="shared" si="12"/>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1588</v>
      </c>
      <c r="D32" s="6" t="s">
        <v>2984</v>
      </c>
      <c r="E32" s="8"/>
      <c r="F32" s="7" t="s">
        <v>1841</v>
      </c>
      <c r="G32" s="7" t="str">
        <f t="shared" si="7"/>
        <v>text</v>
      </c>
      <c r="H32" s="26"/>
      <c r="I32" s="10"/>
      <c r="J32" s="11"/>
      <c r="M32" s="4"/>
      <c r="N32" s="78"/>
      <c r="O32" s="78"/>
      <c r="P32" s="78" t="str">
        <f t="shared" si="8"/>
        <v>,con_facility_code_id</v>
      </c>
      <c r="Q32" s="78" t="str">
        <f t="shared" si="9"/>
        <v>TEXT</v>
      </c>
      <c r="R32" s="78" t="str">
        <f t="shared" si="10"/>
        <v/>
      </c>
      <c r="S32" s="78" t="str">
        <f t="shared" si="11"/>
        <v/>
      </c>
      <c r="T32" s="78" t="str">
        <f t="shared" si="12"/>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1590</v>
      </c>
      <c r="D33" s="6" t="s">
        <v>2985</v>
      </c>
      <c r="E33" s="8"/>
      <c r="F33" s="7" t="s">
        <v>1841</v>
      </c>
      <c r="G33" s="7" t="str">
        <f t="shared" si="7"/>
        <v>text</v>
      </c>
      <c r="H33" s="26"/>
      <c r="I33" s="10"/>
      <c r="J33" s="11"/>
      <c r="M33" s="4"/>
      <c r="N33" s="78"/>
      <c r="O33" s="78"/>
      <c r="P33" s="78" t="str">
        <f t="shared" si="8"/>
        <v>,con_department</v>
      </c>
      <c r="Q33" s="78" t="str">
        <f t="shared" si="9"/>
        <v>TEXT</v>
      </c>
      <c r="R33" s="78" t="str">
        <f t="shared" si="10"/>
        <v/>
      </c>
      <c r="S33" s="78" t="str">
        <f t="shared" si="11"/>
        <v/>
      </c>
      <c r="T33" s="78" t="str">
        <f t="shared" si="12"/>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1592</v>
      </c>
      <c r="D34" s="6" t="s">
        <v>2986</v>
      </c>
      <c r="E34" s="8"/>
      <c r="F34" s="7" t="s">
        <v>1841</v>
      </c>
      <c r="G34" s="7" t="str">
        <f t="shared" si="7"/>
        <v>text</v>
      </c>
      <c r="H34" s="26"/>
      <c r="I34" s="10"/>
      <c r="J34" s="11"/>
      <c r="M34" s="4"/>
      <c r="N34" s="78"/>
      <c r="O34" s="78"/>
      <c r="P34" s="78" t="str">
        <f t="shared" si="8"/>
        <v>,con_department_code</v>
      </c>
      <c r="Q34" s="78" t="str">
        <f t="shared" si="9"/>
        <v>TEXT</v>
      </c>
      <c r="R34" s="78" t="str">
        <f t="shared" si="10"/>
        <v/>
      </c>
      <c r="S34" s="78" t="str">
        <f t="shared" si="11"/>
        <v/>
      </c>
      <c r="T34" s="78" t="str">
        <f t="shared" si="12"/>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milscm_2023_009.sny_202310_backup_text_mml_mmlrp_body.con_department_code IS '依頼診療科コード';</v>
      </c>
    </row>
    <row r="35" spans="1:45" s="25" customFormat="1" ht="30">
      <c r="A35" s="4"/>
      <c r="B35" s="21">
        <f t="shared" si="2"/>
        <v>23</v>
      </c>
      <c r="C35" s="6" t="s">
        <v>2987</v>
      </c>
      <c r="D35" s="6" t="s">
        <v>2988</v>
      </c>
      <c r="E35" s="8"/>
      <c r="F35" s="7" t="s">
        <v>1841</v>
      </c>
      <c r="G35" s="7" t="str">
        <f t="shared" si="7"/>
        <v>text</v>
      </c>
      <c r="H35" s="26"/>
      <c r="I35" s="10"/>
      <c r="J35" s="11"/>
      <c r="M35" s="4"/>
      <c r="N35" s="78"/>
      <c r="O35" s="78"/>
      <c r="P35" s="78" t="str">
        <f t="shared" si="8"/>
        <v>,con_department_code_id</v>
      </c>
      <c r="Q35" s="78" t="str">
        <f t="shared" si="9"/>
        <v>TEXT</v>
      </c>
      <c r="R35" s="78" t="str">
        <f t="shared" si="10"/>
        <v/>
      </c>
      <c r="S35" s="78" t="str">
        <f t="shared" si="11"/>
        <v/>
      </c>
      <c r="T35" s="78" t="str">
        <f t="shared" si="12"/>
        <v>-- 依頼診療科コードID</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1594</v>
      </c>
      <c r="D36" s="6" t="s">
        <v>2989</v>
      </c>
      <c r="E36" s="8"/>
      <c r="F36" s="7" t="s">
        <v>1841</v>
      </c>
      <c r="G36" s="7" t="str">
        <f t="shared" si="7"/>
        <v>text</v>
      </c>
      <c r="H36" s="26"/>
      <c r="I36" s="10"/>
      <c r="J36" s="11"/>
      <c r="M36" s="4"/>
      <c r="N36" s="78"/>
      <c r="O36" s="78"/>
      <c r="P36" s="78" t="str">
        <f t="shared" si="8"/>
        <v>,con_ward</v>
      </c>
      <c r="Q36" s="78" t="str">
        <f t="shared" si="9"/>
        <v>TEXT</v>
      </c>
      <c r="R36" s="78" t="str">
        <f t="shared" si="10"/>
        <v/>
      </c>
      <c r="S36" s="78" t="str">
        <f t="shared" si="11"/>
        <v/>
      </c>
      <c r="T36" s="78" t="str">
        <f t="shared" si="12"/>
        <v>-- 依頼病棟</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1596</v>
      </c>
      <c r="D37" s="6" t="s">
        <v>2990</v>
      </c>
      <c r="E37" s="8"/>
      <c r="F37" s="7" t="s">
        <v>1841</v>
      </c>
      <c r="G37" s="7" t="str">
        <f t="shared" si="7"/>
        <v>text</v>
      </c>
      <c r="H37" s="26"/>
      <c r="I37" s="10"/>
      <c r="J37" s="11"/>
      <c r="M37" s="4"/>
      <c r="N37" s="78"/>
      <c r="O37" s="78"/>
      <c r="P37" s="78" t="str">
        <f t="shared" si="8"/>
        <v>,con_ward_code</v>
      </c>
      <c r="Q37" s="78" t="str">
        <f t="shared" si="9"/>
        <v>TEXT</v>
      </c>
      <c r="R37" s="78" t="str">
        <f t="shared" si="10"/>
        <v/>
      </c>
      <c r="S37" s="78" t="str">
        <f t="shared" si="11"/>
        <v/>
      </c>
      <c r="T37" s="78" t="str">
        <f t="shared" si="12"/>
        <v>-- 依頼病棟コード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1598</v>
      </c>
      <c r="D38" s="6" t="s">
        <v>2991</v>
      </c>
      <c r="E38" s="8"/>
      <c r="F38" s="7" t="s">
        <v>1841</v>
      </c>
      <c r="G38" s="7" t="str">
        <f t="shared" si="7"/>
        <v>text</v>
      </c>
      <c r="H38" s="26"/>
      <c r="I38" s="10"/>
      <c r="J38" s="11"/>
      <c r="M38" s="4"/>
      <c r="N38" s="78"/>
      <c r="O38" s="78"/>
      <c r="P38" s="78" t="str">
        <f t="shared" si="8"/>
        <v>,con_ward_code_id</v>
      </c>
      <c r="Q38" s="78" t="str">
        <f t="shared" si="9"/>
        <v>TEXT</v>
      </c>
      <c r="R38" s="78" t="str">
        <f t="shared" si="10"/>
        <v/>
      </c>
      <c r="S38" s="78" t="str">
        <f t="shared" si="11"/>
        <v/>
      </c>
      <c r="T38" s="78" t="str">
        <f t="shared" si="12"/>
        <v>-- 依頼病棟コードID</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2992</v>
      </c>
      <c r="D39" s="6" t="s">
        <v>2993</v>
      </c>
      <c r="E39" s="8"/>
      <c r="F39" s="7" t="s">
        <v>1841</v>
      </c>
      <c r="G39" s="7" t="str">
        <f t="shared" si="7"/>
        <v>text</v>
      </c>
      <c r="H39" s="26"/>
      <c r="I39" s="10"/>
      <c r="J39" s="11"/>
      <c r="M39" s="4"/>
      <c r="N39" s="78"/>
      <c r="O39" s="78"/>
      <c r="P39" s="78" t="str">
        <f t="shared" si="8"/>
        <v>,p_facility</v>
      </c>
      <c r="Q39" s="78" t="str">
        <f t="shared" si="9"/>
        <v>TEXT</v>
      </c>
      <c r="R39" s="78" t="str">
        <f t="shared" si="10"/>
        <v/>
      </c>
      <c r="S39" s="78" t="str">
        <f t="shared" si="11"/>
        <v/>
      </c>
      <c r="T39" s="78" t="str">
        <f t="shared" si="12"/>
        <v>-- 実施施設</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2994</v>
      </c>
      <c r="D40" s="6" t="s">
        <v>2995</v>
      </c>
      <c r="E40" s="8"/>
      <c r="F40" s="7" t="s">
        <v>1841</v>
      </c>
      <c r="G40" s="7" t="str">
        <f t="shared" si="7"/>
        <v>text</v>
      </c>
      <c r="H40" s="26"/>
      <c r="I40" s="10"/>
      <c r="J40" s="11"/>
      <c r="M40" s="4"/>
      <c r="N40" s="78"/>
      <c r="O40" s="78"/>
      <c r="P40" s="78" t="str">
        <f t="shared" si="8"/>
        <v>,p_facility_code</v>
      </c>
      <c r="Q40" s="78" t="str">
        <f t="shared" si="9"/>
        <v>TEXT</v>
      </c>
      <c r="R40" s="78" t="str">
        <f t="shared" si="10"/>
        <v/>
      </c>
      <c r="S40" s="78" t="str">
        <f t="shared" si="11"/>
        <v/>
      </c>
      <c r="T40" s="78" t="str">
        <f t="shared" si="12"/>
        <v>-- 実施施設コード</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2996</v>
      </c>
      <c r="D41" s="6" t="s">
        <v>2997</v>
      </c>
      <c r="E41" s="8"/>
      <c r="F41" s="7" t="s">
        <v>1841</v>
      </c>
      <c r="G41" s="7" t="str">
        <f t="shared" si="7"/>
        <v>text</v>
      </c>
      <c r="H41" s="26"/>
      <c r="I41" s="10"/>
      <c r="J41" s="11"/>
      <c r="M41" s="4"/>
      <c r="N41" s="78"/>
      <c r="O41" s="78"/>
      <c r="P41" s="78" t="str">
        <f t="shared" si="8"/>
        <v>,p_facility_code_id</v>
      </c>
      <c r="Q41" s="78" t="str">
        <f t="shared" si="9"/>
        <v>TEXT</v>
      </c>
      <c r="R41" s="78" t="str">
        <f t="shared" si="10"/>
        <v/>
      </c>
      <c r="S41" s="78" t="str">
        <f t="shared" si="11"/>
        <v/>
      </c>
      <c r="T41" s="78" t="str">
        <f t="shared" si="12"/>
        <v>-- 実施施設コードID</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2998</v>
      </c>
      <c r="D42" s="6" t="s">
        <v>2999</v>
      </c>
      <c r="E42" s="8"/>
      <c r="F42" s="7" t="s">
        <v>1841</v>
      </c>
      <c r="G42" s="7" t="str">
        <f t="shared" si="7"/>
        <v>text</v>
      </c>
      <c r="H42" s="26"/>
      <c r="I42" s="10"/>
      <c r="J42" s="11"/>
      <c r="M42" s="4"/>
      <c r="N42" s="78"/>
      <c r="O42" s="78"/>
      <c r="P42" s="78" t="str">
        <f t="shared" si="8"/>
        <v>,p_department</v>
      </c>
      <c r="Q42" s="78" t="str">
        <f t="shared" si="9"/>
        <v>TEXT</v>
      </c>
      <c r="R42" s="78" t="str">
        <f t="shared" si="10"/>
        <v/>
      </c>
      <c r="S42" s="78" t="str">
        <f t="shared" si="11"/>
        <v/>
      </c>
      <c r="T42" s="78" t="str">
        <f t="shared" si="12"/>
        <v>-- 実施診療科</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3000</v>
      </c>
      <c r="D43" s="6" t="s">
        <v>3001</v>
      </c>
      <c r="E43" s="8"/>
      <c r="F43" s="7" t="s">
        <v>1841</v>
      </c>
      <c r="G43" s="7" t="str">
        <f t="shared" si="7"/>
        <v>text</v>
      </c>
      <c r="H43" s="26"/>
      <c r="I43" s="10"/>
      <c r="J43" s="11"/>
      <c r="M43" s="4"/>
      <c r="N43" s="78"/>
      <c r="O43" s="78"/>
      <c r="P43" s="78" t="str">
        <f t="shared" si="8"/>
        <v>,p_department_code</v>
      </c>
      <c r="Q43" s="78" t="str">
        <f t="shared" si="9"/>
        <v>TEXT</v>
      </c>
      <c r="R43" s="78" t="str">
        <f t="shared" si="10"/>
        <v/>
      </c>
      <c r="S43" s="78" t="str">
        <f t="shared" si="11"/>
        <v/>
      </c>
      <c r="T43" s="78" t="str">
        <f t="shared" si="12"/>
        <v>-- 実施診療科コード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3002</v>
      </c>
      <c r="D44" s="6" t="s">
        <v>3003</v>
      </c>
      <c r="E44" s="8"/>
      <c r="F44" s="7" t="s">
        <v>1841</v>
      </c>
      <c r="G44" s="7" t="str">
        <f t="shared" ref="G44:G45" si="13">IF(F44="フラグ","boolean",IF(F44="文字列","text",IF(F44="整数","integer",IF(F44="実数","numeric",""))))</f>
        <v>text</v>
      </c>
      <c r="H44" s="26"/>
      <c r="I44" s="10"/>
      <c r="J44" s="11"/>
      <c r="M44" s="4"/>
      <c r="N44" s="78"/>
      <c r="O44" s="78"/>
      <c r="P44" s="78" t="str">
        <f t="shared" ref="P44:P45" si="14">IF(B44&lt;&gt;1,","&amp;D44,D44)</f>
        <v>,p_department_code_id</v>
      </c>
      <c r="Q44" s="78" t="str">
        <f t="shared" ref="Q44:Q45" si="15">UPPER(G44)</f>
        <v>TEXT</v>
      </c>
      <c r="R44" s="78" t="str">
        <f t="shared" ref="R44:R45" si="16">IF(H44&lt;&gt;"","default "&amp;IF(G44="text","'"&amp;H44&amp;"'",H44),"")</f>
        <v/>
      </c>
      <c r="S44" s="78" t="str">
        <f t="shared" ref="S44:S45" si="17">IF(I44="○","NOT NULL","")</f>
        <v/>
      </c>
      <c r="T44" s="78" t="str">
        <f t="shared" ref="T44:T45" si="18">"-- "&amp;C44</f>
        <v>-- 実施診療科コードID</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3004</v>
      </c>
      <c r="D45" s="6" t="s">
        <v>3005</v>
      </c>
      <c r="E45" s="8"/>
      <c r="F45" s="7" t="s">
        <v>1841</v>
      </c>
      <c r="G45" s="7" t="str">
        <f t="shared" si="13"/>
        <v>text</v>
      </c>
      <c r="H45" s="26"/>
      <c r="I45" s="10"/>
      <c r="J45" s="11"/>
      <c r="M45" s="4"/>
      <c r="N45" s="78"/>
      <c r="O45" s="78"/>
      <c r="P45" s="78" t="str">
        <f t="shared" si="14"/>
        <v>,p_ward</v>
      </c>
      <c r="Q45" s="78" t="str">
        <f t="shared" si="15"/>
        <v>TEXT</v>
      </c>
      <c r="R45" s="78" t="str">
        <f t="shared" si="16"/>
        <v/>
      </c>
      <c r="S45" s="78" t="str">
        <f t="shared" si="17"/>
        <v/>
      </c>
      <c r="T45" s="78" t="str">
        <f t="shared" si="18"/>
        <v>-- 実施病棟</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3006</v>
      </c>
      <c r="D46" s="6" t="s">
        <v>3007</v>
      </c>
      <c r="E46" s="8"/>
      <c r="F46" s="7" t="s">
        <v>1841</v>
      </c>
      <c r="G46" s="7" t="str">
        <f t="shared" si="7"/>
        <v>text</v>
      </c>
      <c r="H46" s="26"/>
      <c r="I46" s="10"/>
      <c r="J46" s="11"/>
      <c r="M46" s="4"/>
      <c r="N46" s="78"/>
      <c r="O46" s="78"/>
      <c r="P46" s="78" t="str">
        <f t="shared" si="8"/>
        <v>,p_ward_code</v>
      </c>
      <c r="Q46" s="78" t="str">
        <f t="shared" si="9"/>
        <v>TEXT</v>
      </c>
      <c r="R46" s="78" t="str">
        <f t="shared" si="10"/>
        <v/>
      </c>
      <c r="S46" s="78" t="str">
        <f t="shared" si="11"/>
        <v/>
      </c>
      <c r="T46" s="78" t="str">
        <f t="shared" si="12"/>
        <v>-- 実施病棟コード</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3008</v>
      </c>
      <c r="D47" s="6" t="s">
        <v>3009</v>
      </c>
      <c r="E47" s="8"/>
      <c r="F47" s="7" t="s">
        <v>1841</v>
      </c>
      <c r="G47" s="7" t="str">
        <f t="shared" si="7"/>
        <v>text</v>
      </c>
      <c r="H47" s="26"/>
      <c r="I47" s="10"/>
      <c r="J47" s="11"/>
      <c r="M47" s="4"/>
      <c r="N47" s="78"/>
      <c r="O47" s="78"/>
      <c r="P47" s="78" t="str">
        <f t="shared" si="8"/>
        <v>,p_ward_code_id</v>
      </c>
      <c r="Q47" s="78" t="str">
        <f t="shared" si="9"/>
        <v>TEXT</v>
      </c>
      <c r="R47" s="78" t="str">
        <f t="shared" si="10"/>
        <v/>
      </c>
      <c r="S47" s="78" t="str">
        <f t="shared" si="11"/>
        <v/>
      </c>
      <c r="T47" s="78" t="str">
        <f t="shared" si="12"/>
        <v>-- 実施病棟コードID</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1465</v>
      </c>
      <c r="D48" s="6" t="s">
        <v>1466</v>
      </c>
      <c r="E48" s="8"/>
      <c r="F48" s="7" t="s">
        <v>1841</v>
      </c>
      <c r="G48" s="7" t="str">
        <f t="shared" si="7"/>
        <v>text</v>
      </c>
      <c r="H48" s="26"/>
      <c r="I48" s="10"/>
      <c r="J48" s="11"/>
      <c r="M48" s="4"/>
      <c r="N48" s="78"/>
      <c r="O48" s="78"/>
      <c r="P48" s="78" t="str">
        <f t="shared" si="8"/>
        <v>,chief_complaints</v>
      </c>
      <c r="Q48" s="78" t="str">
        <f t="shared" si="9"/>
        <v>TEXT</v>
      </c>
      <c r="R48" s="78" t="str">
        <f t="shared" si="10"/>
        <v/>
      </c>
      <c r="S48" s="78" t="str">
        <f t="shared" si="11"/>
        <v/>
      </c>
      <c r="T48" s="78" t="str">
        <f t="shared" si="12"/>
        <v>-- 主訴</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3010</v>
      </c>
      <c r="D49" s="6" t="s">
        <v>3011</v>
      </c>
      <c r="E49" s="8"/>
      <c r="F49" s="7" t="s">
        <v>1841</v>
      </c>
      <c r="G49" s="7" t="str">
        <f t="shared" si="7"/>
        <v>text</v>
      </c>
      <c r="H49" s="26"/>
      <c r="I49" s="10"/>
      <c r="J49" s="11"/>
      <c r="M49" s="4"/>
      <c r="N49" s="78"/>
      <c r="O49" s="78"/>
      <c r="P49" s="78" t="str">
        <f t="shared" si="8"/>
        <v>,test_purpose</v>
      </c>
      <c r="Q49" s="78" t="str">
        <f t="shared" si="9"/>
        <v>TEXT</v>
      </c>
      <c r="R49" s="78" t="str">
        <f t="shared" si="10"/>
        <v/>
      </c>
      <c r="S49" s="78" t="str">
        <f t="shared" si="11"/>
        <v/>
      </c>
      <c r="T49" s="78" t="str">
        <f t="shared" si="12"/>
        <v>-- 検査目的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3012</v>
      </c>
      <c r="D50" s="6" t="s">
        <v>3013</v>
      </c>
      <c r="E50" s="8"/>
      <c r="F50" s="7" t="s">
        <v>1841</v>
      </c>
      <c r="G50" s="7" t="str">
        <f t="shared" si="7"/>
        <v>text</v>
      </c>
      <c r="H50" s="26"/>
      <c r="I50" s="10"/>
      <c r="J50" s="11"/>
      <c r="M50" s="4"/>
      <c r="N50" s="78"/>
      <c r="O50" s="78"/>
      <c r="P50" s="78" t="str">
        <f t="shared" si="8"/>
        <v>,test_dx</v>
      </c>
      <c r="Q50" s="78" t="str">
        <f t="shared" si="9"/>
        <v>TEXT</v>
      </c>
      <c r="R50" s="78" t="str">
        <f t="shared" si="10"/>
        <v/>
      </c>
      <c r="S50" s="78" t="str">
        <f t="shared" si="11"/>
        <v/>
      </c>
      <c r="T50" s="78" t="str">
        <f t="shared" si="12"/>
        <v>-- 検査診断</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3014</v>
      </c>
      <c r="D51" s="6" t="s">
        <v>3015</v>
      </c>
      <c r="E51" s="8"/>
      <c r="F51" s="7" t="s">
        <v>1841</v>
      </c>
      <c r="G51" s="7" t="str">
        <f t="shared" si="3"/>
        <v>text</v>
      </c>
      <c r="H51" s="26"/>
      <c r="I51" s="10"/>
      <c r="J51" s="11"/>
      <c r="M51" s="4"/>
      <c r="N51" s="78"/>
      <c r="O51" s="78"/>
      <c r="P51" s="78" t="str">
        <f t="shared" si="4"/>
        <v>,test_notes</v>
      </c>
      <c r="Q51" s="78" t="str">
        <f t="shared" si="0"/>
        <v>TEXT</v>
      </c>
      <c r="R51" s="78" t="str">
        <f t="shared" si="1"/>
        <v/>
      </c>
      <c r="S51" s="78" t="str">
        <f t="shared" si="5"/>
        <v/>
      </c>
      <c r="T51" s="78" t="str">
        <f t="shared" si="6"/>
        <v>-- 検査所見記載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milscm_2023_009.sny_202310_backup_text_mml_mmlrp_body.test_notes IS '検査所見記載';</v>
      </c>
    </row>
    <row r="52" spans="1:52" s="25" customFormat="1" ht="18" thickBot="1">
      <c r="A52" s="4"/>
      <c r="B52" s="27">
        <f>ROW()-12</f>
        <v>40</v>
      </c>
      <c r="C52" s="57" t="s">
        <v>3016</v>
      </c>
      <c r="D52" s="57" t="s">
        <v>3017</v>
      </c>
      <c r="E52" s="56"/>
      <c r="F52" s="56" t="s">
        <v>1841</v>
      </c>
      <c r="G52" s="56" t="str">
        <f t="shared" si="3"/>
        <v>text</v>
      </c>
      <c r="H52" s="59"/>
      <c r="I52" s="60"/>
      <c r="J52" s="64"/>
      <c r="N52" s="78"/>
      <c r="O52" s="78"/>
      <c r="P52" s="78" t="str">
        <f t="shared" si="4"/>
        <v>,test_memo_f</v>
      </c>
      <c r="Q52" s="78" t="str">
        <f t="shared" si="0"/>
        <v>TEXT</v>
      </c>
      <c r="R52" s="78" t="str">
        <f t="shared" si="1"/>
        <v/>
      </c>
      <c r="S52" s="78" t="str">
        <f t="shared" si="5"/>
        <v/>
      </c>
      <c r="T52" s="78" t="str">
        <f t="shared" si="6"/>
        <v>-- 検査フリーコメント</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milscm_2023_009.sny_202310_backup_text_mml_mmlrp_body.test_memo_f IS '検査フリーコメント';</v>
      </c>
    </row>
    <row r="53" spans="1:52">
      <c r="L53" s="25"/>
      <c r="M53" s="25"/>
      <c r="N53" s="78" t="s">
        <v>142</v>
      </c>
      <c r="O53" s="78"/>
      <c r="P53" s="78"/>
      <c r="Q53" s="78"/>
      <c r="R53" s="78"/>
      <c r="S53" s="78"/>
      <c r="T53" s="78"/>
      <c r="V53" s="25"/>
      <c r="W53" s="25"/>
      <c r="X53" s="25"/>
      <c r="Y53" s="25"/>
      <c r="Z53" s="25"/>
      <c r="AJ53" s="78"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ENT_01_A6-51</v>
      </c>
      <c r="E6" s="251"/>
      <c r="F6" s="251"/>
      <c r="G6" s="251"/>
      <c r="H6" s="251"/>
      <c r="I6" s="251"/>
      <c r="J6" s="252"/>
    </row>
    <row r="7" spans="1:45">
      <c r="B7" s="240" t="s">
        <v>115</v>
      </c>
      <c r="C7" s="241"/>
      <c r="D7" s="242" t="s">
        <v>3018</v>
      </c>
      <c r="E7" s="243"/>
      <c r="F7" s="243"/>
      <c r="G7" s="243"/>
      <c r="H7" s="243"/>
      <c r="I7" s="243"/>
      <c r="J7" s="244"/>
    </row>
    <row r="8" spans="1:45">
      <c r="B8" s="240" t="s">
        <v>116</v>
      </c>
      <c r="C8" s="241"/>
      <c r="D8" s="242" t="str">
        <f>エンティティ一覧!AE2&amp;"_"&amp;D5&amp;"_text_mml_mmlrp_test_memo"</f>
        <v>sny_202310_backup_text_mml_mmlrp_test_memo</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milscm_2023_009.sny_202310_backup_text_mml_mmlrp_test_memo;</v>
      </c>
      <c r="O10" s="78"/>
      <c r="P10" s="78"/>
      <c r="Q10" s="78"/>
      <c r="R10" s="78"/>
      <c r="S10" s="78"/>
      <c r="T10" s="78"/>
      <c r="AJ10" s="78" t="str">
        <f>"ALTER TABLE ONLY "&amp;エンティティ一覧!$O$2&amp;"."&amp;D$8</f>
        <v>ALTER TABLE ONLY milscm_2023_009.sny_202310_backup_text_mml_mmlrp_test_memo</v>
      </c>
      <c r="AS10" s="78" t="str">
        <f>"ALTER TABLE "&amp;エンティティ一覧!$O$2&amp;"."&amp;D$8&amp;" OWNER TO pgmisgrp1;"</f>
        <v>ALTER TABLE milscm_2023_009.sny_202310_backup_text_mml_mmlrp_test_memo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milscm_2023_009.sny_202310_backup_text_mml_mmlrp_test_memo</v>
      </c>
      <c r="O11" s="78"/>
      <c r="P11" s="78"/>
      <c r="Q11" s="78"/>
      <c r="R11" s="78"/>
      <c r="S11" s="78"/>
      <c r="T11" s="78"/>
      <c r="AJ11" s="78" t="str">
        <f>"ADD CONSTRAINT "&amp;D$8&amp;"_pkey PRIMARY KEY"</f>
        <v>ADD CONSTRAINT sny_202310_backup_text_mml_mmlrp_test_memo_pkey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3019</v>
      </c>
      <c r="D18" s="6" t="s">
        <v>3020</v>
      </c>
      <c r="E18" s="8" t="s">
        <v>127</v>
      </c>
      <c r="F18" s="7" t="s">
        <v>2802</v>
      </c>
      <c r="G18" s="7" t="str">
        <f t="shared" si="3"/>
        <v>integer</v>
      </c>
      <c r="H18" s="26"/>
      <c r="I18" s="10" t="s">
        <v>127</v>
      </c>
      <c r="J18" s="11"/>
      <c r="M18" s="4"/>
      <c r="N18" s="78"/>
      <c r="O18" s="78"/>
      <c r="P18" s="78" t="str">
        <f t="shared" si="4"/>
        <v>,test_memo_no</v>
      </c>
      <c r="Q18" s="78" t="str">
        <f t="shared" si="0"/>
        <v>INTEGER</v>
      </c>
      <c r="R18" s="78" t="str">
        <f t="shared" si="1"/>
        <v/>
      </c>
      <c r="S18" s="78" t="str">
        <f t="shared" si="5"/>
        <v>NOT NULL</v>
      </c>
      <c r="T18" s="78" t="str">
        <f t="shared" si="6"/>
        <v>-- 検査コメントNo</v>
      </c>
      <c r="U18" s="4"/>
      <c r="AA18" s="4"/>
      <c r="AB18" s="4"/>
      <c r="AC18" s="4"/>
      <c r="AD18" s="4"/>
      <c r="AE18" s="4"/>
      <c r="AF18" s="4"/>
      <c r="AG18" s="4"/>
      <c r="AH18" s="4"/>
      <c r="AI18" s="4"/>
      <c r="AJ18" s="78" t="str">
        <f>IF(E18="○",IF(COUNTA(E$13:E18)=1,"",",")&amp;D18,"")</f>
        <v>,test_memo_no</v>
      </c>
      <c r="AK18" s="4"/>
      <c r="AL18" s="4"/>
      <c r="AM18" s="4"/>
      <c r="AN18" s="4"/>
      <c r="AO18" s="4"/>
      <c r="AP18" s="4"/>
      <c r="AQ18" s="4"/>
      <c r="AR18" s="4"/>
      <c r="AS18" s="78"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3021</v>
      </c>
      <c r="D19" s="6" t="s">
        <v>3022</v>
      </c>
      <c r="E19" s="8"/>
      <c r="F19" s="7" t="s">
        <v>1841</v>
      </c>
      <c r="G19" s="7" t="str">
        <f t="shared" si="3"/>
        <v>text</v>
      </c>
      <c r="H19" s="26"/>
      <c r="I19" s="10"/>
      <c r="J19" s="11"/>
      <c r="M19" s="4"/>
      <c r="N19" s="78"/>
      <c r="O19" s="78"/>
      <c r="P19" s="78" t="str">
        <f t="shared" si="4"/>
        <v>,test_memo</v>
      </c>
      <c r="Q19" s="78" t="str">
        <f t="shared" si="0"/>
        <v>TEXT</v>
      </c>
      <c r="R19" s="78" t="str">
        <f t="shared" si="1"/>
        <v/>
      </c>
      <c r="S19" s="78" t="str">
        <f t="shared" si="5"/>
        <v/>
      </c>
      <c r="T19" s="78" t="str">
        <f t="shared" si="6"/>
        <v>-- 検査コメント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3023</v>
      </c>
      <c r="D20" s="6" t="s">
        <v>3024</v>
      </c>
      <c r="E20" s="8"/>
      <c r="F20" s="7" t="s">
        <v>1841</v>
      </c>
      <c r="G20" s="7" t="str">
        <f t="shared" si="3"/>
        <v>text</v>
      </c>
      <c r="H20" s="26"/>
      <c r="I20" s="10"/>
      <c r="J20" s="11"/>
      <c r="M20" s="4"/>
      <c r="N20" s="78"/>
      <c r="O20" s="78"/>
      <c r="P20" s="78" t="str">
        <f t="shared" si="4"/>
        <v>,tm_code_name</v>
      </c>
      <c r="Q20" s="78" t="str">
        <f t="shared" si="0"/>
        <v>TEXT</v>
      </c>
      <c r="R20" s="78" t="str">
        <f t="shared" si="1"/>
        <v/>
      </c>
      <c r="S20" s="78" t="str">
        <f t="shared" si="5"/>
        <v/>
      </c>
      <c r="T20" s="78" t="str">
        <f t="shared" si="6"/>
        <v>-- 検査コメント名称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3025</v>
      </c>
      <c r="D21" s="6" t="s">
        <v>3026</v>
      </c>
      <c r="E21" s="8"/>
      <c r="F21" s="7" t="s">
        <v>1841</v>
      </c>
      <c r="G21" s="7" t="str">
        <f t="shared" si="3"/>
        <v>text</v>
      </c>
      <c r="H21" s="26"/>
      <c r="I21" s="10"/>
      <c r="J21" s="11"/>
      <c r="M21" s="4"/>
      <c r="N21" s="78"/>
      <c r="O21" s="78"/>
      <c r="P21" s="78" t="str">
        <f t="shared" si="4"/>
        <v>,tm_code</v>
      </c>
      <c r="Q21" s="78" t="str">
        <f t="shared" si="0"/>
        <v>TEXT</v>
      </c>
      <c r="R21" s="78" t="str">
        <f t="shared" si="1"/>
        <v/>
      </c>
      <c r="S21" s="78" t="str">
        <f t="shared" si="5"/>
        <v/>
      </c>
      <c r="T21" s="78" t="str">
        <f t="shared" si="6"/>
        <v>-- 検査コメントコード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milscm_2023_009.sny_202310_backup_text_mml_mmlrp_test_memo.tm_code IS '検査コメントコード';</v>
      </c>
    </row>
    <row r="22" spans="1:52" s="25" customFormat="1" ht="18" thickBot="1">
      <c r="A22" s="4"/>
      <c r="B22" s="27">
        <f>ROW()-12</f>
        <v>10</v>
      </c>
      <c r="C22" s="57" t="s">
        <v>3027</v>
      </c>
      <c r="D22" s="57" t="s">
        <v>3028</v>
      </c>
      <c r="E22" s="56"/>
      <c r="F22" s="56" t="s">
        <v>1841</v>
      </c>
      <c r="G22" s="56" t="str">
        <f t="shared" si="3"/>
        <v>text</v>
      </c>
      <c r="H22" s="59"/>
      <c r="I22" s="60"/>
      <c r="J22" s="64"/>
      <c r="N22" s="78"/>
      <c r="O22" s="78"/>
      <c r="P22" s="78" t="str">
        <f t="shared" si="4"/>
        <v>,tm_code_id</v>
      </c>
      <c r="Q22" s="78" t="str">
        <f t="shared" si="0"/>
        <v>TEXT</v>
      </c>
      <c r="R22" s="78" t="str">
        <f t="shared" si="1"/>
        <v/>
      </c>
      <c r="S22" s="78" t="str">
        <f t="shared" si="5"/>
        <v/>
      </c>
      <c r="T22" s="78" t="str">
        <f t="shared" si="6"/>
        <v>-- 検査コメントコードID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milscm_2023_009.sny_202310_backup_text_mml_mmlrp_test_memo.tm_code_id IS '検査コメントコードID';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ENT_01_A6-52</v>
      </c>
      <c r="E6" s="251"/>
      <c r="F6" s="251"/>
      <c r="G6" s="251"/>
      <c r="H6" s="251"/>
      <c r="I6" s="251"/>
      <c r="J6" s="252"/>
    </row>
    <row r="7" spans="1:45">
      <c r="B7" s="240" t="s">
        <v>115</v>
      </c>
      <c r="C7" s="241"/>
      <c r="D7" s="242" t="s">
        <v>3236</v>
      </c>
      <c r="E7" s="243"/>
      <c r="F7" s="243"/>
      <c r="G7" s="243"/>
      <c r="H7" s="243"/>
      <c r="I7" s="243"/>
      <c r="J7" s="244"/>
    </row>
    <row r="8" spans="1:45">
      <c r="B8" s="240" t="s">
        <v>116</v>
      </c>
      <c r="C8" s="241"/>
      <c r="D8" s="242" t="str">
        <f>エンティティ一覧!AE2&amp;"_"&amp;D5&amp;"_text_mml_mmlls_body"</f>
        <v>sny_202310_backup_text_mml_mmlls_body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milscm_2023_009.sny_202310_backup_text_mml_mmlls_body;</v>
      </c>
      <c r="O10" s="78"/>
      <c r="P10" s="78"/>
      <c r="Q10" s="78"/>
      <c r="R10" s="78"/>
      <c r="S10" s="78"/>
      <c r="T10" s="78"/>
      <c r="AJ10" s="78" t="str">
        <f>"ALTER TABLE ONLY "&amp;エンティティ一覧!$O$2&amp;"."&amp;D$8</f>
        <v>ALTER TABLE ONLY milscm_2023_009.sny_202310_backup_text_mml_mmlls_body</v>
      </c>
      <c r="AS10" s="78" t="str">
        <f>"ALTER TABLE "&amp;エンティティ一覧!$O$2&amp;"."&amp;D$8&amp;" OWNER TO pgmisgrp1;"</f>
        <v>ALTER TABLE milscm_2023_009.sny_202310_backup_text_mml_mmlls_body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milscm_2023_009.sny_202310_backup_text_mml_mmlls_body</v>
      </c>
      <c r="O11" s="78"/>
      <c r="P11" s="78"/>
      <c r="Q11" s="78"/>
      <c r="R11" s="78"/>
      <c r="S11" s="78"/>
      <c r="T11" s="78"/>
      <c r="AJ11" s="78" t="str">
        <f>"ADD CONSTRAINT "&amp;D$8&amp;"_pkey PRIMARY KEY"</f>
        <v>ADD CONSTRAINT sny_202310_backup_text_mml_mmlls_body_pkey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2803</v>
      </c>
      <c r="D14" s="6" t="s">
        <v>2804</v>
      </c>
      <c r="E14" s="8" t="s">
        <v>127</v>
      </c>
      <c r="F14" s="7" t="s">
        <v>3294</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milscm_2023_009.sny_202310_backup_text_mml_mmlls_body.body_no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3030</v>
      </c>
      <c r="D18" s="6" t="s">
        <v>3031</v>
      </c>
      <c r="E18" s="8"/>
      <c r="F18" s="7" t="s">
        <v>3296</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milscm_2023_009.sny_202310_backup_text_mml_mmlls_body.occupation IS '職業';</v>
      </c>
    </row>
    <row r="19" spans="1:52" s="25" customFormat="1">
      <c r="A19" s="4"/>
      <c r="B19" s="21">
        <f t="shared" si="2"/>
        <v>7</v>
      </c>
      <c r="C19" s="6" t="s">
        <v>3302</v>
      </c>
      <c r="D19" s="6" t="s">
        <v>3297</v>
      </c>
      <c r="E19" s="8"/>
      <c r="F19" s="7" t="s">
        <v>3296</v>
      </c>
      <c r="G19" s="7" t="str">
        <f t="shared" si="3"/>
        <v>text</v>
      </c>
      <c r="H19" s="26"/>
      <c r="I19" s="10"/>
      <c r="J19" s="11"/>
      <c r="M19" s="4"/>
      <c r="N19" s="78"/>
      <c r="O19" s="78"/>
      <c r="P19" s="78" t="str">
        <f t="shared" si="4"/>
        <v>,tobacco</v>
      </c>
      <c r="Q19" s="78" t="str">
        <f t="shared" si="0"/>
        <v>TEXT</v>
      </c>
      <c r="R19" s="78" t="str">
        <f t="shared" si="1"/>
        <v/>
      </c>
      <c r="S19" s="78" t="str">
        <f t="shared" si="5"/>
        <v/>
      </c>
      <c r="T19" s="78" t="str">
        <f t="shared" si="6"/>
        <v>-- 喫煙歴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3298</v>
      </c>
      <c r="D20" s="6" t="s">
        <v>3299</v>
      </c>
      <c r="E20" s="8"/>
      <c r="F20" s="7" t="s">
        <v>3296</v>
      </c>
      <c r="G20" s="7" t="str">
        <f t="shared" si="3"/>
        <v>text</v>
      </c>
      <c r="H20" s="26"/>
      <c r="I20" s="10"/>
      <c r="J20" s="11"/>
      <c r="M20" s="4"/>
      <c r="N20" s="78"/>
      <c r="O20" s="78"/>
      <c r="P20" s="78" t="str">
        <f t="shared" si="4"/>
        <v>,alcohol</v>
      </c>
      <c r="Q20" s="78" t="str">
        <f t="shared" si="0"/>
        <v>TEXT</v>
      </c>
      <c r="R20" s="78" t="str">
        <f t="shared" si="1"/>
        <v/>
      </c>
      <c r="S20" s="78" t="str">
        <f t="shared" si="5"/>
        <v/>
      </c>
      <c r="T20" s="78" t="str">
        <f t="shared" si="6"/>
        <v>-- 飲酒歴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milscm_2023_009.sny_202310_backup_text_mml_mmlls_body.alcohol IS '飲酒歴';</v>
      </c>
    </row>
    <row r="21" spans="1:52" s="25" customFormat="1" ht="18" thickBot="1">
      <c r="A21" s="4"/>
      <c r="B21" s="27">
        <f>ROW()-12</f>
        <v>9</v>
      </c>
      <c r="C21" s="57" t="s">
        <v>3300</v>
      </c>
      <c r="D21" s="57" t="s">
        <v>3301</v>
      </c>
      <c r="E21" s="56"/>
      <c r="F21" s="56" t="s">
        <v>3296</v>
      </c>
      <c r="G21" s="56" t="str">
        <f t="shared" si="3"/>
        <v>text</v>
      </c>
      <c r="H21" s="59"/>
      <c r="I21" s="60"/>
      <c r="J21" s="64"/>
      <c r="N21" s="78"/>
      <c r="O21" s="78"/>
      <c r="P21" s="78" t="str">
        <f t="shared" si="4"/>
        <v>,other</v>
      </c>
      <c r="Q21" s="78" t="str">
        <f t="shared" si="0"/>
        <v>TEXT</v>
      </c>
      <c r="R21" s="78" t="str">
        <f t="shared" si="1"/>
        <v/>
      </c>
      <c r="S21" s="78" t="str">
        <f t="shared" si="5"/>
        <v/>
      </c>
      <c r="T21" s="78" t="str">
        <f t="shared" si="6"/>
        <v>-- その他の生活習慣</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milscm_2023_009.sny_202310_backup_text_mml_mmlls_body.other IS 'その他の生活習慣';</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ENT_01_A6-53</v>
      </c>
      <c r="E6" s="251"/>
      <c r="F6" s="251"/>
      <c r="G6" s="251"/>
      <c r="H6" s="251"/>
      <c r="I6" s="251"/>
      <c r="J6" s="252"/>
    </row>
    <row r="7" spans="1:45">
      <c r="B7" s="240" t="s">
        <v>115</v>
      </c>
      <c r="C7" s="241"/>
      <c r="D7" s="242" t="s">
        <v>3029</v>
      </c>
      <c r="E7" s="243"/>
      <c r="F7" s="243"/>
      <c r="G7" s="243"/>
      <c r="H7" s="243"/>
      <c r="I7" s="243"/>
      <c r="J7" s="244"/>
    </row>
    <row r="8" spans="1:45">
      <c r="B8" s="240" t="s">
        <v>116</v>
      </c>
      <c r="C8" s="241"/>
      <c r="D8" s="242" t="str">
        <f>エンティティ一覧!AE2&amp;"_"&amp;D5&amp;"_text_mml_mmlre_body"</f>
        <v>sny_202310_backup_text_mml_mmlre_body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milscm_2023_009.sny_202310_backup_text_mml_mmlre_body;</v>
      </c>
      <c r="O10" s="78"/>
      <c r="P10" s="78"/>
      <c r="Q10" s="78"/>
      <c r="R10" s="78"/>
      <c r="S10" s="78"/>
      <c r="T10" s="78"/>
      <c r="AJ10" s="78" t="str">
        <f>"ALTER TABLE ONLY "&amp;エンティティ一覧!$O$2&amp;"."&amp;D$8</f>
        <v>ALTER TABLE ONLY milscm_2023_009.sny_202310_backup_text_mml_mmlre_body</v>
      </c>
      <c r="AS10" s="78" t="str">
        <f>"ALTER TABLE "&amp;エンティティ一覧!$O$2&amp;"."&amp;D$8&amp;" OWNER TO pgmisgrp1;"</f>
        <v>ALTER TABLE milscm_2023_009.sny_202310_backup_text_mml_mmlre_body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milscm_2023_009.sny_202310_backup_text_mml_mmlre_body</v>
      </c>
      <c r="O11" s="78"/>
      <c r="P11" s="78"/>
      <c r="Q11" s="78"/>
      <c r="R11" s="78"/>
      <c r="S11" s="78"/>
      <c r="T11" s="78"/>
      <c r="AJ11" s="78" t="str">
        <f>"ADD CONSTRAINT "&amp;D$8&amp;"_pkey PRIMARY KEY"</f>
        <v>ADD CONSTRAINT sny_202310_backup_text_mml_mmlre_body_pkey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4" si="0">UPPER(G13)</f>
        <v>INTEGER</v>
      </c>
      <c r="R13" s="78" t="str">
        <f t="shared" ref="R13:R3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2803</v>
      </c>
      <c r="D14" s="6" t="s">
        <v>2804</v>
      </c>
      <c r="E14" s="8" t="s">
        <v>127</v>
      </c>
      <c r="F14" s="7" t="s">
        <v>2802</v>
      </c>
      <c r="G14" s="7" t="str">
        <f t="shared" ref="G14:G34" si="3">IF(F14="フラグ","boolean",IF(F14="文字列","text",IF(F14="整数","integer",IF(F14="実数","numeric",""))))</f>
        <v>integer</v>
      </c>
      <c r="H14" s="26"/>
      <c r="I14" s="10" t="s">
        <v>127</v>
      </c>
      <c r="J14" s="11"/>
      <c r="M14" s="4"/>
      <c r="N14" s="78"/>
      <c r="O14" s="78"/>
      <c r="P14" s="78" t="str">
        <f t="shared" ref="P14:P34" si="4">IF(B14&lt;&gt;1,","&amp;D14,D14)</f>
        <v>,file_no</v>
      </c>
      <c r="Q14" s="78" t="str">
        <f t="shared" si="0"/>
        <v>INTEGER</v>
      </c>
      <c r="R14" s="78" t="str">
        <f t="shared" si="1"/>
        <v/>
      </c>
      <c r="S14" s="78" t="str">
        <f t="shared" ref="S14:S34" si="5">IF(I14="○","NOT NULL","")</f>
        <v>NOT NULL</v>
      </c>
      <c r="T14" s="78" t="str">
        <f t="shared" ref="T14:T3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3030</v>
      </c>
      <c r="D18" s="6" t="s">
        <v>3031</v>
      </c>
      <c r="E18" s="8"/>
      <c r="F18" s="7" t="s">
        <v>1841</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3032</v>
      </c>
      <c r="D19" s="6" t="s">
        <v>3033</v>
      </c>
      <c r="E19" s="8"/>
      <c r="F19" s="7" t="s">
        <v>739</v>
      </c>
      <c r="G19" s="7" t="str">
        <f t="shared" si="3"/>
        <v>text</v>
      </c>
      <c r="H19" s="26"/>
      <c r="I19" s="10"/>
      <c r="J19" s="11"/>
      <c r="M19" s="4"/>
      <c r="N19" s="78"/>
      <c r="O19" s="78"/>
      <c r="P19" s="78" t="str">
        <f t="shared" si="4"/>
        <v>,refer_from_facility_name</v>
      </c>
      <c r="Q19" s="78" t="str">
        <f t="shared" si="0"/>
        <v>TEXT</v>
      </c>
      <c r="R19" s="78" t="str">
        <f t="shared" si="1"/>
        <v/>
      </c>
      <c r="S19" s="78" t="str">
        <f t="shared" si="5"/>
        <v/>
      </c>
      <c r="T19" s="78" t="str">
        <f t="shared" si="6"/>
        <v>-- 紹介元施設</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3034</v>
      </c>
      <c r="D20" s="6" t="s">
        <v>2957</v>
      </c>
      <c r="E20" s="8"/>
      <c r="F20" s="7" t="s">
        <v>739</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タイトル</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3035</v>
      </c>
      <c r="D21" s="6" t="s">
        <v>3036</v>
      </c>
      <c r="E21" s="8"/>
      <c r="F21" s="7" t="s">
        <v>739</v>
      </c>
      <c r="G21" s="7" t="str">
        <f t="shared" ref="G21:G33" si="7">IF(F21="フラグ","boolean",IF(F21="文字列","text",IF(F21="整数","integer",IF(F21="実数","numeric",""))))</f>
        <v>text</v>
      </c>
      <c r="H21" s="26"/>
      <c r="I21" s="10"/>
      <c r="J21" s="11"/>
      <c r="M21" s="4"/>
      <c r="N21" s="78"/>
      <c r="O21" s="78"/>
      <c r="P21" s="78" t="str">
        <f t="shared" ref="P21:P33" si="8">IF(B21&lt;&gt;1,","&amp;D21,D21)</f>
        <v>,greeting</v>
      </c>
      <c r="Q21" s="78" t="str">
        <f t="shared" ref="Q21:Q33" si="9">UPPER(G21)</f>
        <v>TEXT</v>
      </c>
      <c r="R21" s="78" t="str">
        <f t="shared" ref="R21:R33" si="10">IF(H21&lt;&gt;"","default "&amp;IF(G21="text","'"&amp;H21&amp;"'",H21),"")</f>
        <v/>
      </c>
      <c r="S21" s="78" t="str">
        <f t="shared" ref="S21:S33" si="11">IF(I21="○","NOT NULL","")</f>
        <v/>
      </c>
      <c r="T21" s="78" t="str">
        <f t="shared" ref="T21:T33" si="12">"-- "&amp;C21</f>
        <v>-- 挨拶文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1465</v>
      </c>
      <c r="D22" s="6" t="s">
        <v>1466</v>
      </c>
      <c r="E22" s="8"/>
      <c r="F22" s="7" t="s">
        <v>739</v>
      </c>
      <c r="G22" s="7" t="str">
        <f t="shared" si="7"/>
        <v>text</v>
      </c>
      <c r="H22" s="26"/>
      <c r="I22" s="10"/>
      <c r="J22" s="11"/>
      <c r="M22" s="4"/>
      <c r="N22" s="78"/>
      <c r="O22" s="78"/>
      <c r="P22" s="78" t="str">
        <f t="shared" si="8"/>
        <v>,chief_complaints</v>
      </c>
      <c r="Q22" s="78" t="str">
        <f t="shared" si="9"/>
        <v>TEXT</v>
      </c>
      <c r="R22" s="78" t="str">
        <f t="shared" si="10"/>
        <v/>
      </c>
      <c r="S22" s="78" t="str">
        <f t="shared" si="11"/>
        <v/>
      </c>
      <c r="T22" s="78" t="str">
        <f t="shared" si="12"/>
        <v>-- 主訴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1341</v>
      </c>
      <c r="D23" s="6" t="s">
        <v>3037</v>
      </c>
      <c r="E23" s="8"/>
      <c r="F23" s="7" t="s">
        <v>739</v>
      </c>
      <c r="G23" s="7" t="str">
        <f t="shared" si="7"/>
        <v>text</v>
      </c>
      <c r="H23" s="26"/>
      <c r="I23" s="10"/>
      <c r="J23" s="11"/>
      <c r="M23" s="4"/>
      <c r="N23" s="78"/>
      <c r="O23" s="78"/>
      <c r="P23" s="78" t="str">
        <f t="shared" si="8"/>
        <v>,clinical_diagnosis</v>
      </c>
      <c r="Q23" s="78" t="str">
        <f t="shared" si="9"/>
        <v>TEXT</v>
      </c>
      <c r="R23" s="78" t="str">
        <f t="shared" si="10"/>
        <v/>
      </c>
      <c r="S23" s="78" t="str">
        <f t="shared" si="11"/>
        <v/>
      </c>
      <c r="T23" s="78" t="str">
        <f t="shared" si="12"/>
        <v>-- 病名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3038</v>
      </c>
      <c r="D24" s="6" t="s">
        <v>3039</v>
      </c>
      <c r="E24" s="8"/>
      <c r="F24" s="7" t="s">
        <v>739</v>
      </c>
      <c r="G24" s="7" t="str">
        <f t="shared" si="7"/>
        <v>text</v>
      </c>
      <c r="H24" s="26"/>
      <c r="I24" s="10"/>
      <c r="J24" s="11"/>
      <c r="M24" s="4"/>
      <c r="N24" s="78"/>
      <c r="O24" s="78"/>
      <c r="P24" s="78" t="str">
        <f t="shared" si="8"/>
        <v>,past_history</v>
      </c>
      <c r="Q24" s="78" t="str">
        <f t="shared" si="9"/>
        <v>TEXT</v>
      </c>
      <c r="R24" s="78" t="str">
        <f t="shared" si="10"/>
        <v/>
      </c>
      <c r="S24" s="78" t="str">
        <f t="shared" si="11"/>
        <v/>
      </c>
      <c r="T24" s="78" t="str">
        <f t="shared" si="12"/>
        <v>-- 既往歴</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3040</v>
      </c>
      <c r="D25" s="6" t="s">
        <v>3041</v>
      </c>
      <c r="E25" s="8"/>
      <c r="F25" s="7" t="s">
        <v>739</v>
      </c>
      <c r="G25" s="7" t="str">
        <f t="shared" si="7"/>
        <v>text</v>
      </c>
      <c r="H25" s="26"/>
      <c r="I25" s="10"/>
      <c r="J25" s="11"/>
      <c r="M25" s="4"/>
      <c r="N25" s="78"/>
      <c r="O25" s="78"/>
      <c r="P25" s="78" t="str">
        <f t="shared" si="8"/>
        <v>,family_history</v>
      </c>
      <c r="Q25" s="78" t="str">
        <f t="shared" si="9"/>
        <v>TEXT</v>
      </c>
      <c r="R25" s="78" t="str">
        <f t="shared" si="10"/>
        <v/>
      </c>
      <c r="S25" s="78" t="str">
        <f t="shared" si="11"/>
        <v/>
      </c>
      <c r="T25" s="78" t="str">
        <f t="shared" si="12"/>
        <v>-- 家族歴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3042</v>
      </c>
      <c r="D26" s="6" t="s">
        <v>3043</v>
      </c>
      <c r="E26" s="8"/>
      <c r="F26" s="7" t="s">
        <v>739</v>
      </c>
      <c r="G26" s="7" t="str">
        <f t="shared" si="7"/>
        <v>text</v>
      </c>
      <c r="H26" s="26"/>
      <c r="I26" s="10"/>
      <c r="J26" s="11"/>
      <c r="M26" s="4"/>
      <c r="N26" s="78"/>
      <c r="O26" s="78"/>
      <c r="P26" s="78" t="str">
        <f t="shared" si="8"/>
        <v>,present_illness</v>
      </c>
      <c r="Q26" s="78" t="str">
        <f t="shared" si="9"/>
        <v>TEXT</v>
      </c>
      <c r="R26" s="78" t="str">
        <f t="shared" si="10"/>
        <v/>
      </c>
      <c r="S26" s="78" t="str">
        <f t="shared" si="11"/>
        <v/>
      </c>
      <c r="T26" s="78" t="str">
        <f t="shared" si="12"/>
        <v>-- 症状経過</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3044</v>
      </c>
      <c r="D27" s="6" t="s">
        <v>3045</v>
      </c>
      <c r="E27" s="8"/>
      <c r="F27" s="7" t="s">
        <v>739</v>
      </c>
      <c r="G27" s="7" t="str">
        <f t="shared" si="7"/>
        <v>text</v>
      </c>
      <c r="H27" s="26"/>
      <c r="I27" s="10"/>
      <c r="J27" s="11"/>
      <c r="M27" s="4"/>
      <c r="N27" s="78"/>
      <c r="O27" s="78"/>
      <c r="P27" s="78" t="str">
        <f t="shared" si="8"/>
        <v>,test_results</v>
      </c>
      <c r="Q27" s="78" t="str">
        <f t="shared" si="9"/>
        <v>TEXT</v>
      </c>
      <c r="R27" s="78" t="str">
        <f t="shared" si="10"/>
        <v/>
      </c>
      <c r="S27" s="78" t="str">
        <f t="shared" si="11"/>
        <v/>
      </c>
      <c r="T27" s="78" t="str">
        <f t="shared" si="12"/>
        <v>-- 検査結果</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3046</v>
      </c>
      <c r="D28" s="6" t="s">
        <v>3047</v>
      </c>
      <c r="E28" s="8"/>
      <c r="F28" s="7" t="s">
        <v>739</v>
      </c>
      <c r="G28" s="7" t="str">
        <f t="shared" si="7"/>
        <v>text</v>
      </c>
      <c r="H28" s="26"/>
      <c r="I28" s="10"/>
      <c r="J28" s="11"/>
      <c r="M28" s="4"/>
      <c r="N28" s="78"/>
      <c r="O28" s="78"/>
      <c r="P28" s="78" t="str">
        <f t="shared" si="8"/>
        <v>,medication</v>
      </c>
      <c r="Q28" s="78" t="str">
        <f t="shared" si="9"/>
        <v>TEXT</v>
      </c>
      <c r="R28" s="78" t="str">
        <f t="shared" si="10"/>
        <v/>
      </c>
      <c r="S28" s="78" t="str">
        <f t="shared" si="11"/>
        <v/>
      </c>
      <c r="T28" s="78" t="str">
        <f t="shared" si="12"/>
        <v>-- 現在の処方</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3048</v>
      </c>
      <c r="D29" s="6" t="s">
        <v>3049</v>
      </c>
      <c r="E29" s="8"/>
      <c r="F29" s="7" t="s">
        <v>739</v>
      </c>
      <c r="G29" s="7" t="str">
        <f t="shared" si="7"/>
        <v>text</v>
      </c>
      <c r="H29" s="26"/>
      <c r="I29" s="10"/>
      <c r="J29" s="11"/>
      <c r="M29" s="4"/>
      <c r="N29" s="78"/>
      <c r="O29" s="78"/>
      <c r="P29" s="78" t="str">
        <f t="shared" si="8"/>
        <v>,refer_purpose</v>
      </c>
      <c r="Q29" s="78" t="str">
        <f t="shared" si="9"/>
        <v>TEXT</v>
      </c>
      <c r="R29" s="78" t="str">
        <f t="shared" si="10"/>
        <v/>
      </c>
      <c r="S29" s="78" t="str">
        <f t="shared" si="11"/>
        <v/>
      </c>
      <c r="T29" s="78" t="str">
        <f t="shared" si="12"/>
        <v>-- 紹介目的</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2064</v>
      </c>
      <c r="D30" s="6" t="s">
        <v>3050</v>
      </c>
      <c r="E30" s="8"/>
      <c r="F30" s="7" t="s">
        <v>739</v>
      </c>
      <c r="G30" s="7" t="str">
        <f t="shared" si="7"/>
        <v>text</v>
      </c>
      <c r="H30" s="26"/>
      <c r="I30" s="10"/>
      <c r="J30" s="11"/>
      <c r="M30" s="4"/>
      <c r="N30" s="78"/>
      <c r="O30" s="78"/>
      <c r="P30" s="78" t="str">
        <f t="shared" si="8"/>
        <v>,remarks</v>
      </c>
      <c r="Q30" s="78" t="str">
        <f t="shared" si="9"/>
        <v>TEXT</v>
      </c>
      <c r="R30" s="78" t="str">
        <f t="shared" si="10"/>
        <v/>
      </c>
      <c r="S30" s="78" t="str">
        <f t="shared" si="11"/>
        <v/>
      </c>
      <c r="T30" s="78" t="str">
        <f t="shared" si="12"/>
        <v>-- 備考</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milscm_2023_009.sny_202310_backup_text_mml_mmlre_body.remarks IS '備考';</v>
      </c>
    </row>
    <row r="31" spans="1:45" s="25" customFormat="1">
      <c r="A31" s="4"/>
      <c r="B31" s="21">
        <f t="shared" si="2"/>
        <v>19</v>
      </c>
      <c r="C31" s="6" t="s">
        <v>1527</v>
      </c>
      <c r="D31" s="6" t="s">
        <v>3051</v>
      </c>
      <c r="E31" s="8"/>
      <c r="F31" s="7" t="s">
        <v>739</v>
      </c>
      <c r="G31" s="7" t="str">
        <f t="shared" si="7"/>
        <v>text</v>
      </c>
      <c r="H31" s="26"/>
      <c r="I31" s="10"/>
      <c r="J31" s="11"/>
      <c r="M31" s="4"/>
      <c r="N31" s="78"/>
      <c r="O31" s="78"/>
      <c r="P31" s="78" t="str">
        <f t="shared" si="8"/>
        <v>,refer_to_facility_name</v>
      </c>
      <c r="Q31" s="78" t="str">
        <f t="shared" si="9"/>
        <v>TEXT</v>
      </c>
      <c r="R31" s="78" t="str">
        <f t="shared" si="10"/>
        <v/>
      </c>
      <c r="S31" s="78" t="str">
        <f t="shared" si="11"/>
        <v/>
      </c>
      <c r="T31" s="78" t="str">
        <f t="shared" si="12"/>
        <v>-- 紹介先施設</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milscm_2023_009.sny_202310_backup_text_mml_mmlre_body.refer_to_facility_name IS '紹介先施設';</v>
      </c>
    </row>
    <row r="32" spans="1:45" s="25" customFormat="1" ht="30">
      <c r="A32" s="4"/>
      <c r="B32" s="21">
        <f t="shared" si="2"/>
        <v>20</v>
      </c>
      <c r="C32" s="6" t="s">
        <v>3052</v>
      </c>
      <c r="D32" s="6" t="s">
        <v>3053</v>
      </c>
      <c r="E32" s="8"/>
      <c r="F32" s="7" t="s">
        <v>739</v>
      </c>
      <c r="G32" s="7" t="str">
        <f t="shared" si="7"/>
        <v>text</v>
      </c>
      <c r="H32" s="26"/>
      <c r="I32" s="10"/>
      <c r="J32" s="11"/>
      <c r="M32" s="4"/>
      <c r="N32" s="78"/>
      <c r="O32" s="78"/>
      <c r="P32" s="78" t="str">
        <f t="shared" si="8"/>
        <v>,refer_to_facility_name_department_name</v>
      </c>
      <c r="Q32" s="78" t="str">
        <f t="shared" si="9"/>
        <v>TEXT</v>
      </c>
      <c r="R32" s="78" t="str">
        <f t="shared" si="10"/>
        <v/>
      </c>
      <c r="S32" s="78" t="str">
        <f t="shared" si="11"/>
        <v/>
      </c>
      <c r="T32" s="78" t="str">
        <f t="shared" si="12"/>
        <v>-- 診療科名称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milscm_2023_009.sny_202310_backup_text_mml_mmlre_body.refer_to_facility_name_department_name IS '診療科名称';</v>
      </c>
    </row>
    <row r="33" spans="1:52" s="25" customFormat="1" ht="30">
      <c r="A33" s="4"/>
      <c r="B33" s="21">
        <f t="shared" si="2"/>
        <v>21</v>
      </c>
      <c r="C33" s="6" t="s">
        <v>3054</v>
      </c>
      <c r="D33" s="6" t="s">
        <v>3055</v>
      </c>
      <c r="E33" s="8"/>
      <c r="F33" s="7" t="s">
        <v>739</v>
      </c>
      <c r="G33" s="7" t="str">
        <f t="shared" si="7"/>
        <v>text</v>
      </c>
      <c r="H33" s="26"/>
      <c r="I33" s="10"/>
      <c r="J33" s="11"/>
      <c r="M33" s="4"/>
      <c r="N33" s="78"/>
      <c r="O33" s="78"/>
      <c r="P33" s="78" t="str">
        <f t="shared" si="8"/>
        <v>,refer_to_person_facility_name</v>
      </c>
      <c r="Q33" s="78" t="str">
        <f t="shared" si="9"/>
        <v>TEXT</v>
      </c>
      <c r="R33" s="78" t="str">
        <f t="shared" si="10"/>
        <v/>
      </c>
      <c r="S33" s="78" t="str">
        <f t="shared" si="11"/>
        <v/>
      </c>
      <c r="T33" s="78" t="str">
        <f t="shared" si="12"/>
        <v>-- 紹介先医師名の施設</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milscm_2023_009.sny_202310_backup_text_mml_mmlre_body.refer_to_person_facility_name IS '紹介先医師名の施設';</v>
      </c>
    </row>
    <row r="34" spans="1:52" s="25" customFormat="1" ht="18" thickBot="1">
      <c r="A34" s="4"/>
      <c r="B34" s="27">
        <f>ROW()-12</f>
        <v>22</v>
      </c>
      <c r="C34" s="57" t="s">
        <v>3056</v>
      </c>
      <c r="D34" s="57" t="s">
        <v>3057</v>
      </c>
      <c r="E34" s="56"/>
      <c r="F34" s="56" t="s">
        <v>739</v>
      </c>
      <c r="G34" s="56" t="str">
        <f t="shared" si="3"/>
        <v>text</v>
      </c>
      <c r="H34" s="59"/>
      <c r="I34" s="60"/>
      <c r="J34" s="64"/>
      <c r="N34" s="78"/>
      <c r="O34" s="78"/>
      <c r="P34" s="78" t="str">
        <f t="shared" si="4"/>
        <v>,refer_to_unknown_name</v>
      </c>
      <c r="Q34" s="78" t="str">
        <f t="shared" si="0"/>
        <v>TEXT</v>
      </c>
      <c r="R34" s="78" t="str">
        <f t="shared" si="1"/>
        <v/>
      </c>
      <c r="S34" s="78" t="str">
        <f t="shared" si="5"/>
        <v/>
      </c>
      <c r="T34" s="78" t="str">
        <f t="shared" si="6"/>
        <v>-- 医師名を指定しない相手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milscm_2023_009.sny_202310_backup_text_mml_mmlre_body.refer_to_unknown_name IS '医師名を指定しない相手';</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ENT_01_A6-54</v>
      </c>
      <c r="E6" s="251"/>
      <c r="F6" s="251"/>
      <c r="G6" s="251"/>
      <c r="H6" s="251"/>
      <c r="I6" s="251"/>
      <c r="J6" s="252"/>
    </row>
    <row r="7" spans="1:45">
      <c r="B7" s="240" t="s">
        <v>115</v>
      </c>
      <c r="C7" s="241"/>
      <c r="D7" s="242" t="s">
        <v>3058</v>
      </c>
      <c r="E7" s="243"/>
      <c r="F7" s="243"/>
      <c r="G7" s="243"/>
      <c r="H7" s="243"/>
      <c r="I7" s="243"/>
      <c r="J7" s="244"/>
    </row>
    <row r="8" spans="1:45">
      <c r="B8" s="240" t="s">
        <v>116</v>
      </c>
      <c r="C8" s="241"/>
      <c r="D8" s="242" t="str">
        <f>エンティティ一覧!AE2&amp;"_"&amp;D5&amp;"_text_mml_mmlre_inj"</f>
        <v>sny_202310_backup_text_mml_mmlre_inj</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milscm_2023_009.sny_202310_backup_text_mml_mmlre_inj;</v>
      </c>
      <c r="O10" s="78"/>
      <c r="P10" s="78"/>
      <c r="Q10" s="78"/>
      <c r="R10" s="78"/>
      <c r="S10" s="78"/>
      <c r="T10" s="78"/>
      <c r="AJ10" s="78" t="str">
        <f>"ALTER TABLE ONLY "&amp;エンティティ一覧!$O$2&amp;"."&amp;D$8</f>
        <v>ALTER TABLE ONLY milscm_2023_009.sny_202310_backup_text_mml_mmlre_inj</v>
      </c>
      <c r="AS10" s="78" t="str">
        <f>"ALTER TABLE "&amp;エンティティ一覧!$O$2&amp;"."&amp;D$8&amp;" OWNER TO pgmisgrp1;"</f>
        <v>ALTER TABLE milscm_2023_009.sny_202310_backup_text_mml_mmlre_inj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v>
      </c>
      <c r="O11" s="78"/>
      <c r="P11" s="78"/>
      <c r="Q11" s="78"/>
      <c r="R11" s="78"/>
      <c r="S11" s="78"/>
      <c r="T11" s="78"/>
      <c r="AJ11" s="78" t="str">
        <f>"ADD CONSTRAINT "&amp;D$8&amp;"_pkey PRIMARY KEY"</f>
        <v>ADD CONSTRAINT sny_202310_backup_text_mml_mmlre_inj_pkey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milscm_2023_009.sny_202310_backup_text_mml_mmlre_inj.master_id IS '患者ID';</v>
      </c>
    </row>
    <row r="18" spans="1:52" s="25" customFormat="1" ht="30">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milscm_2023_009.sny_202310_backup_text_mml_mmlre_inj.narcotic_prescription_license_no IS '麻薬施用者番号';</v>
      </c>
    </row>
    <row r="19" spans="1:52" s="25" customFormat="1" ht="18"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ENT_01_A6-55</v>
      </c>
      <c r="E6" s="251"/>
      <c r="F6" s="251"/>
      <c r="G6" s="251"/>
      <c r="H6" s="251"/>
      <c r="I6" s="251"/>
      <c r="J6" s="252"/>
    </row>
    <row r="7" spans="1:45">
      <c r="B7" s="240" t="s">
        <v>115</v>
      </c>
      <c r="C7" s="241"/>
      <c r="D7" s="242" t="s">
        <v>3059</v>
      </c>
      <c r="E7" s="243"/>
      <c r="F7" s="243"/>
      <c r="G7" s="243"/>
      <c r="H7" s="243"/>
      <c r="I7" s="243"/>
      <c r="J7" s="244"/>
    </row>
    <row r="8" spans="1:45">
      <c r="B8" s="240" t="s">
        <v>116</v>
      </c>
      <c r="C8" s="241"/>
      <c r="D8" s="242" t="str">
        <f>エンティティ一覧!AE2&amp;"_"&amp;D5&amp;"_text_mml_mmlre_inj_medication"</f>
        <v>sny_202310_backup_text_mml_mmlre_inj_medication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milscm_2023_009.sny_202310_backup_text_mml_mmlre_inj_medication;</v>
      </c>
      <c r="O10" s="78"/>
      <c r="P10" s="78"/>
      <c r="Q10" s="78"/>
      <c r="R10" s="78"/>
      <c r="S10" s="78"/>
      <c r="T10" s="78"/>
      <c r="AJ10" s="78" t="str">
        <f>"ALTER TABLE ONLY "&amp;エンティティ一覧!$O$2&amp;"."&amp;D$8</f>
        <v>ALTER TABLE ONLY milscm_2023_009.sny_202310_backup_text_mml_mmlre_inj_medication</v>
      </c>
      <c r="AS10" s="78" t="str">
        <f>"ALTER TABLE "&amp;エンティティ一覧!$O$2&amp;"."&amp;D$8&amp;" OWNER TO pgmisgrp1;"</f>
        <v>ALTER TABLE milscm_2023_009.sny_202310_backup_text_mml_mmlre_inj_medication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milscm_2023_009.sny_202310_backup_text_mml_mmlre_inj_medication</v>
      </c>
      <c r="O11" s="78"/>
      <c r="P11" s="78"/>
      <c r="Q11" s="78"/>
      <c r="R11" s="78"/>
      <c r="S11" s="78"/>
      <c r="T11" s="78"/>
      <c r="AJ11" s="78" t="str">
        <f>"ADD CONSTRAINT "&amp;D$8&amp;"_pkey PRIMARY KEY"</f>
        <v>ADD CONSTRAINT sny_202310_backup_text_mml_mmlre_inj_medication_pkey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3060</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3061</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milscm_2023_009.sny_202310_backup_text_mml_mmlre_inj_medication.batch_no IS '処方番号';</v>
      </c>
    </row>
    <row r="29" spans="1:52" s="25" customFormat="1" ht="18"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ENT_01_A6-56</v>
      </c>
      <c r="E6" s="251"/>
      <c r="F6" s="251"/>
      <c r="G6" s="251"/>
      <c r="H6" s="251"/>
      <c r="I6" s="251"/>
      <c r="J6" s="252"/>
    </row>
    <row r="7" spans="1:45">
      <c r="B7" s="240" t="s">
        <v>115</v>
      </c>
      <c r="C7" s="241"/>
      <c r="D7" s="242" t="s">
        <v>3062</v>
      </c>
      <c r="E7" s="243"/>
      <c r="F7" s="243"/>
      <c r="G7" s="243"/>
      <c r="H7" s="243"/>
      <c r="I7" s="243"/>
      <c r="J7" s="244"/>
    </row>
    <row r="8" spans="1:45">
      <c r="B8" s="240" t="s">
        <v>116</v>
      </c>
      <c r="C8" s="241"/>
      <c r="D8" s="242" t="str">
        <f>エンティティ一覧!AE2&amp;"_"&amp;D5&amp;"_text_mml_mmlre_inj_medicine"</f>
        <v>sny_202310_backup_text_mml_mmlre_inj_medicine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milscm_2023_009.sny_202310_backup_text_mml_mmlre_inj_medicine;</v>
      </c>
      <c r="O10" s="78"/>
      <c r="P10" s="78"/>
      <c r="Q10" s="78"/>
      <c r="R10" s="78"/>
      <c r="S10" s="78"/>
      <c r="T10" s="78"/>
      <c r="AJ10" s="78" t="str">
        <f>"ALTER TABLE ONLY "&amp;エンティティ一覧!$O$2&amp;"."&amp;D$8</f>
        <v>ALTER TABLE ONLY milscm_2023_009.sny_202310_backup_text_mml_mmlre_inj_medicine</v>
      </c>
      <c r="AS10" s="78" t="str">
        <f>"ALTER TABLE "&amp;エンティティ一覧!$O$2&amp;"."&amp;D$8&amp;" OWNER TO pgmisgrp1;"</f>
        <v>ALTER TABLE milscm_2023_009.sny_202310_backup_text_mml_mmlre_inj_medicine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milscm_2023_009.sny_202310_backup_text_mml_mmlre_inj_medicine</v>
      </c>
      <c r="O11" s="78"/>
      <c r="P11" s="78"/>
      <c r="Q11" s="78"/>
      <c r="R11" s="78"/>
      <c r="S11" s="78"/>
      <c r="T11" s="78"/>
      <c r="AJ11" s="78" t="str">
        <f>"ADD CONSTRAINT "&amp;D$8&amp;"_pkey PRIMARY KEY"</f>
        <v>ADD CONSTRAINT sny_202310_backup_text_mml_mmlre_inj_medicine_pkey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ENT_01_A6-57</v>
      </c>
      <c r="E6" s="251"/>
      <c r="F6" s="251"/>
      <c r="G6" s="251"/>
      <c r="H6" s="251"/>
      <c r="I6" s="251"/>
      <c r="J6" s="252"/>
    </row>
    <row r="7" spans="1:45">
      <c r="B7" s="240" t="s">
        <v>115</v>
      </c>
      <c r="C7" s="241"/>
      <c r="D7" s="242" t="s">
        <v>3063</v>
      </c>
      <c r="E7" s="243"/>
      <c r="F7" s="243"/>
      <c r="G7" s="243"/>
      <c r="H7" s="243"/>
      <c r="I7" s="243"/>
      <c r="J7" s="244"/>
    </row>
    <row r="8" spans="1:45">
      <c r="B8" s="240" t="s">
        <v>116</v>
      </c>
      <c r="C8" s="241"/>
      <c r="D8" s="242" t="str">
        <f>エンティティ一覧!AE2&amp;"_"&amp;D5&amp;"_text_mml_mmlre_pi"</f>
        <v>sny_202310_backup_text_mml_mmlre_pi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milscm_2023_009.sny_202310_backup_text_mml_mmlre_pi;</v>
      </c>
      <c r="O10" s="78"/>
      <c r="P10" s="78"/>
      <c r="Q10" s="78"/>
      <c r="R10" s="78"/>
      <c r="S10" s="78"/>
      <c r="T10" s="78"/>
      <c r="AJ10" s="78" t="str">
        <f>"ALTER TABLE ONLY "&amp;エンティティ一覧!$O$2&amp;"."&amp;D$8</f>
        <v>ALTER TABLE ONLY milscm_2023_009.sny_202310_backup_text_mml_mmlre_pi</v>
      </c>
      <c r="AS10" s="78" t="str">
        <f>"ALTER TABLE "&amp;エンティティ一覧!$O$2&amp;"."&amp;D$8&amp;" OWNER TO pgmisgrp1;"</f>
        <v>ALTER TABLE milscm_2023_009.sny_202310_backup_text_mml_mmlre_pi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milscm_2023_009.sny_202310_backup_text_mml_mmlre_pi</v>
      </c>
      <c r="O11" s="78"/>
      <c r="P11" s="78"/>
      <c r="Q11" s="78"/>
      <c r="R11" s="78"/>
      <c r="S11" s="78"/>
      <c r="T11" s="78"/>
      <c r="AJ11" s="78" t="str">
        <f>"ADD CONSTRAINT "&amp;D$8&amp;"_pkey PRIMARY KEY"</f>
        <v>ADD CONSTRAINT sny_202310_backup_text_mml_mmlre_pi_pkey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milscm_2023_009.sny_202310_backup_text_mml_mmlre_pi.master_id IS '患者ID';</v>
      </c>
    </row>
    <row r="18" spans="1:52" s="25" customFormat="1">
      <c r="A18" s="4"/>
      <c r="B18" s="21">
        <f t="shared" si="2"/>
        <v>6</v>
      </c>
      <c r="C18" s="6" t="s">
        <v>569</v>
      </c>
      <c r="D18" s="6" t="s">
        <v>322</v>
      </c>
      <c r="E18" s="8"/>
      <c r="F18" s="7" t="s">
        <v>1841</v>
      </c>
      <c r="G18" s="7" t="str">
        <f t="shared" si="3"/>
        <v>text</v>
      </c>
      <c r="H18" s="26"/>
      <c r="I18" s="10"/>
      <c r="J18" s="11" t="s">
        <v>2871</v>
      </c>
      <c r="M18" s="4"/>
      <c r="N18" s="78"/>
      <c r="O18" s="78"/>
      <c r="P18" s="78" t="str">
        <f t="shared" si="4"/>
        <v>,birthday</v>
      </c>
      <c r="Q18" s="78" t="str">
        <f t="shared" si="0"/>
        <v>TEXT</v>
      </c>
      <c r="R18" s="78" t="str">
        <f t="shared" si="1"/>
        <v/>
      </c>
      <c r="S18" s="78" t="str">
        <f t="shared" si="5"/>
        <v/>
      </c>
      <c r="T18" s="78" t="str">
        <f t="shared" si="6"/>
        <v>-- 生年月日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milscm_2023_009.sny_202310_backup_text_mml_mmlre_pi.birthday IS '生年月日';</v>
      </c>
    </row>
    <row r="19" spans="1:52" s="25" customFormat="1" ht="69.599999999999994">
      <c r="A19" s="4"/>
      <c r="B19" s="21">
        <f t="shared" si="2"/>
        <v>7</v>
      </c>
      <c r="C19" s="6" t="s">
        <v>571</v>
      </c>
      <c r="D19" s="6" t="s">
        <v>1281</v>
      </c>
      <c r="E19" s="8"/>
      <c r="F19" s="7" t="s">
        <v>1841</v>
      </c>
      <c r="G19" s="7" t="str">
        <f t="shared" si="3"/>
        <v>text</v>
      </c>
      <c r="H19" s="26"/>
      <c r="I19" s="10"/>
      <c r="J19" s="11" t="s">
        <v>3071</v>
      </c>
      <c r="M19" s="4"/>
      <c r="N19" s="78"/>
      <c r="O19" s="78"/>
      <c r="P19" s="78" t="str">
        <f t="shared" si="4"/>
        <v>,sex</v>
      </c>
      <c r="Q19" s="78" t="str">
        <f t="shared" si="0"/>
        <v>TEXT</v>
      </c>
      <c r="R19" s="78" t="str">
        <f t="shared" si="1"/>
        <v/>
      </c>
      <c r="S19" s="78" t="str">
        <f t="shared" si="5"/>
        <v/>
      </c>
      <c r="T19" s="78" t="str">
        <f t="shared" si="6"/>
        <v>-- 性別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milscm_2023_009.sny_202310_backup_text_mml_mmlre_pi.sex IS '性別';</v>
      </c>
    </row>
    <row r="20" spans="1:52" s="25" customFormat="1">
      <c r="A20" s="4"/>
      <c r="B20" s="21">
        <f t="shared" si="2"/>
        <v>8</v>
      </c>
      <c r="C20" s="6" t="s">
        <v>1282</v>
      </c>
      <c r="D20" s="6" t="s">
        <v>3064</v>
      </c>
      <c r="E20" s="8"/>
      <c r="F20" s="7" t="s">
        <v>1841</v>
      </c>
      <c r="G20" s="7" t="str">
        <f t="shared" si="3"/>
        <v>text</v>
      </c>
      <c r="H20" s="26"/>
      <c r="I20" s="10"/>
      <c r="J20" s="11"/>
      <c r="M20" s="4"/>
      <c r="N20" s="78"/>
      <c r="O20" s="78"/>
      <c r="P20" s="78" t="str">
        <f t="shared" si="4"/>
        <v>,nationality</v>
      </c>
      <c r="Q20" s="78" t="str">
        <f t="shared" si="0"/>
        <v>TEXT</v>
      </c>
      <c r="R20" s="78" t="str">
        <f t="shared" si="1"/>
        <v/>
      </c>
      <c r="S20" s="78" t="str">
        <f t="shared" si="5"/>
        <v/>
      </c>
      <c r="T20" s="78" t="str">
        <f t="shared" si="6"/>
        <v>-- 国籍コード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1284</v>
      </c>
      <c r="D21" s="6" t="s">
        <v>3065</v>
      </c>
      <c r="E21" s="8"/>
      <c r="F21" s="7" t="s">
        <v>1841</v>
      </c>
      <c r="G21" s="7" t="str">
        <f t="shared" si="3"/>
        <v>text</v>
      </c>
      <c r="H21" s="26"/>
      <c r="I21" s="10"/>
      <c r="J21" s="11"/>
      <c r="M21" s="4"/>
      <c r="N21" s="78"/>
      <c r="O21" s="78"/>
      <c r="P21" s="78" t="str">
        <f t="shared" si="4"/>
        <v>,subtype</v>
      </c>
      <c r="Q21" s="78" t="str">
        <f t="shared" si="0"/>
        <v>TEXT</v>
      </c>
      <c r="R21" s="78" t="str">
        <f t="shared" si="1"/>
        <v/>
      </c>
      <c r="S21" s="78" t="str">
        <f t="shared" si="5"/>
        <v/>
      </c>
      <c r="T21" s="78" t="str">
        <f t="shared" si="6"/>
        <v>-- 第2国籍コード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3066</v>
      </c>
      <c r="D22" s="6" t="s">
        <v>1287</v>
      </c>
      <c r="E22" s="8"/>
      <c r="F22" s="7" t="s">
        <v>1841</v>
      </c>
      <c r="G22" s="7" t="str">
        <f t="shared" si="3"/>
        <v>text</v>
      </c>
      <c r="H22" s="26"/>
      <c r="I22" s="10"/>
      <c r="J22" s="11"/>
      <c r="M22" s="4"/>
      <c r="N22" s="78"/>
      <c r="O22" s="78"/>
      <c r="P22" s="78" t="str">
        <f t="shared" si="4"/>
        <v>,race</v>
      </c>
      <c r="Q22" s="78" t="str">
        <f t="shared" si="0"/>
        <v>TEXT</v>
      </c>
      <c r="R22" s="78" t="str">
        <f t="shared" si="1"/>
        <v/>
      </c>
      <c r="S22" s="78" t="str">
        <f t="shared" si="5"/>
        <v/>
      </c>
      <c r="T22" s="78" t="str">
        <f t="shared" si="6"/>
        <v>-- 人種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milscm_2023_009.sny_202310_backup_text_mml_mmlre_pi.race IS '人種';</v>
      </c>
    </row>
    <row r="23" spans="1:52" s="25" customFormat="1">
      <c r="A23" s="4"/>
      <c r="B23" s="21">
        <f t="shared" si="2"/>
        <v>11</v>
      </c>
      <c r="C23" s="6" t="s">
        <v>3067</v>
      </c>
      <c r="D23" s="6" t="s">
        <v>1289</v>
      </c>
      <c r="E23" s="8"/>
      <c r="F23" s="7" t="s">
        <v>1841</v>
      </c>
      <c r="G23" s="7" t="str">
        <f t="shared" si="3"/>
        <v>text</v>
      </c>
      <c r="H23" s="26"/>
      <c r="I23" s="10"/>
      <c r="J23" s="11"/>
      <c r="M23" s="4"/>
      <c r="N23" s="78"/>
      <c r="O23" s="78"/>
      <c r="P23" s="78" t="str">
        <f t="shared" si="4"/>
        <v>,race_code</v>
      </c>
      <c r="Q23" s="78" t="str">
        <f t="shared" si="0"/>
        <v>TEXT</v>
      </c>
      <c r="R23" s="78" t="str">
        <f t="shared" si="1"/>
        <v/>
      </c>
      <c r="S23" s="78" t="str">
        <f t="shared" si="5"/>
        <v/>
      </c>
      <c r="T23" s="78" t="str">
        <f t="shared" si="6"/>
        <v>-- 人種コード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3068</v>
      </c>
      <c r="D24" s="6" t="s">
        <v>1291</v>
      </c>
      <c r="E24" s="8"/>
      <c r="F24" s="7" t="s">
        <v>1841</v>
      </c>
      <c r="G24" s="7" t="str">
        <f t="shared" si="3"/>
        <v>text</v>
      </c>
      <c r="H24" s="26"/>
      <c r="I24" s="10"/>
      <c r="J24" s="11"/>
      <c r="M24" s="4"/>
      <c r="N24" s="78"/>
      <c r="O24" s="78"/>
      <c r="P24" s="78" t="str">
        <f t="shared" si="4"/>
        <v>,race_code_id</v>
      </c>
      <c r="Q24" s="78" t="str">
        <f t="shared" si="0"/>
        <v>TEXT</v>
      </c>
      <c r="R24" s="78" t="str">
        <f t="shared" si="1"/>
        <v/>
      </c>
      <c r="S24" s="78" t="str">
        <f t="shared" si="5"/>
        <v/>
      </c>
      <c r="T24" s="78" t="str">
        <f t="shared" si="6"/>
        <v>-- 人種テーブル名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1292</v>
      </c>
      <c r="D25" s="6" t="s">
        <v>1293</v>
      </c>
      <c r="E25" s="8"/>
      <c r="F25" s="7" t="s">
        <v>1841</v>
      </c>
      <c r="G25" s="7" t="str">
        <f t="shared" si="3"/>
        <v>text</v>
      </c>
      <c r="H25" s="26"/>
      <c r="I25" s="10"/>
      <c r="J25" s="11"/>
      <c r="M25" s="4"/>
      <c r="N25" s="78"/>
      <c r="O25" s="78"/>
      <c r="P25" s="78" t="str">
        <f t="shared" si="4"/>
        <v>,marital</v>
      </c>
      <c r="Q25" s="78" t="str">
        <f t="shared" si="0"/>
        <v>TEXT</v>
      </c>
      <c r="R25" s="78" t="str">
        <f t="shared" si="1"/>
        <v/>
      </c>
      <c r="S25" s="78" t="str">
        <f t="shared" si="5"/>
        <v/>
      </c>
      <c r="T25" s="78" t="str">
        <f t="shared" si="6"/>
        <v>-- 婚姻状態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1294</v>
      </c>
      <c r="D26" s="6" t="s">
        <v>1295</v>
      </c>
      <c r="E26" s="8"/>
      <c r="F26" s="7" t="s">
        <v>1841</v>
      </c>
      <c r="G26" s="7" t="str">
        <f t="shared" si="3"/>
        <v>text</v>
      </c>
      <c r="H26" s="26"/>
      <c r="I26" s="10"/>
      <c r="J26" s="11"/>
      <c r="M26" s="4"/>
      <c r="N26" s="78"/>
      <c r="O26" s="78"/>
      <c r="P26" s="78" t="str">
        <f t="shared" si="4"/>
        <v>,account_number</v>
      </c>
      <c r="Q26" s="78" t="str">
        <f t="shared" si="0"/>
        <v>TEXT</v>
      </c>
      <c r="R26" s="78" t="str">
        <f t="shared" si="1"/>
        <v/>
      </c>
      <c r="S26" s="78" t="str">
        <f t="shared" si="5"/>
        <v/>
      </c>
      <c r="T26" s="78" t="str">
        <f t="shared" si="6"/>
        <v>-- 会計番号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1296</v>
      </c>
      <c r="D27" s="6" t="s">
        <v>3069</v>
      </c>
      <c r="E27" s="8"/>
      <c r="F27" s="7" t="s">
        <v>1841</v>
      </c>
      <c r="G27" s="7" t="str">
        <f t="shared" si="3"/>
        <v>text</v>
      </c>
      <c r="H27" s="26"/>
      <c r="I27" s="10"/>
      <c r="J27" s="11"/>
      <c r="M27" s="4"/>
      <c r="N27" s="78"/>
      <c r="O27" s="78"/>
      <c r="P27" s="78" t="str">
        <f t="shared" si="4"/>
        <v>,social_identification</v>
      </c>
      <c r="Q27" s="78" t="str">
        <f t="shared" si="0"/>
        <v>TEXT</v>
      </c>
      <c r="R27" s="78" t="str">
        <f t="shared" si="1"/>
        <v/>
      </c>
      <c r="S27" s="78" t="str">
        <f t="shared" si="5"/>
        <v/>
      </c>
      <c r="T27" s="78" t="str">
        <f t="shared" si="6"/>
        <v>-- 社会番号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milscm_2023_009.sny_202310_backup_text_mml_mmlre_pi.social_identification IS '社会番号';</v>
      </c>
    </row>
    <row r="28" spans="1:52" s="25" customFormat="1" ht="34.799999999999997">
      <c r="A28" s="4"/>
      <c r="B28" s="21">
        <f t="shared" si="2"/>
        <v>16</v>
      </c>
      <c r="C28" s="6" t="s">
        <v>1298</v>
      </c>
      <c r="D28" s="6" t="s">
        <v>3070</v>
      </c>
      <c r="E28" s="8"/>
      <c r="F28" s="7" t="s">
        <v>1841</v>
      </c>
      <c r="G28" s="7" t="str">
        <f t="shared" si="3"/>
        <v>text</v>
      </c>
      <c r="H28" s="26"/>
      <c r="I28" s="10"/>
      <c r="J28" s="11" t="s">
        <v>3072</v>
      </c>
      <c r="M28" s="4"/>
      <c r="N28" s="78"/>
      <c r="O28" s="78"/>
      <c r="P28" s="78" t="str">
        <f t="shared" si="4"/>
        <v>,death</v>
      </c>
      <c r="Q28" s="78" t="str">
        <f t="shared" si="0"/>
        <v>TEXT</v>
      </c>
      <c r="R28" s="78" t="str">
        <f t="shared" si="1"/>
        <v/>
      </c>
      <c r="S28" s="78" t="str">
        <f t="shared" si="5"/>
        <v/>
      </c>
      <c r="T28" s="78" t="str">
        <f t="shared" si="6"/>
        <v>-- 死亡フラグ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milscm_2023_009.sny_202310_backup_text_mml_mmlre_pi.death IS '死亡フラグ';</v>
      </c>
    </row>
    <row r="29" spans="1:52" s="25" customFormat="1" ht="18" thickBot="1">
      <c r="A29" s="4"/>
      <c r="B29" s="27">
        <f>ROW()-12</f>
        <v>17</v>
      </c>
      <c r="C29" s="57" t="s">
        <v>1300</v>
      </c>
      <c r="D29" s="57" t="s">
        <v>1301</v>
      </c>
      <c r="E29" s="56"/>
      <c r="F29" s="56" t="s">
        <v>1841</v>
      </c>
      <c r="G29" s="56" t="str">
        <f t="shared" si="3"/>
        <v>text</v>
      </c>
      <c r="H29" s="59"/>
      <c r="I29" s="60"/>
      <c r="J29" s="64" t="s">
        <v>2814</v>
      </c>
      <c r="N29" s="78"/>
      <c r="O29" s="78"/>
      <c r="P29" s="78" t="str">
        <f t="shared" si="4"/>
        <v>,death_date</v>
      </c>
      <c r="Q29" s="78" t="str">
        <f t="shared" si="0"/>
        <v>TEXT</v>
      </c>
      <c r="R29" s="78" t="str">
        <f t="shared" si="1"/>
        <v/>
      </c>
      <c r="S29" s="78" t="str">
        <f t="shared" si="5"/>
        <v/>
      </c>
      <c r="T29" s="78" t="str">
        <f t="shared" si="6"/>
        <v>-- 死亡日時</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milscm_2023_009.sny_202310_backup_text_mml_mmlre_pi.death_date IS '死亡日時';</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ENT_01_A6-58</v>
      </c>
      <c r="E6" s="251"/>
      <c r="F6" s="251"/>
      <c r="G6" s="251"/>
      <c r="H6" s="251"/>
      <c r="I6" s="251"/>
      <c r="J6" s="252"/>
    </row>
    <row r="7" spans="1:45">
      <c r="B7" s="240" t="s">
        <v>115</v>
      </c>
      <c r="C7" s="241"/>
      <c r="D7" s="242" t="s">
        <v>3073</v>
      </c>
      <c r="E7" s="243"/>
      <c r="F7" s="243"/>
      <c r="G7" s="243"/>
      <c r="H7" s="243"/>
      <c r="I7" s="243"/>
      <c r="J7" s="244"/>
    </row>
    <row r="8" spans="1:45">
      <c r="B8" s="240" t="s">
        <v>116</v>
      </c>
      <c r="C8" s="241"/>
      <c r="D8" s="242" t="str">
        <f>エンティティ一覧!AE2&amp;"_"&amp;D5&amp;"_text_mml_mmlre_pi_address"</f>
        <v>sny_202310_backup_text_mml_mmlre_pi_address</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milscm_2023_009.sny_202310_backup_text_mml_mmlre_pi_address;</v>
      </c>
      <c r="O10" s="78"/>
      <c r="P10" s="78"/>
      <c r="Q10" s="78"/>
      <c r="R10" s="78"/>
      <c r="S10" s="78"/>
      <c r="T10" s="78"/>
      <c r="AJ10" s="78" t="str">
        <f>"ALTER TABLE ONLY "&amp;エンティティ一覧!$O$2&amp;"."&amp;D$8</f>
        <v>ALTER TABLE ONLY milscm_2023_009.sny_202310_backup_text_mml_mmlre_pi_address</v>
      </c>
      <c r="AS10" s="78" t="str">
        <f>"ALTER TABLE "&amp;エンティティ一覧!$O$2&amp;"."&amp;D$8&amp;" OWNER TO pgmisgrp1;"</f>
        <v>ALTER TABLE milscm_2023_009.sny_202310_backup_text_mml_mmlre_pi_address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milscm_2023_009.sny_202310_backup_text_mml_mmlre_pi_address</v>
      </c>
      <c r="O11" s="78"/>
      <c r="P11" s="78"/>
      <c r="Q11" s="78"/>
      <c r="R11" s="78"/>
      <c r="S11" s="78"/>
      <c r="T11" s="78"/>
      <c r="AJ11" s="78" t="str">
        <f>"ADD CONSTRAINT "&amp;D$8&amp;"_pkey PRIMARY KEY"</f>
        <v>ADD CONSTRAINT sny_202310_backup_text_mml_mmlre_pi_address_pkey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8" si="0">UPPER(G13)</f>
        <v>INTEGER</v>
      </c>
      <c r="R13" s="78" t="str">
        <f t="shared" ref="R13:R28"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2803</v>
      </c>
      <c r="D14" s="6" t="s">
        <v>2804</v>
      </c>
      <c r="E14" s="8" t="s">
        <v>127</v>
      </c>
      <c r="F14" s="7" t="s">
        <v>2802</v>
      </c>
      <c r="G14" s="7" t="str">
        <f t="shared" ref="G14:G28" si="3">IF(F14="フラグ","boolean",IF(F14="文字列","text",IF(F14="整数","integer",IF(F14="実数","numeric",""))))</f>
        <v>integer</v>
      </c>
      <c r="H14" s="26"/>
      <c r="I14" s="10" t="s">
        <v>127</v>
      </c>
      <c r="J14" s="11"/>
      <c r="M14" s="4"/>
      <c r="N14" s="78"/>
      <c r="O14" s="78"/>
      <c r="P14" s="78" t="str">
        <f t="shared" ref="P14:P28" si="4">IF(B14&lt;&gt;1,","&amp;D14,D14)</f>
        <v>,file_no</v>
      </c>
      <c r="Q14" s="78" t="str">
        <f t="shared" si="0"/>
        <v>INTEGER</v>
      </c>
      <c r="R14" s="78" t="str">
        <f t="shared" si="1"/>
        <v/>
      </c>
      <c r="S14" s="78" t="str">
        <f t="shared" ref="S14:S28" si="5">IF(I14="○","NOT NULL","")</f>
        <v>NOT NULL</v>
      </c>
      <c r="T14" s="78" t="str">
        <f t="shared" ref="T14:T28"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3074</v>
      </c>
      <c r="D18" s="6" t="s">
        <v>3075</v>
      </c>
      <c r="E18" s="8" t="s">
        <v>127</v>
      </c>
      <c r="F18" s="7" t="s">
        <v>2802</v>
      </c>
      <c r="G18" s="7" t="str">
        <f t="shared" si="3"/>
        <v>integer</v>
      </c>
      <c r="H18" s="26"/>
      <c r="I18" s="10" t="s">
        <v>127</v>
      </c>
      <c r="J18" s="11"/>
      <c r="M18" s="4"/>
      <c r="N18" s="78"/>
      <c r="O18" s="78"/>
      <c r="P18" s="78" t="str">
        <f t="shared" si="4"/>
        <v>,address_no</v>
      </c>
      <c r="Q18" s="78" t="str">
        <f t="shared" si="0"/>
        <v>INTEGER</v>
      </c>
      <c r="R18" s="78" t="str">
        <f t="shared" si="1"/>
        <v/>
      </c>
      <c r="S18" s="78" t="str">
        <f t="shared" si="5"/>
        <v>NOT NULL</v>
      </c>
      <c r="T18" s="78" t="str">
        <f t="shared" si="6"/>
        <v>-- 住所No</v>
      </c>
      <c r="U18" s="4"/>
      <c r="AA18" s="4"/>
      <c r="AB18" s="4"/>
      <c r="AC18" s="4"/>
      <c r="AD18" s="4"/>
      <c r="AE18" s="4"/>
      <c r="AF18" s="4"/>
      <c r="AG18" s="4"/>
      <c r="AH18" s="4"/>
      <c r="AI18" s="4"/>
      <c r="AJ18" s="78" t="str">
        <f>IF(E18="○",IF(COUNTA(E$13:E18)=1,"",",")&amp;D18,"")</f>
        <v>,address_no</v>
      </c>
      <c r="AK18" s="4"/>
      <c r="AL18" s="4"/>
      <c r="AM18" s="4"/>
      <c r="AN18" s="4"/>
      <c r="AO18" s="4"/>
      <c r="AP18" s="4"/>
      <c r="AQ18" s="4"/>
      <c r="AR18" s="4"/>
      <c r="AS18" s="78"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3076</v>
      </c>
      <c r="D19" s="6" t="s">
        <v>3077</v>
      </c>
      <c r="E19" s="8"/>
      <c r="F19" s="7" t="s">
        <v>1841</v>
      </c>
      <c r="G19" s="7" t="str">
        <f t="shared" si="3"/>
        <v>text</v>
      </c>
      <c r="H19" s="26"/>
      <c r="I19" s="10"/>
      <c r="J19" s="11"/>
      <c r="M19" s="4"/>
      <c r="N19" s="78"/>
      <c r="O19" s="78"/>
      <c r="P19" s="78" t="str">
        <f t="shared" si="4"/>
        <v>,rep_code</v>
      </c>
      <c r="Q19" s="78" t="str">
        <f t="shared" si="0"/>
        <v>TEXT</v>
      </c>
      <c r="R19" s="78" t="str">
        <f t="shared" si="1"/>
        <v/>
      </c>
      <c r="S19" s="78" t="str">
        <f t="shared" si="5"/>
        <v/>
      </c>
      <c r="T19" s="78" t="str">
        <f t="shared" si="6"/>
        <v>-- 表記法</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3078</v>
      </c>
      <c r="D20" s="6" t="s">
        <v>3079</v>
      </c>
      <c r="E20" s="8"/>
      <c r="F20" s="7" t="s">
        <v>1841</v>
      </c>
      <c r="G20" s="7" t="str">
        <f t="shared" si="3"/>
        <v>text</v>
      </c>
      <c r="H20" s="26"/>
      <c r="I20" s="10"/>
      <c r="J20" s="11"/>
      <c r="M20" s="4"/>
      <c r="N20" s="78"/>
      <c r="O20" s="78"/>
      <c r="P20" s="78" t="str">
        <f t="shared" si="4"/>
        <v>,address_class</v>
      </c>
      <c r="Q20" s="78" t="str">
        <f t="shared" si="0"/>
        <v>TEXT</v>
      </c>
      <c r="R20" s="78" t="str">
        <f t="shared" si="1"/>
        <v/>
      </c>
      <c r="S20" s="78" t="str">
        <f t="shared" si="5"/>
        <v/>
      </c>
      <c r="T20" s="78" t="str">
        <f t="shared" si="6"/>
        <v>-- 住所の種類コード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2830</v>
      </c>
      <c r="E21" s="8"/>
      <c r="F21" s="7" t="s">
        <v>1841</v>
      </c>
      <c r="G21" s="7" t="str">
        <f t="shared" si="3"/>
        <v>text</v>
      </c>
      <c r="H21" s="26"/>
      <c r="I21" s="10"/>
      <c r="J21" s="11"/>
      <c r="M21" s="4"/>
      <c r="N21" s="78"/>
      <c r="O21" s="78"/>
      <c r="P21" s="78" t="str">
        <f t="shared" si="4"/>
        <v>,table_id</v>
      </c>
      <c r="Q21" s="78" t="str">
        <f t="shared" si="0"/>
        <v>TEXT</v>
      </c>
      <c r="R21" s="78" t="str">
        <f t="shared" si="1"/>
        <v/>
      </c>
      <c r="S21" s="78" t="str">
        <f t="shared" si="5"/>
        <v/>
      </c>
      <c r="T21" s="78" t="str">
        <f t="shared" si="6"/>
        <v>-- テーブル名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3080</v>
      </c>
      <c r="D22" s="6" t="s">
        <v>3081</v>
      </c>
      <c r="E22" s="8"/>
      <c r="F22" s="7" t="s">
        <v>1841</v>
      </c>
      <c r="G22" s="7" t="str">
        <f t="shared" si="3"/>
        <v>text</v>
      </c>
      <c r="H22" s="26"/>
      <c r="I22" s="10"/>
      <c r="J22" s="11"/>
      <c r="M22" s="4"/>
      <c r="N22" s="78"/>
      <c r="O22" s="78"/>
      <c r="P22" s="78" t="str">
        <f t="shared" si="4"/>
        <v>,address_full</v>
      </c>
      <c r="Q22" s="78" t="str">
        <f t="shared" si="0"/>
        <v>TEXT</v>
      </c>
      <c r="R22" s="78" t="str">
        <f t="shared" si="1"/>
        <v/>
      </c>
      <c r="S22" s="78" t="str">
        <f t="shared" si="5"/>
        <v/>
      </c>
      <c r="T22" s="78" t="str">
        <f t="shared" si="6"/>
        <v>-- 一連住所</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936</v>
      </c>
      <c r="D23" s="6" t="s">
        <v>937</v>
      </c>
      <c r="E23" s="8"/>
      <c r="F23" s="7" t="s">
        <v>1841</v>
      </c>
      <c r="G23" s="7" t="str">
        <f t="shared" si="3"/>
        <v>text</v>
      </c>
      <c r="H23" s="26"/>
      <c r="I23" s="10"/>
      <c r="J23" s="11"/>
      <c r="M23" s="4"/>
      <c r="N23" s="78"/>
      <c r="O23" s="78"/>
      <c r="P23" s="78" t="str">
        <f t="shared" si="4"/>
        <v>,prefecture</v>
      </c>
      <c r="Q23" s="78" t="str">
        <f t="shared" si="0"/>
        <v>TEXT</v>
      </c>
      <c r="R23" s="78" t="str">
        <f t="shared" si="1"/>
        <v/>
      </c>
      <c r="S23" s="78" t="str">
        <f t="shared" si="5"/>
        <v/>
      </c>
      <c r="T23" s="78" t="str">
        <f t="shared" si="6"/>
        <v>-- 都道府県</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3082</v>
      </c>
      <c r="D24" s="6" t="s">
        <v>1922</v>
      </c>
      <c r="E24" s="8"/>
      <c r="F24" s="7" t="s">
        <v>1841</v>
      </c>
      <c r="G24" s="7" t="str">
        <f t="shared" si="3"/>
        <v>text</v>
      </c>
      <c r="H24" s="26"/>
      <c r="I24" s="10"/>
      <c r="J24" s="11"/>
      <c r="M24" s="4"/>
      <c r="N24" s="78"/>
      <c r="O24" s="78"/>
      <c r="P24" s="78" t="str">
        <f t="shared" si="4"/>
        <v>,city</v>
      </c>
      <c r="Q24" s="78" t="str">
        <f t="shared" si="0"/>
        <v>TEXT</v>
      </c>
      <c r="R24" s="78" t="str">
        <f t="shared" si="1"/>
        <v/>
      </c>
      <c r="S24" s="78" t="str">
        <f t="shared" si="5"/>
        <v/>
      </c>
      <c r="T24" s="78" t="str">
        <f t="shared" si="6"/>
        <v>-- 市，区，郡</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3083</v>
      </c>
      <c r="D25" s="6" t="s">
        <v>3084</v>
      </c>
      <c r="E25" s="8"/>
      <c r="F25" s="7" t="s">
        <v>1841</v>
      </c>
      <c r="G25" s="7" t="str">
        <f t="shared" si="3"/>
        <v>text</v>
      </c>
      <c r="H25" s="26"/>
      <c r="I25" s="10"/>
      <c r="J25" s="11"/>
      <c r="M25" s="4"/>
      <c r="N25" s="78"/>
      <c r="O25" s="78"/>
      <c r="P25" s="78" t="str">
        <f t="shared" si="4"/>
        <v>,town</v>
      </c>
      <c r="Q25" s="78" t="str">
        <f t="shared" si="0"/>
        <v>TEXT</v>
      </c>
      <c r="R25" s="78" t="str">
        <f t="shared" si="1"/>
        <v/>
      </c>
      <c r="S25" s="78" t="str">
        <f t="shared" si="5"/>
        <v/>
      </c>
      <c r="T25" s="78" t="str">
        <f t="shared" si="6"/>
        <v>-- 町，村</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3085</v>
      </c>
      <c r="D26" s="6" t="s">
        <v>3086</v>
      </c>
      <c r="E26" s="8"/>
      <c r="F26" s="7" t="s">
        <v>1841</v>
      </c>
      <c r="G26" s="7" t="str">
        <f t="shared" si="3"/>
        <v>text</v>
      </c>
      <c r="H26" s="26"/>
      <c r="I26" s="10"/>
      <c r="J26" s="11"/>
      <c r="M26" s="4"/>
      <c r="N26" s="78"/>
      <c r="O26" s="78"/>
      <c r="P26" s="78" t="str">
        <f t="shared" si="4"/>
        <v>,home_number</v>
      </c>
      <c r="Q26" s="78" t="str">
        <f t="shared" si="0"/>
        <v>TEXT</v>
      </c>
      <c r="R26" s="78" t="str">
        <f t="shared" si="1"/>
        <v/>
      </c>
      <c r="S26" s="78" t="str">
        <f t="shared" si="5"/>
        <v/>
      </c>
      <c r="T26" s="78" t="str">
        <f t="shared" si="6"/>
        <v>-- 番地，丁目等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3087</v>
      </c>
      <c r="D27" s="6" t="s">
        <v>3088</v>
      </c>
      <c r="E27" s="8"/>
      <c r="F27" s="7" t="s">
        <v>1841</v>
      </c>
      <c r="G27" s="7" t="str">
        <f t="shared" si="3"/>
        <v>text</v>
      </c>
      <c r="H27" s="26"/>
      <c r="I27" s="10"/>
      <c r="J27" s="11"/>
      <c r="M27" s="4"/>
      <c r="N27" s="78"/>
      <c r="O27" s="78"/>
      <c r="P27" s="78" t="str">
        <f t="shared" si="4"/>
        <v>,zip</v>
      </c>
      <c r="Q27" s="78" t="str">
        <f t="shared" si="0"/>
        <v>TEXT</v>
      </c>
      <c r="R27" s="78" t="str">
        <f t="shared" si="1"/>
        <v/>
      </c>
      <c r="S27" s="78" t="str">
        <f t="shared" si="5"/>
        <v/>
      </c>
      <c r="T27" s="78" t="str">
        <f t="shared" si="6"/>
        <v>-- 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milscm_2023_009.sny_202310_backup_text_mml_mmlre_pi_address.zip IS '郵便番号';</v>
      </c>
    </row>
    <row r="28" spans="1:52" s="25" customFormat="1" ht="35.4" customHeight="1" thickBot="1">
      <c r="A28" s="4"/>
      <c r="B28" s="27">
        <f>ROW()-12</f>
        <v>16</v>
      </c>
      <c r="C28" s="57" t="s">
        <v>3089</v>
      </c>
      <c r="D28" s="57" t="s">
        <v>3090</v>
      </c>
      <c r="E28" s="56"/>
      <c r="F28" s="56" t="s">
        <v>1841</v>
      </c>
      <c r="G28" s="56" t="str">
        <f t="shared" si="3"/>
        <v>text</v>
      </c>
      <c r="H28" s="59"/>
      <c r="I28" s="60"/>
      <c r="J28" s="64"/>
      <c r="N28" s="78"/>
      <c r="O28" s="78"/>
      <c r="P28" s="78" t="str">
        <f t="shared" si="4"/>
        <v>,country_code</v>
      </c>
      <c r="Q28" s="78" t="str">
        <f t="shared" si="0"/>
        <v>TEXT</v>
      </c>
      <c r="R28" s="78" t="str">
        <f t="shared" si="1"/>
        <v/>
      </c>
      <c r="S28" s="78" t="str">
        <f t="shared" si="5"/>
        <v/>
      </c>
      <c r="T28" s="78" t="str">
        <f t="shared" si="6"/>
        <v>-- 国コード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milscm_2023_009.sny_202310_backup_text_mml_mmlre_pi_address.country_code IS '国コード';</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ENT_01_A6-59</v>
      </c>
      <c r="E6" s="251"/>
      <c r="F6" s="251"/>
      <c r="G6" s="251"/>
      <c r="H6" s="251"/>
      <c r="I6" s="251"/>
      <c r="J6" s="252"/>
    </row>
    <row r="7" spans="1:45">
      <c r="B7" s="240" t="s">
        <v>115</v>
      </c>
      <c r="C7" s="241"/>
      <c r="D7" s="242" t="s">
        <v>3091</v>
      </c>
      <c r="E7" s="243"/>
      <c r="F7" s="243"/>
      <c r="G7" s="243"/>
      <c r="H7" s="243"/>
      <c r="I7" s="243"/>
      <c r="J7" s="244"/>
    </row>
    <row r="8" spans="1:45">
      <c r="B8" s="240" t="s">
        <v>116</v>
      </c>
      <c r="C8" s="241"/>
      <c r="D8" s="242" t="str">
        <f>エンティティ一覧!AE2&amp;"_"&amp;D5&amp;"_text_mml_mmlre_ps"</f>
        <v>sny_202310_backup_text_mml_mmlre_ps</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milscm_2023_009.sny_202310_backup_text_mml_mmlre_ps;</v>
      </c>
      <c r="O10" s="78"/>
      <c r="P10" s="78"/>
      <c r="Q10" s="78"/>
      <c r="R10" s="78"/>
      <c r="S10" s="78"/>
      <c r="T10" s="78"/>
      <c r="AJ10" s="78" t="str">
        <f>"ALTER TABLE ONLY "&amp;エンティティ一覧!$O$2&amp;"."&amp;D$8</f>
        <v>ALTER TABLE ONLY milscm_2023_009.sny_202310_backup_text_mml_mmlre_ps</v>
      </c>
      <c r="AS10" s="78" t="str">
        <f>"ALTER TABLE "&amp;エンティティ一覧!$O$2&amp;"."&amp;D$8&amp;" OWNER TO pgmisgrp1;"</f>
        <v>ALTER TABLE milscm_2023_009.sny_202310_backup_text_mml_mmlre_ps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v>
      </c>
      <c r="O11" s="78"/>
      <c r="P11" s="78"/>
      <c r="Q11" s="78"/>
      <c r="R11" s="78"/>
      <c r="S11" s="78"/>
      <c r="T11" s="78"/>
      <c r="AJ11" s="78" t="str">
        <f>"ADD CONSTRAINT "&amp;D$8&amp;"_pkey PRIMARY KEY"</f>
        <v>ADD CONSTRAINT sny_202310_backup_text_mml_mmlre_ps_pkey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milscm_2023_009.sny_202310_backup_text_mml_mmlre_ps.issued_to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milscm_2023_009.sny_202310_backup_text_mml_mmlre_ps.narcotic_prescription_license_no IS '麻薬施用者番号';</v>
      </c>
    </row>
    <row r="20" spans="1:52" s="25" customFormat="1" ht="35.4" customHeight="1"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ENT_01_A6-60</v>
      </c>
      <c r="E6" s="251"/>
      <c r="F6" s="251"/>
      <c r="G6" s="251"/>
      <c r="H6" s="251"/>
      <c r="I6" s="251"/>
      <c r="J6" s="252"/>
    </row>
    <row r="7" spans="1:45">
      <c r="B7" s="240" t="s">
        <v>115</v>
      </c>
      <c r="C7" s="241"/>
      <c r="D7" s="242" t="s">
        <v>3092</v>
      </c>
      <c r="E7" s="243"/>
      <c r="F7" s="243"/>
      <c r="G7" s="243"/>
      <c r="H7" s="243"/>
      <c r="I7" s="243"/>
      <c r="J7" s="244"/>
    </row>
    <row r="8" spans="1:45">
      <c r="B8" s="240" t="s">
        <v>116</v>
      </c>
      <c r="C8" s="241"/>
      <c r="D8" s="242" t="str">
        <f>エンティティ一覧!AE2&amp;"_"&amp;D5&amp;"_text_mml_mmlre_ps_medication"</f>
        <v>sny_202310_backup_text_mml_mmlre_ps_medication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milscm_2023_009.sny_202310_backup_text_mml_mmlre_ps_medication;</v>
      </c>
      <c r="O10" s="78"/>
      <c r="P10" s="78"/>
      <c r="Q10" s="78"/>
      <c r="R10" s="78"/>
      <c r="S10" s="78"/>
      <c r="T10" s="78"/>
      <c r="AJ10" s="78" t="str">
        <f>"ALTER TABLE ONLY "&amp;エンティティ一覧!$O$2&amp;"."&amp;D$8</f>
        <v>ALTER TABLE ONLY milscm_2023_009.sny_202310_backup_text_mml_mmlre_ps_medication</v>
      </c>
      <c r="AS10" s="78" t="str">
        <f>"ALTER TABLE "&amp;エンティティ一覧!$O$2&amp;"."&amp;D$8&amp;" OWNER TO pgmisgrp1;"</f>
        <v>ALTER TABLE milscm_2023_009.sny_202310_backup_text_mml_mmlre_ps_medication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milscm_2023_009.sny_202310_backup_text_mml_mmlre_ps_medication</v>
      </c>
      <c r="O11" s="78"/>
      <c r="P11" s="78"/>
      <c r="Q11" s="78"/>
      <c r="R11" s="78"/>
      <c r="S11" s="78"/>
      <c r="T11" s="78"/>
      <c r="AJ11" s="78" t="str">
        <f>"ADD CONSTRAINT "&amp;D$8&amp;"_pkey PRIMARY KEY"</f>
        <v>ADD CONSTRAINT sny_202310_backup_text_mml_mmlre_ps_medication_pkey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2842</v>
      </c>
      <c r="D19" s="6" t="s">
        <v>2843</v>
      </c>
      <c r="E19" s="8"/>
      <c r="F19" s="7" t="s">
        <v>1841</v>
      </c>
      <c r="G19" s="7" t="str">
        <f t="shared" ref="G19:G31" si="7">IF(F19="フラグ","boolean",IF(F19="文字列","text",IF(F19="整数","integer",IF(F19="実数","numeric",""))))</f>
        <v>text</v>
      </c>
      <c r="H19" s="26"/>
      <c r="I19" s="10"/>
      <c r="J19" s="11"/>
      <c r="M19" s="4"/>
      <c r="N19" s="78"/>
      <c r="O19" s="78"/>
      <c r="P19" s="78" t="str">
        <f t="shared" ref="P19:P31" si="8">IF(B19&lt;&gt;1,","&amp;D19,D19)</f>
        <v>,medicine_name</v>
      </c>
      <c r="Q19" s="78" t="str">
        <f t="shared" ref="Q19:Q31" si="9">UPPER(G19)</f>
        <v>TEXT</v>
      </c>
      <c r="R19" s="78" t="str">
        <f t="shared" ref="R19:R31" si="10">IF(H19&lt;&gt;"","default "&amp;IF(G19="text","'"&amp;H19&amp;"'",H19),"")</f>
        <v/>
      </c>
      <c r="S19" s="78" t="str">
        <f t="shared" ref="S19:S31" si="11">IF(I19="○","NOT NULL","")</f>
        <v/>
      </c>
      <c r="T19" s="78" t="str">
        <f t="shared" ref="T19:T31"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milscm_2023_009.sny_202310_backup_text_mml_mmlre_ps_medication.batch_no IS '処方番号';</v>
      </c>
    </row>
    <row r="31" spans="1:45" s="25" customFormat="1" ht="34.799999999999997">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milscm_2023_009.sny_202310_backup_text_mml_mmlre_ps_medication.long_term IS '長期処方可';</v>
      </c>
    </row>
    <row r="33" spans="1:52" s="25" customFormat="1" ht="35.4" customHeight="1"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ENT_01_A6-61</v>
      </c>
      <c r="E6" s="251"/>
      <c r="F6" s="251"/>
      <c r="G6" s="251"/>
      <c r="H6" s="251"/>
      <c r="I6" s="251"/>
      <c r="J6" s="252"/>
    </row>
    <row r="7" spans="1:45">
      <c r="B7" s="240" t="s">
        <v>115</v>
      </c>
      <c r="C7" s="241"/>
      <c r="D7" s="242" t="s">
        <v>3093</v>
      </c>
      <c r="E7" s="243"/>
      <c r="F7" s="243"/>
      <c r="G7" s="243"/>
      <c r="H7" s="243"/>
      <c r="I7" s="243"/>
      <c r="J7" s="244"/>
    </row>
    <row r="8" spans="1:45">
      <c r="B8" s="240" t="s">
        <v>116</v>
      </c>
      <c r="C8" s="241"/>
      <c r="D8" s="242" t="str">
        <f>エンティティ一覧!AE2&amp;"_"&amp;D5&amp;"_text_mml_mmlre_ps_medicine"</f>
        <v>sny_202310_backup_text_mml_mmlre_ps_medicine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milscm_2023_009.sny_202310_backup_text_mml_mmlre_ps_medicine;</v>
      </c>
      <c r="O10" s="78"/>
      <c r="P10" s="78"/>
      <c r="Q10" s="78"/>
      <c r="R10" s="78"/>
      <c r="S10" s="78"/>
      <c r="T10" s="78"/>
      <c r="AJ10" s="78" t="str">
        <f>"ALTER TABLE ONLY "&amp;エンティティ一覧!$O$2&amp;"."&amp;D$8</f>
        <v>ALTER TABLE ONLY milscm_2023_009.sny_202310_backup_text_mml_mmlre_ps_medicine</v>
      </c>
      <c r="AS10" s="78" t="str">
        <f>"ALTER TABLE "&amp;エンティティ一覧!$O$2&amp;"."&amp;D$8&amp;" OWNER TO pgmisgrp1;"</f>
        <v>ALTER TABLE milscm_2023_009.sny_202310_backup_text_mml_mmlre_ps_medicine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milscm_2023_009.sny_202310_backup_text_mml_mmlre_ps_medicine</v>
      </c>
      <c r="O11" s="78"/>
      <c r="P11" s="78"/>
      <c r="Q11" s="78"/>
      <c r="R11" s="78"/>
      <c r="S11" s="78"/>
      <c r="T11" s="78"/>
      <c r="AJ11" s="78" t="str">
        <f>"ADD CONSTRAINT "&amp;D$8&amp;"_pkey PRIMARY KEY"</f>
        <v>ADD CONSTRAINT sny_202310_backup_text_mml_mmlre_ps_medicine_pkey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milscm_2023_009.sny_202310_backup_text_mml_mmlre_ps_medicine.code IS '薬剤コード';</v>
      </c>
    </row>
    <row r="21" spans="1:52" s="25" customFormat="1" ht="35.4" customHeight="1"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ENT_01_A6-62</v>
      </c>
      <c r="E6" s="251"/>
      <c r="F6" s="251"/>
      <c r="G6" s="251"/>
      <c r="H6" s="251"/>
      <c r="I6" s="251"/>
      <c r="J6" s="252"/>
    </row>
    <row r="7" spans="1:45">
      <c r="B7" s="240" t="s">
        <v>115</v>
      </c>
      <c r="C7" s="241"/>
      <c r="D7" s="242" t="s">
        <v>3094</v>
      </c>
      <c r="E7" s="243"/>
      <c r="F7" s="243"/>
      <c r="G7" s="243"/>
      <c r="H7" s="243"/>
      <c r="I7" s="243"/>
      <c r="J7" s="244"/>
    </row>
    <row r="8" spans="1:45">
      <c r="B8" s="240" t="s">
        <v>116</v>
      </c>
      <c r="C8" s="241"/>
      <c r="D8" s="242" t="str">
        <f>エンティティ一覧!AE2&amp;"_"&amp;D5&amp;"_text_mml_mmlre_sm_clinical_record"</f>
        <v>sny_202310_backup_text_mml_mmlre_sm_clinical_record</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milscm_2023_009.sny_202310_backup_text_mml_mmlre_sm_clinical_record;</v>
      </c>
      <c r="O10" s="78"/>
      <c r="P10" s="78"/>
      <c r="Q10" s="78"/>
      <c r="R10" s="78"/>
      <c r="S10" s="78"/>
      <c r="T10" s="78"/>
      <c r="AJ10" s="78" t="str">
        <f>"ALTER TABLE ONLY "&amp;エンティティ一覧!$O$2&amp;"."&amp;D$8</f>
        <v>ALTER TABLE ONLY milscm_2023_009.sny_202310_backup_text_mml_mmlre_sm_clinical_record</v>
      </c>
      <c r="AS10" s="78" t="str">
        <f>"ALTER TABLE "&amp;エンティティ一覧!$O$2&amp;"."&amp;D$8&amp;" OWNER TO pgmisgrp1;"</f>
        <v>ALTER TABLE milscm_2023_009.sny_202310_backup_text_mml_mmlre_sm_clinical_record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milscm_2023_009.sny_202310_backup_text_mml_mmlre_sm_clinical_record</v>
      </c>
      <c r="O11" s="78"/>
      <c r="P11" s="78"/>
      <c r="Q11" s="78"/>
      <c r="R11" s="78"/>
      <c r="S11" s="78"/>
      <c r="T11" s="78"/>
      <c r="AJ11" s="78" t="str">
        <f>"ADD CONSTRAINT "&amp;D$8&amp;"_pkey PRIMARY KEY"</f>
        <v>ADD CONSTRAINT sny_202310_backup_text_mml_mmlre_sm_clinical_record_pkey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3095</v>
      </c>
      <c r="D18" s="6" t="s">
        <v>3096</v>
      </c>
      <c r="E18" s="8" t="s">
        <v>127</v>
      </c>
      <c r="F18" s="7" t="s">
        <v>2802</v>
      </c>
      <c r="G18" s="7" t="str">
        <f t="shared" si="3"/>
        <v>integer</v>
      </c>
      <c r="H18" s="26"/>
      <c r="I18" s="10" t="s">
        <v>127</v>
      </c>
      <c r="J18" s="11"/>
      <c r="M18" s="4"/>
      <c r="N18" s="78"/>
      <c r="O18" s="78"/>
      <c r="P18" s="78" t="str">
        <f t="shared" si="4"/>
        <v>,clinical_record_no</v>
      </c>
      <c r="Q18" s="78" t="str">
        <f t="shared" si="0"/>
        <v>INTEGER</v>
      </c>
      <c r="R18" s="78" t="str">
        <f t="shared" si="1"/>
        <v/>
      </c>
      <c r="S18" s="78" t="str">
        <f t="shared" si="5"/>
        <v>NOT NULL</v>
      </c>
      <c r="T18" s="78" t="str">
        <f t="shared" si="6"/>
        <v>-- 経過記録No</v>
      </c>
      <c r="U18" s="4"/>
      <c r="AA18" s="4"/>
      <c r="AB18" s="4"/>
      <c r="AC18" s="4"/>
      <c r="AD18" s="4"/>
      <c r="AE18" s="4"/>
      <c r="AF18" s="4"/>
      <c r="AG18" s="4"/>
      <c r="AH18" s="4"/>
      <c r="AI18" s="4"/>
      <c r="AJ18" s="78" t="str">
        <f>IF(E18="○",IF(COUNTA(E$13:E18)=1,"",",")&amp;D18,"")</f>
        <v>,clinical_record_no</v>
      </c>
      <c r="AK18" s="4"/>
      <c r="AL18" s="4"/>
      <c r="AM18" s="4"/>
      <c r="AN18" s="4"/>
      <c r="AO18" s="4"/>
      <c r="AP18" s="4"/>
      <c r="AQ18" s="4"/>
      <c r="AR18" s="4"/>
      <c r="AS18" s="78"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1540</v>
      </c>
      <c r="D19" s="6" t="s">
        <v>3097</v>
      </c>
      <c r="E19" s="8"/>
      <c r="F19" s="7" t="s">
        <v>1841</v>
      </c>
      <c r="G19" s="7" t="str">
        <f t="shared" si="3"/>
        <v>text</v>
      </c>
      <c r="H19" s="26"/>
      <c r="I19" s="10"/>
      <c r="J19" s="11"/>
      <c r="M19" s="4"/>
      <c r="N19" s="78"/>
      <c r="O19" s="78"/>
      <c r="P19" s="78" t="str">
        <f t="shared" si="4"/>
        <v>,clinical_record</v>
      </c>
      <c r="Q19" s="78" t="str">
        <f t="shared" si="0"/>
        <v>TEXT</v>
      </c>
      <c r="R19" s="78" t="str">
        <f t="shared" si="1"/>
        <v/>
      </c>
      <c r="S19" s="78" t="str">
        <f t="shared" si="5"/>
        <v/>
      </c>
      <c r="T19" s="78" t="str">
        <f t="shared" si="6"/>
        <v>-- 経過記録</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1542</v>
      </c>
      <c r="D20" s="6" t="s">
        <v>3098</v>
      </c>
      <c r="E20" s="8"/>
      <c r="F20" s="7" t="s">
        <v>1841</v>
      </c>
      <c r="G20" s="7" t="str">
        <f t="shared" ref="G20" si="7">IF(F20="フラグ","boolean",IF(F20="文字列","text",IF(F20="整数","integer",IF(F20="実数","numeric",""))))</f>
        <v>text</v>
      </c>
      <c r="H20" s="26"/>
      <c r="I20" s="10"/>
      <c r="J20" s="11" t="s">
        <v>2814</v>
      </c>
      <c r="M20" s="4"/>
      <c r="N20" s="78"/>
      <c r="O20" s="78"/>
      <c r="P20" s="78" t="str">
        <f t="shared" ref="P20" si="8">IF(B20&lt;&gt;1,","&amp;D20,D20)</f>
        <v>,clinical_record_date</v>
      </c>
      <c r="Q20" s="78" t="str">
        <f t="shared" ref="Q20" si="9">UPPER(G20)</f>
        <v>TEXT</v>
      </c>
      <c r="R20" s="78" t="str">
        <f t="shared" ref="R20" si="10">IF(H20&lt;&gt;"","default "&amp;IF(G20="text","'"&amp;H20&amp;"'",H20),"")</f>
        <v/>
      </c>
      <c r="S20" s="78" t="str">
        <f t="shared" ref="S20" si="11">IF(I20="○","NOT NULL","")</f>
        <v/>
      </c>
      <c r="T20" s="78" t="str">
        <f t="shared" ref="T20" si="12">"-- "&amp;C20</f>
        <v>-- イベント発生日時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3099</v>
      </c>
      <c r="D21" s="6" t="s">
        <v>3100</v>
      </c>
      <c r="E21" s="8"/>
      <c r="F21" s="7" t="s">
        <v>1841</v>
      </c>
      <c r="G21" s="7" t="str">
        <f t="shared" si="3"/>
        <v>text</v>
      </c>
      <c r="H21" s="26"/>
      <c r="I21" s="10"/>
      <c r="J21" s="11"/>
      <c r="M21" s="4"/>
      <c r="N21" s="78"/>
      <c r="O21" s="78"/>
      <c r="P21" s="78" t="str">
        <f t="shared" si="4"/>
        <v>,related_doc</v>
      </c>
      <c r="Q21" s="78" t="str">
        <f t="shared" si="0"/>
        <v>TEXT</v>
      </c>
      <c r="R21" s="78" t="str">
        <f t="shared" si="1"/>
        <v/>
      </c>
      <c r="S21" s="78" t="str">
        <f t="shared" si="5"/>
        <v/>
      </c>
      <c r="T21" s="78" t="str">
        <f t="shared" si="6"/>
        <v>-- 関連文書</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milscm_2023_009.sny_202310_backup_text_mml_mmlre_sm_clinical_record.related_doc IS '関連文書';</v>
      </c>
    </row>
    <row r="22" spans="1:52" s="25" customFormat="1" ht="18" thickBot="1">
      <c r="A22" s="4"/>
      <c r="B22" s="27">
        <f>ROW()-12</f>
        <v>10</v>
      </c>
      <c r="C22" s="57" t="s">
        <v>3101</v>
      </c>
      <c r="D22" s="57" t="s">
        <v>3102</v>
      </c>
      <c r="E22" s="56"/>
      <c r="F22" s="56" t="s">
        <v>1841</v>
      </c>
      <c r="G22" s="56" t="str">
        <f t="shared" si="3"/>
        <v>text</v>
      </c>
      <c r="H22" s="59"/>
      <c r="I22" s="60"/>
      <c r="J22" s="64"/>
      <c r="N22" s="78"/>
      <c r="O22" s="78"/>
      <c r="P22" s="78" t="str">
        <f t="shared" si="4"/>
        <v>,related_doc_relation</v>
      </c>
      <c r="Q22" s="78" t="str">
        <f t="shared" si="0"/>
        <v>TEXT</v>
      </c>
      <c r="R22" s="78" t="str">
        <f t="shared" si="1"/>
        <v/>
      </c>
      <c r="S22" s="78" t="str">
        <f t="shared" si="5"/>
        <v/>
      </c>
      <c r="T22" s="78" t="str">
        <f t="shared" si="6"/>
        <v>-- 関連文書_関連の種別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ENT_01_A6-63</v>
      </c>
      <c r="E6" s="251"/>
      <c r="F6" s="251"/>
      <c r="G6" s="251"/>
      <c r="H6" s="251"/>
      <c r="I6" s="251"/>
      <c r="J6" s="252"/>
    </row>
    <row r="7" spans="1:45">
      <c r="B7" s="240" t="s">
        <v>115</v>
      </c>
      <c r="C7" s="241"/>
      <c r="D7" s="242" t="s">
        <v>3105</v>
      </c>
      <c r="E7" s="243"/>
      <c r="F7" s="243"/>
      <c r="G7" s="243"/>
      <c r="H7" s="243"/>
      <c r="I7" s="243"/>
      <c r="J7" s="244"/>
    </row>
    <row r="8" spans="1:45">
      <c r="B8" s="240" t="s">
        <v>116</v>
      </c>
      <c r="C8" s="241"/>
      <c r="D8" s="242" t="str">
        <f>エンティティ一覧!AE2&amp;"_"&amp;D5&amp;"_text_mml_mmlre_dp"</f>
        <v>sny_202310_backup_text_mml_mmlre_dp</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milscm_2023_009.sny_202310_backup_text_mml_mmlre_dp;</v>
      </c>
      <c r="O10" s="78"/>
      <c r="P10" s="78"/>
      <c r="Q10" s="78"/>
      <c r="R10" s="78"/>
      <c r="S10" s="78"/>
      <c r="T10" s="78"/>
      <c r="AJ10" s="78" t="str">
        <f>"ALTER TABLE ONLY "&amp;エンティティ一覧!$O$2&amp;"."&amp;D$8</f>
        <v>ALTER TABLE ONLY milscm_2023_009.sny_202310_backup_text_mml_mmlre_dp</v>
      </c>
      <c r="AS10" s="78" t="str">
        <f>"ALTER TABLE "&amp;エンティティ一覧!$O$2&amp;"."&amp;D$8&amp;" OWNER TO pgmisgrp1;"</f>
        <v>ALTER TABLE milscm_2023_009.sny_202310_backup_text_mml_mmlre_dp OWNER TO pgmisgrp1;</v>
      </c>
    </row>
    <row r="11" spans="1:45" ht="18" thickBot="1">
      <c r="B11" s="20" t="s">
        <v>118</v>
      </c>
      <c r="C11" s="19"/>
      <c r="D11" s="5"/>
      <c r="E11" s="5"/>
      <c r="F11" s="5"/>
      <c r="G11" s="5"/>
      <c r="H11" s="5"/>
      <c r="I11" s="5"/>
      <c r="J11" s="18"/>
      <c r="N11" s="78" t="str">
        <f>"CREATE TABLE  "&amp;エンティティ一覧!$O$2&amp;"."&amp;D$8</f>
        <v>CREATE TABLE  milscm_2023_009.sny_202310_backup_text_mml_mmlre_dp</v>
      </c>
      <c r="O11" s="78"/>
      <c r="P11" s="78"/>
      <c r="Q11" s="78"/>
      <c r="R11" s="78"/>
      <c r="S11" s="78"/>
      <c r="T11" s="78"/>
      <c r="AJ11" s="78" t="str">
        <f>"ADD CONSTRAINT "&amp;D$8&amp;"_pkey PRIMARY KEY"</f>
        <v>ADD CONSTRAINT sny_202310_backup_text_mml_mmlre_dp_pkey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7" si="0">UPPER(G13)</f>
        <v>INTEGER</v>
      </c>
      <c r="R13" s="78" t="str">
        <f t="shared" ref="R13:R27"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2803</v>
      </c>
      <c r="D14" s="6" t="s">
        <v>2804</v>
      </c>
      <c r="E14" s="8" t="s">
        <v>127</v>
      </c>
      <c r="F14" s="7" t="s">
        <v>2802</v>
      </c>
      <c r="G14" s="7" t="str">
        <f t="shared" ref="G14:G27" si="3">IF(F14="フラグ","boolean",IF(F14="文字列","text",IF(F14="整数","integer",IF(F14="実数","numeric",""))))</f>
        <v>integer</v>
      </c>
      <c r="H14" s="26"/>
      <c r="I14" s="10" t="s">
        <v>127</v>
      </c>
      <c r="J14" s="11"/>
      <c r="M14" s="4"/>
      <c r="N14" s="78"/>
      <c r="O14" s="78"/>
      <c r="P14" s="78" t="str">
        <f t="shared" ref="P14:P27" si="4">IF(B14&lt;&gt;1,","&amp;D14,D14)</f>
        <v>,file_no</v>
      </c>
      <c r="Q14" s="78" t="str">
        <f t="shared" si="0"/>
        <v>INTEGER</v>
      </c>
      <c r="R14" s="78" t="str">
        <f t="shared" si="1"/>
        <v/>
      </c>
      <c r="S14" s="78" t="str">
        <f t="shared" ref="S14:S27" si="5">IF(I14="○","NOT NULL","")</f>
        <v>NOT NULL</v>
      </c>
      <c r="T14" s="78" t="str">
        <f t="shared" ref="T14:T27"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milscm_2023_009.sny_202310_backup_text_mml_mmlre_dp.master_id IS '患者ID';</v>
      </c>
    </row>
    <row r="18" spans="1:52" s="25" customFormat="1">
      <c r="A18" s="4"/>
      <c r="B18" s="21">
        <f t="shared" si="2"/>
        <v>6</v>
      </c>
      <c r="C18" s="6" t="s">
        <v>2913</v>
      </c>
      <c r="D18" s="6" t="s">
        <v>2914</v>
      </c>
      <c r="E18" s="8" t="s">
        <v>127</v>
      </c>
      <c r="F18" s="7" t="s">
        <v>2802</v>
      </c>
      <c r="G18" s="7" t="str">
        <f t="shared" si="3"/>
        <v>integer</v>
      </c>
      <c r="H18" s="26"/>
      <c r="I18" s="10" t="s">
        <v>127</v>
      </c>
      <c r="J18" s="11" t="s">
        <v>2933</v>
      </c>
      <c r="M18" s="4"/>
      <c r="N18" s="78"/>
      <c r="O18" s="78"/>
      <c r="P18" s="78" t="str">
        <f t="shared" si="4"/>
        <v>,dp_no</v>
      </c>
      <c r="Q18" s="78" t="str">
        <f t="shared" si="0"/>
        <v>INTEGER</v>
      </c>
      <c r="R18" s="78" t="str">
        <f t="shared" si="1"/>
        <v/>
      </c>
      <c r="S18" s="78" t="str">
        <f t="shared" si="5"/>
        <v>NOT NULL</v>
      </c>
      <c r="T18" s="78" t="str">
        <f t="shared" si="6"/>
        <v>-- 診療科情報No</v>
      </c>
      <c r="U18" s="4"/>
      <c r="AA18" s="4"/>
      <c r="AB18" s="4"/>
      <c r="AC18" s="4"/>
      <c r="AD18" s="4"/>
      <c r="AE18" s="4"/>
      <c r="AF18" s="4"/>
      <c r="AG18" s="4"/>
      <c r="AH18" s="4"/>
      <c r="AI18" s="4"/>
      <c r="AJ18" s="78" t="str">
        <f>IF(E18="○",IF(COUNTA(E$13:E18)=1,"",",")&amp;D18,"")</f>
        <v>,dp_no</v>
      </c>
      <c r="AK18" s="4"/>
      <c r="AL18" s="4"/>
      <c r="AM18" s="4"/>
      <c r="AN18" s="4"/>
      <c r="AO18" s="4"/>
      <c r="AP18" s="4"/>
      <c r="AQ18" s="4"/>
      <c r="AR18" s="4"/>
      <c r="AS18" s="78"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2915</v>
      </c>
      <c r="D19" s="6" t="s">
        <v>2916</v>
      </c>
      <c r="E19" s="8" t="s">
        <v>127</v>
      </c>
      <c r="F19" s="7" t="s">
        <v>2802</v>
      </c>
      <c r="G19" s="7" t="str">
        <f t="shared" ref="G19:G26" si="7">IF(F19="フラグ","boolean",IF(F19="文字列","text",IF(F19="整数","integer",IF(F19="実数","numeric",""))))</f>
        <v>integer</v>
      </c>
      <c r="H19" s="26"/>
      <c r="I19" s="10" t="s">
        <v>127</v>
      </c>
      <c r="J19" s="11" t="s">
        <v>2934</v>
      </c>
      <c r="M19" s="4"/>
      <c r="N19" s="78"/>
      <c r="O19" s="78"/>
      <c r="P19" s="78" t="str">
        <f t="shared" ref="P19:P26" si="8">IF(B19&lt;&gt;1,","&amp;D19,D19)</f>
        <v>,dp_name_no</v>
      </c>
      <c r="Q19" s="78" t="str">
        <f t="shared" ref="Q19:Q26" si="9">UPPER(G19)</f>
        <v>INTEGER</v>
      </c>
      <c r="R19" s="78" t="str">
        <f t="shared" ref="R19:R26" si="10">IF(H19&lt;&gt;"","default "&amp;IF(G19="text","'"&amp;H19&amp;"'",H19),"")</f>
        <v/>
      </c>
      <c r="S19" s="78" t="str">
        <f t="shared" ref="S19:S26" si="11">IF(I19="○","NOT NULL","")</f>
        <v>NOT NULL</v>
      </c>
      <c r="T19" s="78" t="str">
        <f t="shared" ref="T19:T26" si="12">"-- "&amp;C19</f>
        <v>-- 診療科名称No</v>
      </c>
      <c r="U19" s="4"/>
      <c r="AA19" s="4"/>
      <c r="AB19" s="4"/>
      <c r="AC19" s="4"/>
      <c r="AD19" s="4"/>
      <c r="AE19" s="4"/>
      <c r="AF19" s="4"/>
      <c r="AG19" s="4"/>
      <c r="AH19" s="4"/>
      <c r="AI19" s="4"/>
      <c r="AJ19" s="78" t="str">
        <f>IF(E19="○",IF(COUNTA(E$13:E19)=1,"",",")&amp;D19,"")</f>
        <v>,dp_name_no</v>
      </c>
      <c r="AK19" s="4"/>
      <c r="AL19" s="4"/>
      <c r="AM19" s="4"/>
      <c r="AN19" s="4"/>
      <c r="AO19" s="4"/>
      <c r="AP19" s="4"/>
      <c r="AQ19" s="4"/>
      <c r="AR19" s="4"/>
      <c r="AS19" s="78"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2917</v>
      </c>
      <c r="D20" s="6" t="s">
        <v>2918</v>
      </c>
      <c r="E20" s="8"/>
      <c r="F20" s="7" t="s">
        <v>1841</v>
      </c>
      <c r="G20" s="7" t="str">
        <f t="shared" si="7"/>
        <v>text</v>
      </c>
      <c r="H20" s="26"/>
      <c r="I20" s="10"/>
      <c r="J20" s="11"/>
      <c r="M20" s="4"/>
      <c r="N20" s="78"/>
      <c r="O20" s="78"/>
      <c r="P20" s="78" t="str">
        <f t="shared" si="8"/>
        <v>,id</v>
      </c>
      <c r="Q20" s="78" t="str">
        <f t="shared" si="9"/>
        <v>TEXT</v>
      </c>
      <c r="R20" s="78" t="str">
        <f t="shared" si="10"/>
        <v/>
      </c>
      <c r="S20" s="78" t="str">
        <f t="shared" si="11"/>
        <v/>
      </c>
      <c r="T20" s="78" t="str">
        <f t="shared" si="12"/>
        <v>-- 診療科ID</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milscm_2023_009.sny_202310_backup_text_mml_mmlre_dp.id IS '診療科ID';</v>
      </c>
    </row>
    <row r="21" spans="1:52" s="25" customFormat="1">
      <c r="A21" s="4"/>
      <c r="B21" s="21">
        <f t="shared" si="2"/>
        <v>9</v>
      </c>
      <c r="C21" s="6" t="s">
        <v>2919</v>
      </c>
      <c r="D21" s="6" t="s">
        <v>2920</v>
      </c>
      <c r="E21" s="8"/>
      <c r="F21" s="7" t="s">
        <v>1841</v>
      </c>
      <c r="G21" s="7" t="str">
        <f t="shared" si="7"/>
        <v>text</v>
      </c>
      <c r="H21" s="26"/>
      <c r="I21" s="10"/>
      <c r="J21" s="11"/>
      <c r="M21" s="4"/>
      <c r="N21" s="78"/>
      <c r="O21" s="78"/>
      <c r="P21" s="78" t="str">
        <f t="shared" si="8"/>
        <v>,type</v>
      </c>
      <c r="Q21" s="78" t="str">
        <f t="shared" si="9"/>
        <v>TEXT</v>
      </c>
      <c r="R21" s="78" t="str">
        <f t="shared" si="10"/>
        <v/>
      </c>
      <c r="S21" s="78" t="str">
        <f t="shared" si="11"/>
        <v/>
      </c>
      <c r="T21" s="78" t="str">
        <f t="shared" si="12"/>
        <v>-- 診療科ID_種類コード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2921</v>
      </c>
      <c r="D22" s="6" t="s">
        <v>2830</v>
      </c>
      <c r="E22" s="8"/>
      <c r="F22" s="7" t="s">
        <v>1841</v>
      </c>
      <c r="G22" s="7" t="str">
        <f t="shared" si="7"/>
        <v>text</v>
      </c>
      <c r="H22" s="26"/>
      <c r="I22" s="10"/>
      <c r="J22" s="11"/>
      <c r="M22" s="4"/>
      <c r="N22" s="78"/>
      <c r="O22" s="78"/>
      <c r="P22" s="78" t="str">
        <f t="shared" si="8"/>
        <v>,table_id</v>
      </c>
      <c r="Q22" s="78" t="str">
        <f t="shared" si="9"/>
        <v>TEXT</v>
      </c>
      <c r="R22" s="78" t="str">
        <f t="shared" si="10"/>
        <v/>
      </c>
      <c r="S22" s="78" t="str">
        <f t="shared" si="11"/>
        <v/>
      </c>
      <c r="T22" s="78" t="str">
        <f t="shared" si="12"/>
        <v>-- 診療科ID_テーブル名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2922</v>
      </c>
      <c r="D23" s="6" t="s">
        <v>2923</v>
      </c>
      <c r="E23" s="8"/>
      <c r="F23" s="7" t="s">
        <v>2802</v>
      </c>
      <c r="G23" s="7" t="str">
        <f t="shared" si="7"/>
        <v>integer</v>
      </c>
      <c r="H23" s="26"/>
      <c r="I23" s="10"/>
      <c r="J23" s="11"/>
      <c r="M23" s="4"/>
      <c r="N23" s="78"/>
      <c r="O23" s="78"/>
      <c r="P23" s="78" t="str">
        <f t="shared" si="8"/>
        <v>,check_digit</v>
      </c>
      <c r="Q23" s="78" t="str">
        <f t="shared" si="9"/>
        <v>INTEGER</v>
      </c>
      <c r="R23" s="78" t="str">
        <f t="shared" si="10"/>
        <v/>
      </c>
      <c r="S23" s="78" t="str">
        <f t="shared" si="11"/>
        <v/>
      </c>
      <c r="T23" s="78" t="str">
        <f t="shared" si="12"/>
        <v>-- 診療科ID_チェックディジット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2924</v>
      </c>
      <c r="D24" s="6" t="s">
        <v>2925</v>
      </c>
      <c r="E24" s="8"/>
      <c r="F24" s="7" t="s">
        <v>1841</v>
      </c>
      <c r="G24" s="7" t="str">
        <f t="shared" si="7"/>
        <v>text</v>
      </c>
      <c r="H24" s="26"/>
      <c r="I24" s="10"/>
      <c r="J24" s="11"/>
      <c r="M24" s="4"/>
      <c r="N24" s="78"/>
      <c r="O24" s="78"/>
      <c r="P24" s="78" t="str">
        <f t="shared" si="8"/>
        <v>,check_digit_schema</v>
      </c>
      <c r="Q24" s="78" t="str">
        <f t="shared" si="9"/>
        <v>TEXT</v>
      </c>
      <c r="R24" s="78" t="str">
        <f t="shared" si="10"/>
        <v/>
      </c>
      <c r="S24" s="78" t="str">
        <f t="shared" si="11"/>
        <v/>
      </c>
      <c r="T24" s="78" t="str">
        <f t="shared" si="12"/>
        <v>-- 診療科ID_チェックディジット方式</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2926</v>
      </c>
      <c r="D25" s="6" t="s">
        <v>2927</v>
      </c>
      <c r="E25" s="8"/>
      <c r="F25" s="7" t="s">
        <v>1841</v>
      </c>
      <c r="G25" s="7" t="str">
        <f t="shared" si="7"/>
        <v>text</v>
      </c>
      <c r="H25" s="26"/>
      <c r="I25" s="10"/>
      <c r="J25" s="11"/>
      <c r="M25" s="4"/>
      <c r="N25" s="78"/>
      <c r="O25" s="78"/>
      <c r="P25" s="78" t="str">
        <f t="shared" si="8"/>
        <v>,dp_name</v>
      </c>
      <c r="Q25" s="78" t="str">
        <f t="shared" si="9"/>
        <v>TEXT</v>
      </c>
      <c r="R25" s="78" t="str">
        <f t="shared" si="10"/>
        <v/>
      </c>
      <c r="S25" s="78" t="str">
        <f t="shared" si="11"/>
        <v/>
      </c>
      <c r="T25" s="78" t="str">
        <f t="shared" si="12"/>
        <v>-- 診療科名称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2928</v>
      </c>
      <c r="D26" s="6" t="s">
        <v>2929</v>
      </c>
      <c r="E26" s="8"/>
      <c r="F26" s="7" t="s">
        <v>1841</v>
      </c>
      <c r="G26" s="7" t="str">
        <f t="shared" si="7"/>
        <v>text</v>
      </c>
      <c r="H26" s="26"/>
      <c r="I26" s="10"/>
      <c r="J26" s="11"/>
      <c r="M26" s="4"/>
      <c r="N26" s="78"/>
      <c r="O26" s="78"/>
      <c r="P26" s="78" t="str">
        <f t="shared" si="8"/>
        <v>,dp_name_rep_code</v>
      </c>
      <c r="Q26" s="78" t="str">
        <f t="shared" si="9"/>
        <v>TEXT</v>
      </c>
      <c r="R26" s="78" t="str">
        <f t="shared" si="10"/>
        <v/>
      </c>
      <c r="S26" s="78" t="str">
        <f t="shared" si="11"/>
        <v/>
      </c>
      <c r="T26" s="78" t="str">
        <f t="shared" si="12"/>
        <v>-- 診療科名称_表記法</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milscm_2023_009.sny_202310_backup_text_mml_mmlre_dp.dp_name_rep_code IS '診療科名称_表記法';</v>
      </c>
    </row>
    <row r="27" spans="1:52" s="25" customFormat="1" ht="35.4" customHeight="1" thickBot="1">
      <c r="A27" s="4"/>
      <c r="B27" s="27">
        <f>ROW()-12</f>
        <v>15</v>
      </c>
      <c r="C27" s="57" t="s">
        <v>2930</v>
      </c>
      <c r="D27" s="57" t="s">
        <v>2931</v>
      </c>
      <c r="E27" s="56"/>
      <c r="F27" s="56" t="s">
        <v>1841</v>
      </c>
      <c r="G27" s="56" t="str">
        <f t="shared" si="3"/>
        <v>text</v>
      </c>
      <c r="H27" s="59"/>
      <c r="I27" s="60"/>
      <c r="J27" s="64"/>
      <c r="N27" s="78"/>
      <c r="O27" s="78"/>
      <c r="P27" s="78" t="str">
        <f t="shared" si="4"/>
        <v>,dp_name_table_id</v>
      </c>
      <c r="Q27" s="78" t="str">
        <f t="shared" si="0"/>
        <v>TEXT</v>
      </c>
      <c r="R27" s="78" t="str">
        <f t="shared" si="1"/>
        <v/>
      </c>
      <c r="S27" s="78" t="str">
        <f t="shared" si="5"/>
        <v/>
      </c>
      <c r="T27" s="78" t="str">
        <f t="shared" si="6"/>
        <v>-- 診療科名称_テーブル名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milscm_2023_009.sny_202310_backup_text_mml_mmlre_dp.dp_name_table_id IS '診療科名称_テーブル名';</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ENT_01_C1-01</v>
      </c>
      <c r="E6" s="251"/>
      <c r="F6" s="251"/>
      <c r="G6" s="251"/>
      <c r="H6" s="251"/>
      <c r="I6" s="251"/>
      <c r="J6" s="252"/>
    </row>
    <row r="7" spans="1:45">
      <c r="B7" s="240" t="s">
        <v>115</v>
      </c>
      <c r="C7" s="241"/>
      <c r="D7" s="242" t="s">
        <v>198</v>
      </c>
      <c r="E7" s="243"/>
      <c r="F7" s="243"/>
      <c r="G7" s="243"/>
      <c r="H7" s="243"/>
      <c r="I7" s="243"/>
      <c r="J7" s="244"/>
    </row>
    <row r="8" spans="1:45">
      <c r="B8" s="240" t="s">
        <v>116</v>
      </c>
      <c r="C8" s="241"/>
      <c r="D8" s="242" t="str">
        <f>エンティティ一覧!AE2&amp;"_"&amp;D5&amp;"_merge_dpc_dn"</f>
        <v>sny_202310_backup_merge_dpc_dn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milscm_2023_009.sny_202310_backup_merge_dpc_dn;</v>
      </c>
      <c r="O10" s="78"/>
      <c r="P10" s="78"/>
      <c r="Q10" s="78"/>
      <c r="R10" s="78"/>
      <c r="S10" s="78"/>
      <c r="T10" s="78"/>
      <c r="AJ10" s="78" t="str">
        <f>"ALTER TABLE ONLY "&amp;エンティティ一覧!$O$2&amp;"."&amp;D$8</f>
        <v>ALTER TABLE ONLY milscm_2023_009.sny_202310_backup_merge_dpc_dn</v>
      </c>
      <c r="AS10" s="78" t="str">
        <f>"ALTER TABLE "&amp;エンティティ一覧!$O$2&amp;"."&amp;D$8&amp;" OWNER TO pgmisgrp1;"</f>
        <v>ALTER TABLE milscm_2023_009.sny_202310_backup_merge_dpc_dn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milscm_2023_009.sny_202310_backup_merge_dpc_dn</v>
      </c>
      <c r="O11" s="78"/>
      <c r="P11" s="78"/>
      <c r="Q11" s="78"/>
      <c r="R11" s="78"/>
      <c r="S11" s="78"/>
      <c r="T11" s="78"/>
      <c r="AJ11" s="78" t="str">
        <f>"ADD CONSTRAINT "&amp;D$8&amp;"_pkey PRIMARY KEY"</f>
        <v>ADD CONSTRAINT sny_202310_backup_merge_dpc_dn_pkey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milscm_2023_009.sny_202310_backup_merge_dpc_dn.mil_karute_id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milscm_2023_009.sny_202310_backup_merge_dpc_dn.facility_id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milscm_2023_009.sny_202310_backup_merge_dpc_dn.shikibetsu_no IS 'データ識別番号';</v>
      </c>
    </row>
    <row r="19" spans="1:45" s="25" customFormat="1" ht="34.799999999999997">
      <c r="B19" s="21">
        <f t="shared" si="2"/>
        <v>7</v>
      </c>
      <c r="C19" s="6" t="s">
        <v>211</v>
      </c>
      <c r="D19" s="6" t="s">
        <v>212</v>
      </c>
      <c r="E19" s="7" t="s">
        <v>127</v>
      </c>
      <c r="F19" s="7" t="s">
        <v>201</v>
      </c>
      <c r="G19" s="7" t="str">
        <f t="shared" si="3"/>
        <v>text</v>
      </c>
      <c r="H19" s="9"/>
      <c r="I19" s="10" t="s">
        <v>127</v>
      </c>
      <c r="J19" s="53" t="s">
        <v>261</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8"/>
      <c r="O23" s="78"/>
      <c r="P23" s="78" t="str">
        <f t="shared" si="4"/>
        <v>,tensu_master_code</v>
      </c>
      <c r="Q23" s="78" t="str">
        <f t="shared" si="0"/>
        <v>TEXT</v>
      </c>
      <c r="R23" s="78" t="str">
        <f t="shared" si="1"/>
        <v/>
      </c>
      <c r="S23" s="78" t="str">
        <f t="shared" si="5"/>
        <v/>
      </c>
      <c r="T23" s="78" t="str">
        <f t="shared" si="6"/>
        <v>-- 病院点数マスタコード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8"/>
      <c r="O24" s="78"/>
      <c r="P24" s="78" t="str">
        <f t="shared" ref="P24:P45" si="7">IF(B24&lt;&gt;1,","&amp;D24,D24)</f>
        <v>,receipt_densan_code</v>
      </c>
      <c r="Q24" s="78" t="str">
        <f t="shared" ref="Q24:Q45" si="8">UPPER(G24)</f>
        <v>TEXT</v>
      </c>
      <c r="R24" s="78" t="str">
        <f t="shared" ref="R24:R45" si="9">IF(H24&lt;&gt;"","default "&amp;IF(G24="text","'"&amp;H24&amp;"'",H24),"")</f>
        <v/>
      </c>
      <c r="S24" s="78" t="str">
        <f t="shared" ref="S24:S45" si="10">IF(I24="○","NOT NULL","")</f>
        <v/>
      </c>
      <c r="T24" s="78" t="str">
        <f t="shared" ref="T24:T45" si="11">"-- "&amp;C24</f>
        <v>-- レセプト電算処理システム用コード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8"/>
      <c r="O25" s="78"/>
      <c r="P25" s="78" t="str">
        <f t="shared" si="7"/>
        <v>,kaishaku_no</v>
      </c>
      <c r="Q25" s="78" t="str">
        <f t="shared" si="8"/>
        <v>TEXT</v>
      </c>
      <c r="R25" s="78" t="str">
        <f t="shared" si="9"/>
        <v/>
      </c>
      <c r="S25" s="78" t="str">
        <f t="shared" si="10"/>
        <v/>
      </c>
      <c r="T25" s="78" t="str">
        <f t="shared" si="11"/>
        <v>-- 解釈番号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8"/>
      <c r="O26" s="78"/>
      <c r="P26" s="78" t="str">
        <f t="shared" si="7"/>
        <v>,shinryo_koi_name</v>
      </c>
      <c r="Q26" s="78" t="str">
        <f t="shared" si="8"/>
        <v>TEXT</v>
      </c>
      <c r="R26" s="78" t="str">
        <f t="shared" si="9"/>
        <v/>
      </c>
      <c r="S26" s="78" t="str">
        <f t="shared" si="10"/>
        <v/>
      </c>
      <c r="T26" s="78" t="str">
        <f t="shared" si="11"/>
        <v>-- 診療行為名称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8"/>
      <c r="O27" s="78"/>
      <c r="P27" s="78" t="str">
        <f t="shared" si="7"/>
        <v>,koi_tensu</v>
      </c>
      <c r="Q27" s="78" t="str">
        <f t="shared" si="8"/>
        <v>NUMERIC</v>
      </c>
      <c r="R27" s="78" t="str">
        <f t="shared" si="9"/>
        <v/>
      </c>
      <c r="S27" s="78" t="str">
        <f t="shared" si="10"/>
        <v/>
      </c>
      <c r="T27" s="78" t="str">
        <f t="shared" si="11"/>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8"/>
      <c r="O28" s="78"/>
      <c r="P28" s="78" t="str">
        <f t="shared" si="7"/>
        <v>,koi_yakuzai</v>
      </c>
      <c r="Q28" s="78" t="str">
        <f t="shared" si="8"/>
        <v>NUMERIC</v>
      </c>
      <c r="R28" s="78" t="str">
        <f t="shared" si="9"/>
        <v/>
      </c>
      <c r="S28" s="78" t="str">
        <f t="shared" si="10"/>
        <v/>
      </c>
      <c r="T28" s="78" t="str">
        <f t="shared" si="11"/>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8"/>
      <c r="O29" s="78"/>
      <c r="P29" s="78" t="str">
        <f t="shared" si="7"/>
        <v>,koi_zairyo</v>
      </c>
      <c r="Q29" s="78" t="str">
        <f t="shared" si="8"/>
        <v>NUMERIC</v>
      </c>
      <c r="R29" s="78" t="str">
        <f t="shared" si="9"/>
        <v/>
      </c>
      <c r="S29" s="78" t="str">
        <f t="shared" si="10"/>
        <v/>
      </c>
      <c r="T29" s="78" t="str">
        <f t="shared" si="11"/>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8"/>
      <c r="O30" s="78"/>
      <c r="P30" s="78" t="str">
        <f t="shared" si="7"/>
        <v>,ten_kubun</v>
      </c>
      <c r="Q30" s="78" t="str">
        <f t="shared" si="8"/>
        <v>TEXT</v>
      </c>
      <c r="R30" s="78" t="str">
        <f t="shared" si="9"/>
        <v/>
      </c>
      <c r="S30" s="78" t="str">
        <f t="shared" si="10"/>
        <v/>
      </c>
      <c r="T30" s="78" t="str">
        <f t="shared" si="11"/>
        <v>-- 円・点区分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8"/>
      <c r="O31" s="78"/>
      <c r="P31" s="78" t="str">
        <f t="shared" si="7"/>
        <v>,koi_times</v>
      </c>
      <c r="Q31" s="78" t="str">
        <f t="shared" si="8"/>
        <v>NUMERIC</v>
      </c>
      <c r="R31" s="78" t="str">
        <f t="shared" si="9"/>
        <v/>
      </c>
      <c r="S31" s="78" t="str">
        <f t="shared" si="10"/>
        <v/>
      </c>
      <c r="T31" s="78" t="str">
        <f t="shared" si="11"/>
        <v>-- 行為回数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8"/>
      <c r="O32" s="78"/>
      <c r="P32" s="78" t="str">
        <f t="shared" si="7"/>
        <v>,hoken_no</v>
      </c>
      <c r="Q32" s="78" t="str">
        <f t="shared" si="8"/>
        <v>TEXT</v>
      </c>
      <c r="R32" s="78" t="str">
        <f t="shared" si="9"/>
        <v/>
      </c>
      <c r="S32" s="78" t="str">
        <f t="shared" si="10"/>
        <v/>
      </c>
      <c r="T32" s="78" t="str">
        <f t="shared" si="11"/>
        <v>-- 保険者番号</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8"/>
      <c r="O33" s="78"/>
      <c r="P33" s="78" t="str">
        <f t="shared" si="7"/>
        <v>,receipt_type_code</v>
      </c>
      <c r="Q33" s="78" t="str">
        <f t="shared" si="8"/>
        <v>TEXT</v>
      </c>
      <c r="R33" s="78" t="str">
        <f t="shared" si="9"/>
        <v/>
      </c>
      <c r="S33" s="78" t="str">
        <f t="shared" si="10"/>
        <v/>
      </c>
      <c r="T33" s="78" t="str">
        <f t="shared" si="11"/>
        <v>-- レセプト種別コード</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8"/>
      <c r="O34" s="78"/>
      <c r="P34" s="78" t="str">
        <f t="shared" si="7"/>
        <v>,jisshi_ymd</v>
      </c>
      <c r="Q34" s="78" t="str">
        <f t="shared" si="8"/>
        <v>TEXT</v>
      </c>
      <c r="R34" s="78" t="str">
        <f t="shared" si="9"/>
        <v/>
      </c>
      <c r="S34" s="78" t="str">
        <f t="shared" si="10"/>
        <v/>
      </c>
      <c r="T34" s="78" t="str">
        <f t="shared" si="11"/>
        <v>-- 実施年月日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8"/>
      <c r="O35" s="78"/>
      <c r="P35" s="78" t="str">
        <f t="shared" si="7"/>
        <v>,receipt_ka_kubun</v>
      </c>
      <c r="Q35" s="78" t="str">
        <f t="shared" si="8"/>
        <v>TEXT</v>
      </c>
      <c r="R35" s="78" t="str">
        <f t="shared" si="9"/>
        <v/>
      </c>
      <c r="S35" s="78" t="str">
        <f t="shared" si="10"/>
        <v/>
      </c>
      <c r="T35" s="78" t="str">
        <f t="shared" si="11"/>
        <v>-- レセプト科区分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8"/>
      <c r="O36" s="78"/>
      <c r="P36" s="78" t="str">
        <f t="shared" si="7"/>
        <v>,department_kubun</v>
      </c>
      <c r="Q36" s="78" t="str">
        <f t="shared" si="8"/>
        <v>TEXT</v>
      </c>
      <c r="R36" s="78" t="str">
        <f t="shared" si="9"/>
        <v/>
      </c>
      <c r="S36" s="78" t="str">
        <f t="shared" si="10"/>
        <v/>
      </c>
      <c r="T36" s="78" t="str">
        <f t="shared" si="11"/>
        <v>-- 診療科区分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8"/>
      <c r="O37" s="78"/>
      <c r="P37" s="78" t="str">
        <f t="shared" si="7"/>
        <v>,doctor_code</v>
      </c>
      <c r="Q37" s="78" t="str">
        <f t="shared" si="8"/>
        <v>TEXT</v>
      </c>
      <c r="R37" s="78" t="str">
        <f t="shared" si="9"/>
        <v/>
      </c>
      <c r="S37" s="78" t="str">
        <f t="shared" si="10"/>
        <v/>
      </c>
      <c r="T37" s="78" t="str">
        <f t="shared" si="11"/>
        <v>-- 医師コード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8"/>
      <c r="O38" s="78"/>
      <c r="P38" s="78" t="str">
        <f t="shared" si="7"/>
        <v>,ward_code</v>
      </c>
      <c r="Q38" s="78" t="str">
        <f t="shared" si="8"/>
        <v>TEXT</v>
      </c>
      <c r="R38" s="78" t="str">
        <f t="shared" si="9"/>
        <v/>
      </c>
      <c r="S38" s="78" t="str">
        <f t="shared" si="10"/>
        <v/>
      </c>
      <c r="T38" s="78" t="str">
        <f t="shared" si="11"/>
        <v>-- 病棟コード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8"/>
      <c r="O39" s="78"/>
      <c r="P39" s="78" t="str">
        <f t="shared" si="7"/>
        <v>,ward_kubun</v>
      </c>
      <c r="Q39" s="78" t="str">
        <f t="shared" si="8"/>
        <v>TEXT</v>
      </c>
      <c r="R39" s="78" t="str">
        <f t="shared" si="9"/>
        <v/>
      </c>
      <c r="S39" s="78" t="str">
        <f t="shared" si="10"/>
        <v/>
      </c>
      <c r="T39" s="78" t="str">
        <f t="shared" si="11"/>
        <v>-- 病棟区分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8"/>
      <c r="O40" s="78"/>
      <c r="P40" s="78" t="str">
        <f t="shared" si="7"/>
        <v>,nyugai_kubun</v>
      </c>
      <c r="Q40" s="78" t="str">
        <f t="shared" si="8"/>
        <v>TEXT</v>
      </c>
      <c r="R40" s="78" t="str">
        <f t="shared" si="9"/>
        <v/>
      </c>
      <c r="S40" s="78" t="str">
        <f t="shared" si="10"/>
        <v/>
      </c>
      <c r="T40" s="78" t="str">
        <f t="shared" si="11"/>
        <v>-- 入外区分</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8"/>
      <c r="O41" s="78"/>
      <c r="P41" s="78" t="str">
        <f t="shared" si="7"/>
        <v>,facility_type</v>
      </c>
      <c r="Q41" s="78" t="str">
        <f t="shared" si="8"/>
        <v>TEXT</v>
      </c>
      <c r="R41" s="78" t="str">
        <f t="shared" si="9"/>
        <v/>
      </c>
      <c r="S41" s="78" t="str">
        <f t="shared" si="10"/>
        <v/>
      </c>
      <c r="T41" s="78" t="str">
        <f t="shared" si="11"/>
        <v>-- 施設タイプ</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8"/>
      <c r="O42" s="78"/>
      <c r="P42" s="78" t="str">
        <f t="shared" si="7"/>
        <v>,santei_start_ymd</v>
      </c>
      <c r="Q42" s="78" t="str">
        <f t="shared" si="8"/>
        <v>TEXT</v>
      </c>
      <c r="R42" s="78" t="str">
        <f t="shared" si="9"/>
        <v/>
      </c>
      <c r="S42" s="78" t="str">
        <f t="shared" si="10"/>
        <v/>
      </c>
      <c r="T42" s="78" t="str">
        <f t="shared" si="11"/>
        <v>-- 算定開始日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8"/>
      <c r="O43" s="78"/>
      <c r="P43" s="78" t="str">
        <f t="shared" si="7"/>
        <v>,santei_end_ymd</v>
      </c>
      <c r="Q43" s="78" t="str">
        <f t="shared" si="8"/>
        <v>TEXT</v>
      </c>
      <c r="R43" s="78" t="str">
        <f t="shared" si="9"/>
        <v/>
      </c>
      <c r="S43" s="78" t="str">
        <f t="shared" si="10"/>
        <v/>
      </c>
      <c r="T43" s="78" t="str">
        <f t="shared" si="11"/>
        <v>-- 算定終了日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8"/>
      <c r="O44" s="78"/>
      <c r="P44" s="78" t="str">
        <f t="shared" si="7"/>
        <v>,santei_kisan_ymd</v>
      </c>
      <c r="Q44" s="78" t="str">
        <f t="shared" si="8"/>
        <v>TEXT</v>
      </c>
      <c r="R44" s="78" t="str">
        <f t="shared" si="9"/>
        <v/>
      </c>
      <c r="S44" s="78" t="str">
        <f t="shared" si="10"/>
        <v/>
      </c>
      <c r="T44" s="78" t="str">
        <f t="shared" si="11"/>
        <v>-- 算定起算日</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8"/>
      <c r="O45" s="78"/>
      <c r="P45" s="78" t="str">
        <f t="shared" si="7"/>
        <v>,bunrui_no</v>
      </c>
      <c r="Q45" s="78" t="str">
        <f t="shared" si="8"/>
        <v>TEXT</v>
      </c>
      <c r="R45" s="78" t="str">
        <f t="shared" si="9"/>
        <v/>
      </c>
      <c r="S45" s="78" t="str">
        <f t="shared" si="10"/>
        <v/>
      </c>
      <c r="T45" s="78" t="str">
        <f t="shared" si="11"/>
        <v>-- 分類番号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milscm_2023_009.sny_202310_backup_merge_dpc_dn.bunrui_no IS '分類番号';</v>
      </c>
    </row>
    <row r="46" spans="1:45" s="25" customFormat="1" ht="35.4" thickBot="1">
      <c r="A46" s="4"/>
      <c r="B46" s="27">
        <f>ROW()-12</f>
        <v>34</v>
      </c>
      <c r="C46" s="28" t="s">
        <v>254</v>
      </c>
      <c r="D46" s="28" t="s">
        <v>255</v>
      </c>
      <c r="E46" s="29"/>
      <c r="F46" s="29" t="s">
        <v>201</v>
      </c>
      <c r="G46" s="56" t="str">
        <f t="shared" si="3"/>
        <v>text</v>
      </c>
      <c r="H46" s="30"/>
      <c r="I46" s="31"/>
      <c r="J46" s="55" t="s">
        <v>264</v>
      </c>
      <c r="N46" s="78"/>
      <c r="O46" s="78"/>
      <c r="P46" s="78" t="str">
        <f t="shared" si="4"/>
        <v>,hospital_keisu</v>
      </c>
      <c r="Q46" s="78" t="str">
        <f t="shared" si="0"/>
        <v>TEXT</v>
      </c>
      <c r="R46" s="78" t="str">
        <f t="shared" si="1"/>
        <v/>
      </c>
      <c r="S46" s="78" t="str">
        <f t="shared" si="5"/>
        <v/>
      </c>
      <c r="T46" s="78" t="str">
        <f t="shared" si="6"/>
        <v>-- 医療機関係数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milscm_2023_009.sny_202310_backup_merge_dpc_dn.hospital_keisu IS '医療機関係数';</v>
      </c>
    </row>
    <row r="47" spans="1:45">
      <c r="M47" s="25"/>
      <c r="N47" s="78" t="s">
        <v>142</v>
      </c>
      <c r="O47" s="78"/>
      <c r="P47" s="78"/>
      <c r="Q47" s="78"/>
      <c r="R47" s="78"/>
      <c r="S47" s="78"/>
      <c r="T47" s="78"/>
      <c r="V47" s="25"/>
      <c r="W47" s="25"/>
      <c r="X47" s="25"/>
      <c r="Y47" s="25"/>
      <c r="Z47" s="25"/>
      <c r="AJ47" s="78"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ENT_01_C1-02</v>
      </c>
      <c r="E6" s="251"/>
      <c r="F6" s="251"/>
      <c r="G6" s="251"/>
      <c r="H6" s="251"/>
      <c r="I6" s="251"/>
      <c r="J6" s="252"/>
    </row>
    <row r="7" spans="1:45">
      <c r="B7" s="240" t="s">
        <v>115</v>
      </c>
      <c r="C7" s="241"/>
      <c r="D7" s="242" t="s">
        <v>192</v>
      </c>
      <c r="E7" s="243"/>
      <c r="F7" s="243"/>
      <c r="G7" s="243"/>
      <c r="H7" s="243"/>
      <c r="I7" s="243"/>
      <c r="J7" s="244"/>
    </row>
    <row r="8" spans="1:45">
      <c r="B8" s="240" t="s">
        <v>116</v>
      </c>
      <c r="C8" s="241"/>
      <c r="D8" s="242" t="str">
        <f>エンティティ一覧!AE2&amp;"_"&amp;D5&amp;"_merge_dpc_efn"</f>
        <v>sny_202310_backup_merge_dpc_efn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milscm_2023_009.sny_202310_backup_merge_dpc_efn;</v>
      </c>
      <c r="O10" s="78"/>
      <c r="P10" s="78"/>
      <c r="Q10" s="78"/>
      <c r="R10" s="78"/>
      <c r="S10" s="78"/>
      <c r="T10" s="78"/>
      <c r="AJ10" s="78" t="str">
        <f>"ALTER TABLE ONLY "&amp;エンティティ一覧!$O$2&amp;"."&amp;D$8</f>
        <v>ALTER TABLE ONLY milscm_2023_009.sny_202310_backup_merge_dpc_efn</v>
      </c>
      <c r="AS10" s="78" t="str">
        <f>"ALTER TABLE "&amp;エンティティ一覧!$O$2&amp;"."&amp;D$8&amp;" OWNER TO pgmisgrp1;"</f>
        <v>ALTER TABLE milscm_2023_009.sny_202310_backup_merge_dpc_efn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milscm_2023_009.sny_202310_backup_merge_dpc_efn</v>
      </c>
      <c r="O11" s="78"/>
      <c r="P11" s="78"/>
      <c r="Q11" s="78"/>
      <c r="R11" s="78"/>
      <c r="S11" s="78"/>
      <c r="T11" s="78"/>
      <c r="AJ11" s="78" t="str">
        <f>"ADD CONSTRAINT "&amp;D$8&amp;"_pkey PRIMARY KEY"</f>
        <v>ADD CONSTRAINT sny_202310_backup_merge_dpc_efn_pkey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milscm_2023_009.sny_202310_backup_merge_dpc_efn.dekidaka_tensu IS '出来高実績点数';</v>
      </c>
    </row>
    <row r="33" spans="1:47" s="25" customFormat="1" ht="52.2">
      <c r="A33" s="4"/>
      <c r="B33" s="21">
        <f t="shared" si="2"/>
        <v>21</v>
      </c>
      <c r="C33" s="6" t="s">
        <v>281</v>
      </c>
      <c r="D33" s="6" t="s">
        <v>132</v>
      </c>
      <c r="E33" s="8"/>
      <c r="F33" s="8" t="s">
        <v>201</v>
      </c>
      <c r="G33" s="7" t="str">
        <f t="shared" si="3"/>
        <v>text</v>
      </c>
      <c r="H33" s="9"/>
      <c r="I33" s="10"/>
      <c r="J33" s="53" t="s">
        <v>298</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milscm_2023_009.sny_202310_backup_merge_dpc_efn.koi_meisai_kubun IS '行為明細区分情報';</v>
      </c>
    </row>
    <row r="34" spans="1:47" s="25" customFormat="1" ht="52.2">
      <c r="A34" s="4"/>
      <c r="B34" s="21">
        <f t="shared" si="2"/>
        <v>22</v>
      </c>
      <c r="C34" s="6" t="s">
        <v>282</v>
      </c>
      <c r="D34" s="6" t="s">
        <v>224</v>
      </c>
      <c r="E34" s="8"/>
      <c r="F34" s="8" t="s">
        <v>225</v>
      </c>
      <c r="G34" s="7" t="str">
        <f t="shared" si="3"/>
        <v>numeric</v>
      </c>
      <c r="H34" s="9"/>
      <c r="I34" s="10"/>
      <c r="J34" s="53"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8"/>
      <c r="O40" s="78"/>
      <c r="P40" s="78" t="str">
        <f t="shared" si="4"/>
        <v>,jisshi_ymd</v>
      </c>
      <c r="Q40" s="78" t="str">
        <f t="shared" si="0"/>
        <v>TEXT</v>
      </c>
      <c r="R40" s="78" t="str">
        <f t="shared" si="1"/>
        <v/>
      </c>
      <c r="S40" s="78" t="str">
        <f t="shared" si="5"/>
        <v>NOT NULL</v>
      </c>
      <c r="T40" s="78" t="str">
        <f t="shared" si="6"/>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milscm_2023_009.sny_202310_backup_merge_dpc_efn.nyugai_kubun IS '入外区分';</v>
      </c>
    </row>
    <row r="47" spans="1:47" s="25" customFormat="1" ht="18" thickBot="1">
      <c r="A47" s="4"/>
      <c r="B47" s="27">
        <f>ROW()-12</f>
        <v>35</v>
      </c>
      <c r="C47" s="28" t="s">
        <v>294</v>
      </c>
      <c r="D47" s="28" t="s">
        <v>245</v>
      </c>
      <c r="E47" s="29"/>
      <c r="F47" s="29" t="s">
        <v>201</v>
      </c>
      <c r="G47" s="56" t="str">
        <f t="shared" si="3"/>
        <v>text</v>
      </c>
      <c r="H47" s="30"/>
      <c r="I47" s="31"/>
      <c r="J47" s="55"/>
      <c r="N47" s="78"/>
      <c r="O47" s="78"/>
      <c r="P47" s="78" t="str">
        <f t="shared" ref="P47" si="7">IF(B47&lt;&gt;1,","&amp;D47,D47)</f>
        <v>,facility_type</v>
      </c>
      <c r="Q47" s="78" t="str">
        <f t="shared" ref="Q47" si="8">UPPER(G47)</f>
        <v>TEXT</v>
      </c>
      <c r="R47" s="78" t="str">
        <f t="shared" ref="R47" si="9">IF(H47&lt;&gt;"","default "&amp;IF(G47="text","'"&amp;H47&amp;"'",H47),"")</f>
        <v/>
      </c>
      <c r="S47" s="78" t="str">
        <f t="shared" ref="S47" si="10">IF(I47="○","NOT NULL","")</f>
        <v/>
      </c>
      <c r="T47" s="78" t="str">
        <f t="shared" ref="T47" si="11">"-- "&amp;C47</f>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milscm_2023_009.sny_202310_backup_merge_dpc_efn.facility_type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ENT_01_C1-03</v>
      </c>
      <c r="E6" s="251"/>
      <c r="F6" s="251"/>
      <c r="G6" s="251"/>
      <c r="H6" s="251"/>
      <c r="I6" s="251"/>
      <c r="J6" s="252"/>
    </row>
    <row r="7" spans="1:45">
      <c r="B7" s="240" t="s">
        <v>115</v>
      </c>
      <c r="C7" s="241"/>
      <c r="D7" s="242" t="s">
        <v>180</v>
      </c>
      <c r="E7" s="243"/>
      <c r="F7" s="243"/>
      <c r="G7" s="243"/>
      <c r="H7" s="243"/>
      <c r="I7" s="243"/>
      <c r="J7" s="244"/>
    </row>
    <row r="8" spans="1:45">
      <c r="B8" s="240" t="s">
        <v>116</v>
      </c>
      <c r="C8" s="241"/>
      <c r="D8" s="242" t="str">
        <f>エンティティ一覧!AE2&amp;"_"&amp;D5&amp;"_merge_dpc_efg"</f>
        <v>sny_202310_backup_merge_dpc_efg</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milscm_2023_009.sny_202310_backup_merge_dpc_efg;</v>
      </c>
      <c r="O10" s="78"/>
      <c r="P10" s="78"/>
      <c r="Q10" s="78"/>
      <c r="R10" s="78"/>
      <c r="S10" s="78"/>
      <c r="T10" s="78"/>
      <c r="AJ10" s="78" t="str">
        <f>"ALTER TABLE ONLY "&amp;エンティティ一覧!$O$2&amp;"."&amp;D$8</f>
        <v>ALTER TABLE ONLY milscm_2023_009.sny_202310_backup_merge_dpc_efg</v>
      </c>
      <c r="AS10" s="78" t="str">
        <f>"ALTER TABLE "&amp;エンティティ一覧!$O$2&amp;"."&amp;D$8&amp;" OWNER TO pgmisgrp1;"</f>
        <v>ALTER TABLE milscm_2023_009.sny_202310_backup_merge_dpc_efg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milscm_2023_009.sny_202310_backup_merge_dpc_efg</v>
      </c>
      <c r="O11" s="78"/>
      <c r="P11" s="78"/>
      <c r="Q11" s="78"/>
      <c r="R11" s="78"/>
      <c r="S11" s="78"/>
      <c r="T11" s="78"/>
      <c r="AJ11" s="78" t="str">
        <f>"ADD CONSTRAINT "&amp;D$8&amp;"_pkey PRIMARY KEY"</f>
        <v>ADD CONSTRAINT sny_202310_backup_merge_dpc_efg_pkey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milscm_2023_009.sny_202310_backup_merge_dpc_efg.dekidaka_tensu IS '出来高実績点数';</v>
      </c>
    </row>
    <row r="33" spans="1:47" s="25" customFormat="1" ht="52.2">
      <c r="A33" s="4"/>
      <c r="B33" s="21">
        <f t="shared" si="2"/>
        <v>21</v>
      </c>
      <c r="C33" s="6" t="s">
        <v>338</v>
      </c>
      <c r="D33" s="6" t="s">
        <v>132</v>
      </c>
      <c r="E33" s="8"/>
      <c r="F33" s="7" t="s">
        <v>317</v>
      </c>
      <c r="G33" s="7" t="str">
        <f t="shared" si="3"/>
        <v>text</v>
      </c>
      <c r="H33" s="26"/>
      <c r="I33" s="10"/>
      <c r="J33" s="11" t="s">
        <v>911</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milscm_2023_009.sny_202310_backup_merge_dpc_efg.koi_meisai_kubun IS '行為明細区分情報';</v>
      </c>
    </row>
    <row r="34" spans="1:47" s="25" customFormat="1" ht="52.2">
      <c r="A34" s="4"/>
      <c r="B34" s="21">
        <f t="shared" si="2"/>
        <v>22</v>
      </c>
      <c r="C34" s="13" t="s">
        <v>339</v>
      </c>
      <c r="D34" s="13" t="s">
        <v>340</v>
      </c>
      <c r="E34" s="7"/>
      <c r="F34" s="7" t="s">
        <v>332</v>
      </c>
      <c r="G34" s="7" t="str">
        <f t="shared" si="3"/>
        <v>numeric</v>
      </c>
      <c r="H34" s="58"/>
      <c r="I34" s="23"/>
      <c r="J34" s="24"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8"/>
      <c r="O40" s="78"/>
      <c r="P40" s="78" t="str">
        <f t="shared" si="4"/>
        <v>,jisshi_ymd</v>
      </c>
      <c r="Q40" s="78" t="str">
        <f t="shared" si="0"/>
        <v>TEXT</v>
      </c>
      <c r="R40" s="78" t="str">
        <f t="shared" si="1"/>
        <v/>
      </c>
      <c r="S40" s="78" t="str">
        <f t="shared" si="5"/>
        <v>NOT NULL</v>
      </c>
      <c r="T40" s="78" t="str">
        <f t="shared" si="6"/>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milscm_2023_009.sny_202310_backup_merge_dpc_efg.nyugai_kubun IS '入外区分';</v>
      </c>
    </row>
    <row r="47" spans="1:47" s="25" customFormat="1" ht="18" thickBot="1">
      <c r="A47" s="4"/>
      <c r="B47" s="27">
        <f>ROW()-12</f>
        <v>35</v>
      </c>
      <c r="C47" s="57" t="s">
        <v>352</v>
      </c>
      <c r="D47" s="57" t="s">
        <v>245</v>
      </c>
      <c r="E47" s="56"/>
      <c r="F47" s="56" t="s">
        <v>317</v>
      </c>
      <c r="G47" s="56" t="str">
        <f t="shared" si="3"/>
        <v>text</v>
      </c>
      <c r="H47" s="59"/>
      <c r="I47" s="60"/>
      <c r="J47" s="61"/>
      <c r="N47" s="78"/>
      <c r="O47" s="78"/>
      <c r="P47" s="78" t="str">
        <f t="shared" si="4"/>
        <v>,facility_type</v>
      </c>
      <c r="Q47" s="78" t="str">
        <f t="shared" si="0"/>
        <v>TEXT</v>
      </c>
      <c r="R47" s="78" t="str">
        <f t="shared" si="1"/>
        <v/>
      </c>
      <c r="S47" s="78" t="str">
        <f t="shared" si="5"/>
        <v/>
      </c>
      <c r="T47" s="78" t="str">
        <f t="shared" si="6"/>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milscm_2023_009.sny_202310_backup_merge_dpc_efg.facility_type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ENT_01_C1-04</v>
      </c>
      <c r="E6" s="251"/>
      <c r="F6" s="251"/>
      <c r="G6" s="251"/>
      <c r="H6" s="251"/>
      <c r="I6" s="251"/>
      <c r="J6" s="252"/>
    </row>
    <row r="7" spans="1:45">
      <c r="B7" s="240" t="s">
        <v>115</v>
      </c>
      <c r="C7" s="241"/>
      <c r="D7" s="242" t="s">
        <v>357</v>
      </c>
      <c r="E7" s="243"/>
      <c r="F7" s="243"/>
      <c r="G7" s="243"/>
      <c r="H7" s="243"/>
      <c r="I7" s="243"/>
      <c r="J7" s="244"/>
    </row>
    <row r="8" spans="1:45">
      <c r="B8" s="240" t="s">
        <v>116</v>
      </c>
      <c r="C8" s="241"/>
      <c r="D8" s="242" t="str">
        <f>エンティティ一覧!AE2&amp;"_"&amp;D5&amp;"_merge_dpc_hn"</f>
        <v>sny_202310_backup_merge_dpc_hn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milscm_2023_009.sny_202310_backup_merge_dpc_hn;</v>
      </c>
      <c r="O10" s="78"/>
      <c r="P10" s="78"/>
      <c r="Q10" s="78"/>
      <c r="R10" s="78"/>
      <c r="S10" s="78"/>
      <c r="T10" s="78"/>
      <c r="AJ10" s="78" t="str">
        <f>"ALTER TABLE ONLY "&amp;エンティティ一覧!$O$2&amp;"."&amp;D$8</f>
        <v>ALTER TABLE ONLY milscm_2023_009.sny_202310_backup_merge_dpc_hn</v>
      </c>
      <c r="AS10" s="78" t="str">
        <f>"ALTER TABLE "&amp;エンティティ一覧!$O$2&amp;"."&amp;D$8&amp;" OWNER TO pgmisgrp1;"</f>
        <v>ALTER TABLE milscm_2023_009.sny_202310_backup_merge_dpc_hn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milscm_2023_009.sny_202310_backup_merge_dpc_hn</v>
      </c>
      <c r="O11" s="78"/>
      <c r="P11" s="78"/>
      <c r="Q11" s="78"/>
      <c r="R11" s="78"/>
      <c r="S11" s="78"/>
      <c r="T11" s="78"/>
      <c r="AJ11" s="78" t="str">
        <f>"ADD CONSTRAINT "&amp;D$8&amp;"_pkey PRIMARY KEY"</f>
        <v>ADD CONSTRAINT sny_202310_backup_merge_dpc_hn_pkey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milscm_2023_009.sny_202310_backup_merge_dpc_hn.mil_karute_id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milscm_2023_009.sny_202310_backup_merge_dpc_hn.facility_id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8"/>
      <c r="O18" s="78"/>
      <c r="P18" s="78" t="str">
        <f t="shared" si="4"/>
        <v>,ward_code</v>
      </c>
      <c r="Q18" s="78" t="str">
        <f t="shared" si="0"/>
        <v>TEXT</v>
      </c>
      <c r="R18" s="78" t="str">
        <f t="shared" si="1"/>
        <v/>
      </c>
      <c r="S18" s="78" t="str">
        <f t="shared" si="5"/>
        <v>NOT NULL</v>
      </c>
      <c r="T18" s="78" t="str">
        <f t="shared" si="6"/>
        <v>-- 病棟コード</v>
      </c>
      <c r="U18" s="4"/>
      <c r="AA18" s="4"/>
      <c r="AB18" s="4"/>
      <c r="AC18" s="4"/>
      <c r="AD18" s="4"/>
      <c r="AE18" s="4"/>
      <c r="AF18" s="4"/>
      <c r="AG18" s="4"/>
      <c r="AH18" s="4"/>
      <c r="AI18" s="4"/>
      <c r="AJ18" s="78" t="str">
        <f>IF(E18="○",IF(COUNTA(E$13:E18)=1,"",",")&amp;D18,"")</f>
        <v>,ward_code</v>
      </c>
      <c r="AK18" s="4"/>
      <c r="AL18" s="4"/>
      <c r="AM18" s="4"/>
      <c r="AN18" s="4"/>
      <c r="AO18" s="4"/>
      <c r="AP18" s="4"/>
      <c r="AQ18" s="4"/>
      <c r="AR18" s="4"/>
      <c r="AS18" s="78"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8"/>
      <c r="O19" s="78"/>
      <c r="P19" s="78" t="str">
        <f t="shared" si="4"/>
        <v>,shikibetsu_no</v>
      </c>
      <c r="Q19" s="78" t="str">
        <f t="shared" si="0"/>
        <v>TEXT</v>
      </c>
      <c r="R19" s="78" t="str">
        <f t="shared" si="1"/>
        <v/>
      </c>
      <c r="S19" s="78" t="str">
        <f t="shared" si="5"/>
        <v>NOT NULL</v>
      </c>
      <c r="T19" s="78" t="str">
        <f t="shared" si="6"/>
        <v>-- データ識別番号</v>
      </c>
      <c r="U19" s="4"/>
      <c r="AA19" s="4"/>
      <c r="AB19" s="4"/>
      <c r="AC19" s="4"/>
      <c r="AD19" s="4"/>
      <c r="AE19" s="4"/>
      <c r="AF19" s="4"/>
      <c r="AG19" s="4"/>
      <c r="AH19" s="4"/>
      <c r="AI19" s="4"/>
      <c r="AJ19" s="78" t="str">
        <f>IF(E19="○",IF(COUNTA(E$13:E19)=1,"",",")&amp;D19,"")</f>
        <v>,shikibetsu_no</v>
      </c>
      <c r="AK19" s="4"/>
      <c r="AL19" s="4"/>
      <c r="AM19" s="4"/>
      <c r="AN19" s="4"/>
      <c r="AO19" s="4"/>
      <c r="AP19" s="4"/>
      <c r="AQ19" s="4"/>
      <c r="AR19" s="4"/>
      <c r="AS19" s="78" t="str">
        <f>"COMMENT ON COLUMN "&amp;エンティティ一覧!$O$2&amp;"."&amp;D$8&amp;"."&amp;D19&amp;" IS '"&amp;C19&amp;"';"</f>
        <v>COMMENT ON COLUMN milscm_2023_009.sny_202310_backup_merge_dpc_hn.shikibetsu_no IS 'データ識別番号';</v>
      </c>
    </row>
    <row r="20" spans="1:45" s="25" customFormat="1" ht="34.799999999999997">
      <c r="B20" s="21">
        <f t="shared" si="2"/>
        <v>8</v>
      </c>
      <c r="C20" s="6" t="s">
        <v>211</v>
      </c>
      <c r="D20" s="6" t="s">
        <v>212</v>
      </c>
      <c r="E20" s="8" t="s">
        <v>127</v>
      </c>
      <c r="F20" s="7" t="s">
        <v>317</v>
      </c>
      <c r="G20" s="7" t="str">
        <f t="shared" si="3"/>
        <v>text</v>
      </c>
      <c r="H20" s="26"/>
      <c r="I20" s="10" t="s">
        <v>127</v>
      </c>
      <c r="J20" s="11" t="s">
        <v>261</v>
      </c>
      <c r="N20" s="78"/>
      <c r="O20" s="78"/>
      <c r="P20" s="78" t="str">
        <f t="shared" si="4"/>
        <v>,taiin_ymd</v>
      </c>
      <c r="Q20" s="78" t="str">
        <f t="shared" si="0"/>
        <v>TEXT</v>
      </c>
      <c r="R20" s="78" t="str">
        <f t="shared" si="1"/>
        <v/>
      </c>
      <c r="S20" s="78" t="str">
        <f t="shared" si="5"/>
        <v>NOT NULL</v>
      </c>
      <c r="T20" s="78" t="str">
        <f t="shared" si="6"/>
        <v>-- 退院年月日</v>
      </c>
      <c r="U20" s="4"/>
      <c r="AA20" s="4"/>
      <c r="AB20" s="4"/>
      <c r="AC20" s="4"/>
      <c r="AD20" s="4"/>
      <c r="AE20" s="4"/>
      <c r="AF20" s="4"/>
      <c r="AG20" s="4"/>
      <c r="AH20" s="4"/>
      <c r="AI20" s="4"/>
      <c r="AJ20" s="78" t="str">
        <f>IF(E20="○",IF(COUNTA(E$13:E20)=1,"",",")&amp;D20,"")</f>
        <v>,taiin_ymd</v>
      </c>
      <c r="AK20" s="4"/>
      <c r="AL20" s="4"/>
      <c r="AM20" s="4"/>
      <c r="AN20" s="4"/>
      <c r="AO20" s="4"/>
      <c r="AP20" s="4"/>
      <c r="AQ20" s="4"/>
      <c r="AR20" s="4"/>
      <c r="AS20" s="78"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8"/>
      <c r="O21" s="78"/>
      <c r="P21" s="78" t="str">
        <f t="shared" si="4"/>
        <v>,nyuin_ymd</v>
      </c>
      <c r="Q21" s="78" t="str">
        <f t="shared" si="0"/>
        <v>TEXT</v>
      </c>
      <c r="R21" s="78" t="str">
        <f t="shared" si="1"/>
        <v/>
      </c>
      <c r="S21" s="78" t="str">
        <f t="shared" si="5"/>
        <v>NOT NULL</v>
      </c>
      <c r="T21" s="78" t="str">
        <f t="shared" si="6"/>
        <v>-- 入院年月日</v>
      </c>
      <c r="U21" s="4"/>
      <c r="AA21" s="4"/>
      <c r="AB21" s="4"/>
      <c r="AC21" s="4"/>
      <c r="AD21" s="4"/>
      <c r="AE21" s="4"/>
      <c r="AF21" s="4"/>
      <c r="AG21" s="4"/>
      <c r="AH21" s="4"/>
      <c r="AI21" s="4"/>
      <c r="AJ21" s="78" t="str">
        <f>IF(E21="○",IF(COUNTA(E$13:E21)=1,"",",")&amp;D21,"")</f>
        <v>,nyuin_ymd</v>
      </c>
      <c r="AK21" s="4"/>
      <c r="AL21" s="4"/>
      <c r="AM21" s="4"/>
      <c r="AN21" s="4"/>
      <c r="AO21" s="4"/>
      <c r="AP21" s="4"/>
      <c r="AQ21" s="4"/>
      <c r="AR21" s="4"/>
      <c r="AS21" s="78"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8"/>
      <c r="O22" s="78"/>
      <c r="P22" s="78" t="str">
        <f t="shared" si="4"/>
        <v>,jisshi_ymd</v>
      </c>
      <c r="Q22" s="78" t="str">
        <f t="shared" si="0"/>
        <v>TEXT</v>
      </c>
      <c r="R22" s="78" t="str">
        <f t="shared" si="1"/>
        <v/>
      </c>
      <c r="S22" s="78" t="str">
        <f t="shared" si="5"/>
        <v>NOT NULL</v>
      </c>
      <c r="T22" s="78" t="str">
        <f t="shared" si="6"/>
        <v>-- 実施年月日</v>
      </c>
      <c r="U22" s="4"/>
      <c r="AA22" s="4"/>
      <c r="AB22" s="4"/>
      <c r="AC22" s="4"/>
      <c r="AD22" s="4"/>
      <c r="AE22" s="4"/>
      <c r="AF22" s="4"/>
      <c r="AG22" s="4"/>
      <c r="AH22" s="4"/>
      <c r="AI22" s="4"/>
      <c r="AJ22" s="78" t="str">
        <f>IF(E22="○",IF(COUNTA(E$13:E22)=1,"",",")&amp;D22,"")</f>
        <v>,jisshi_ymd</v>
      </c>
      <c r="AK22" s="4"/>
      <c r="AL22" s="4"/>
      <c r="AM22" s="4"/>
      <c r="AN22" s="4"/>
      <c r="AO22" s="4"/>
      <c r="AP22" s="4"/>
      <c r="AQ22" s="4"/>
      <c r="AR22" s="4"/>
      <c r="AS22" s="78"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8"/>
      <c r="O23" s="78"/>
      <c r="P23" s="78" t="str">
        <f t="shared" si="4"/>
        <v>,code</v>
      </c>
      <c r="Q23" s="78" t="str">
        <f t="shared" si="0"/>
        <v>TEXT</v>
      </c>
      <c r="R23" s="78" t="str">
        <f t="shared" si="1"/>
        <v>default 'ASS0010'</v>
      </c>
      <c r="S23" s="78" t="str">
        <f t="shared" si="5"/>
        <v>NOT NULL</v>
      </c>
      <c r="T23" s="78" t="str">
        <f t="shared" si="6"/>
        <v>-- コード</v>
      </c>
      <c r="U23" s="4"/>
      <c r="AA23" s="4"/>
      <c r="AB23" s="4"/>
      <c r="AC23" s="4"/>
      <c r="AD23" s="4"/>
      <c r="AE23" s="4"/>
      <c r="AF23" s="4"/>
      <c r="AG23" s="4"/>
      <c r="AH23" s="4"/>
      <c r="AI23" s="4"/>
      <c r="AJ23" s="78" t="str">
        <f>IF(E23="○",IF(COUNTA(E$13:E23)=1,"",",")&amp;D23,"")</f>
        <v>,code</v>
      </c>
      <c r="AK23" s="4"/>
      <c r="AL23" s="4"/>
      <c r="AM23" s="4"/>
      <c r="AN23" s="4"/>
      <c r="AO23" s="4"/>
      <c r="AP23" s="4"/>
      <c r="AQ23" s="4"/>
      <c r="AR23" s="4"/>
      <c r="AS23" s="78"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8"/>
      <c r="O24" s="78"/>
      <c r="P24" s="78" t="str">
        <f t="shared" si="4"/>
        <v>,version</v>
      </c>
      <c r="Q24" s="78" t="str">
        <f t="shared" si="0"/>
        <v>TEXT</v>
      </c>
      <c r="R24" s="78" t="str">
        <f t="shared" si="1"/>
        <v>default '20160401'</v>
      </c>
      <c r="S24" s="78" t="str">
        <f t="shared" si="5"/>
        <v>NOT NULL</v>
      </c>
      <c r="T24" s="78" t="str">
        <f t="shared" si="6"/>
        <v>-- バージョン</v>
      </c>
      <c r="U24" s="4"/>
      <c r="AA24" s="4"/>
      <c r="AB24" s="4"/>
      <c r="AC24" s="4"/>
      <c r="AD24" s="4"/>
      <c r="AE24" s="4"/>
      <c r="AF24" s="4"/>
      <c r="AG24" s="4"/>
      <c r="AH24" s="4"/>
      <c r="AI24" s="4"/>
      <c r="AJ24" s="78" t="str">
        <f>IF(E24="○",IF(COUNTA(E$13:E24)=1,"",",")&amp;D24,"")</f>
        <v>,version</v>
      </c>
      <c r="AK24" s="4"/>
      <c r="AL24" s="4"/>
      <c r="AM24" s="4"/>
      <c r="AN24" s="4"/>
      <c r="AO24" s="4"/>
      <c r="AP24" s="4"/>
      <c r="AQ24" s="4"/>
      <c r="AR24" s="4"/>
      <c r="AS24" s="78"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8"/>
      <c r="O25" s="78"/>
      <c r="P25" s="78" t="str">
        <f t="shared" si="4"/>
        <v>,number</v>
      </c>
      <c r="Q25" s="78" t="str">
        <f t="shared" si="0"/>
        <v>TEXT</v>
      </c>
      <c r="R25" s="78" t="str">
        <f t="shared" si="1"/>
        <v/>
      </c>
      <c r="S25" s="78" t="str">
        <f t="shared" si="5"/>
        <v>NOT NULL</v>
      </c>
      <c r="T25" s="78" t="str">
        <f t="shared" si="6"/>
        <v>-- 連番</v>
      </c>
      <c r="U25" s="4"/>
      <c r="AA25" s="4"/>
      <c r="AB25" s="4"/>
      <c r="AC25" s="4"/>
      <c r="AD25" s="4"/>
      <c r="AE25" s="4"/>
      <c r="AF25" s="4"/>
      <c r="AG25" s="4"/>
      <c r="AH25" s="4"/>
      <c r="AI25" s="4"/>
      <c r="AJ25" s="78" t="str">
        <f>IF(E25="○",IF(COUNTA(E$13:E25)=1,"",",")&amp;D25,"")</f>
        <v>,number</v>
      </c>
      <c r="AK25" s="4"/>
      <c r="AL25" s="4"/>
      <c r="AM25" s="4"/>
      <c r="AN25" s="4"/>
      <c r="AO25" s="4"/>
      <c r="AP25" s="4"/>
      <c r="AQ25" s="4"/>
      <c r="AR25" s="4"/>
      <c r="AS25" s="78" t="str">
        <f>"COMMENT ON COLUMN "&amp;エンティティ一覧!$O$2&amp;"."&amp;D$8&amp;"."&amp;D25&amp;" IS '"&amp;C25&amp;"';"</f>
        <v>COMMENT ON COLUMN milscm_2023_009.sny_202310_backup_merge_dpc_hn.number IS '連番';</v>
      </c>
    </row>
    <row r="26" spans="1:45" s="25" customFormat="1" ht="156.6">
      <c r="A26" s="4"/>
      <c r="B26" s="21">
        <f t="shared" si="2"/>
        <v>14</v>
      </c>
      <c r="C26" s="6" t="s">
        <v>364</v>
      </c>
      <c r="D26" s="6" t="s">
        <v>365</v>
      </c>
      <c r="E26" s="8"/>
      <c r="F26" s="7" t="s">
        <v>317</v>
      </c>
      <c r="G26" s="7" t="str">
        <f t="shared" si="3"/>
        <v>text</v>
      </c>
      <c r="H26" s="26"/>
      <c r="I26" s="10"/>
      <c r="J26" s="11" t="s">
        <v>543</v>
      </c>
      <c r="N26" s="78"/>
      <c r="O26" s="78"/>
      <c r="P26" s="78" t="str">
        <f t="shared" si="4"/>
        <v>,ass0010_sosho_shochi</v>
      </c>
      <c r="Q26" s="78" t="str">
        <f t="shared" si="0"/>
        <v>TEXT</v>
      </c>
      <c r="R26" s="78" t="str">
        <f t="shared" si="1"/>
        <v/>
      </c>
      <c r="S26" s="78" t="str">
        <f t="shared" si="5"/>
        <v/>
      </c>
      <c r="T26" s="78" t="str">
        <f t="shared" si="6"/>
        <v>-- 創傷処置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8"/>
      <c r="O27" s="78"/>
      <c r="P27" s="78" t="str">
        <f t="shared" si="4"/>
        <v>,ass0010_kokyu_care</v>
      </c>
      <c r="Q27" s="78" t="str">
        <f t="shared" si="0"/>
        <v>TEXT</v>
      </c>
      <c r="R27" s="78" t="str">
        <f t="shared" si="1"/>
        <v/>
      </c>
      <c r="S27" s="78" t="str">
        <f t="shared" si="5"/>
        <v/>
      </c>
      <c r="T27" s="78" t="str">
        <f t="shared" si="6"/>
        <v>-- 呼吸ケア</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8"/>
      <c r="O28" s="78"/>
      <c r="P28" s="78" t="str">
        <f t="shared" si="4"/>
        <v>,ass0010_tenteki_kanri</v>
      </c>
      <c r="Q28" s="78" t="str">
        <f t="shared" si="0"/>
        <v>TEXT</v>
      </c>
      <c r="R28" s="78" t="str">
        <f t="shared" si="1"/>
        <v/>
      </c>
      <c r="S28" s="78" t="str">
        <f t="shared" si="5"/>
        <v/>
      </c>
      <c r="T28" s="78" t="str">
        <f t="shared" si="6"/>
        <v>-- 点滴ライン同時3本以上の管理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milscm_2023_009.sny_202310_backup_merge_dpc_hn.ass0010_tenteki_kanri IS '点滴ライン同時3本以上の管理';</v>
      </c>
    </row>
    <row r="29" spans="1:45" s="25" customFormat="1" ht="30">
      <c r="A29" s="4"/>
      <c r="B29" s="21">
        <f t="shared" si="2"/>
        <v>17</v>
      </c>
      <c r="C29" s="6" t="s">
        <v>370</v>
      </c>
      <c r="D29" s="6" t="s">
        <v>371</v>
      </c>
      <c r="E29" s="8"/>
      <c r="F29" s="7" t="s">
        <v>317</v>
      </c>
      <c r="G29" s="7" t="str">
        <f t="shared" si="3"/>
        <v>text</v>
      </c>
      <c r="H29" s="26"/>
      <c r="I29" s="10"/>
      <c r="J29" s="11" t="s">
        <v>544</v>
      </c>
      <c r="N29" s="78"/>
      <c r="O29" s="78"/>
      <c r="P29" s="78" t="str">
        <f t="shared" si="4"/>
        <v>,ass0010_shindenzu_kanri</v>
      </c>
      <c r="Q29" s="78" t="str">
        <f t="shared" si="0"/>
        <v>TEXT</v>
      </c>
      <c r="R29" s="78" t="str">
        <f t="shared" si="1"/>
        <v/>
      </c>
      <c r="S29" s="78" t="str">
        <f t="shared" si="5"/>
        <v/>
      </c>
      <c r="T29" s="78" t="str">
        <f t="shared" si="6"/>
        <v>-- 心電図モニターの管理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milscm_2023_009.sny_202310_backup_merge_dpc_hn.ass0010_shindenzu_kanri IS '心電図モニターの管理';</v>
      </c>
    </row>
    <row r="30" spans="1:45" s="25" customFormat="1" ht="30">
      <c r="A30" s="4"/>
      <c r="B30" s="21">
        <f t="shared" si="2"/>
        <v>18</v>
      </c>
      <c r="C30" s="13" t="s">
        <v>372</v>
      </c>
      <c r="D30" s="13" t="s">
        <v>373</v>
      </c>
      <c r="E30" s="7"/>
      <c r="F30" s="7" t="s">
        <v>317</v>
      </c>
      <c r="G30" s="7" t="str">
        <f t="shared" si="3"/>
        <v>text</v>
      </c>
      <c r="H30" s="58"/>
      <c r="I30" s="23"/>
      <c r="J30" s="24" t="s">
        <v>544</v>
      </c>
      <c r="N30" s="78"/>
      <c r="O30" s="78"/>
      <c r="P30" s="78" t="str">
        <f t="shared" si="4"/>
        <v>,ass0010_syringe_pump_kanri</v>
      </c>
      <c r="Q30" s="78" t="str">
        <f t="shared" si="0"/>
        <v>TEXT</v>
      </c>
      <c r="R30" s="78" t="str">
        <f t="shared" si="1"/>
        <v/>
      </c>
      <c r="S30" s="78" t="str">
        <f t="shared" si="5"/>
        <v/>
      </c>
      <c r="T30" s="78" t="str">
        <f t="shared" si="6"/>
        <v>-- シリンジポンプの管理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milscm_2023_009.sny_202310_backup_merge_dpc_hn.ass0010_syringe_pump_kanri IS 'シリンジポンプの管理';</v>
      </c>
    </row>
    <row r="31" spans="1:45" s="25" customFormat="1" ht="30">
      <c r="A31" s="4"/>
      <c r="B31" s="21">
        <f t="shared" si="2"/>
        <v>19</v>
      </c>
      <c r="C31" s="6" t="s">
        <v>374</v>
      </c>
      <c r="D31" s="6" t="s">
        <v>375</v>
      </c>
      <c r="E31" s="8"/>
      <c r="F31" s="7" t="s">
        <v>317</v>
      </c>
      <c r="G31" s="7" t="str">
        <f t="shared" si="3"/>
        <v>text</v>
      </c>
      <c r="H31" s="26"/>
      <c r="I31" s="10"/>
      <c r="J31" s="11" t="s">
        <v>544</v>
      </c>
      <c r="N31" s="78"/>
      <c r="O31" s="78"/>
      <c r="P31" s="78" t="str">
        <f t="shared" si="4"/>
        <v>,ass0010_blood_products_kanri</v>
      </c>
      <c r="Q31" s="78" t="str">
        <f t="shared" si="0"/>
        <v>TEXT</v>
      </c>
      <c r="R31" s="78" t="str">
        <f t="shared" si="1"/>
        <v/>
      </c>
      <c r="S31" s="78" t="str">
        <f t="shared" si="5"/>
        <v/>
      </c>
      <c r="T31" s="78" t="str">
        <f t="shared" si="6"/>
        <v>-- 輸血や血液製剤の管理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milscm_2023_009.sny_202310_backup_merge_dpc_hn.ass0010_blood_products_kanri IS '輸血や血液製剤の管理';</v>
      </c>
    </row>
    <row r="32" spans="1:45" s="25" customFormat="1" ht="261">
      <c r="A32" s="4"/>
      <c r="B32" s="21">
        <f t="shared" si="2"/>
        <v>20</v>
      </c>
      <c r="C32" s="13" t="s">
        <v>376</v>
      </c>
      <c r="D32" s="13" t="s">
        <v>377</v>
      </c>
      <c r="E32" s="7"/>
      <c r="F32" s="7" t="s">
        <v>317</v>
      </c>
      <c r="G32" s="7" t="str">
        <f t="shared" si="3"/>
        <v>text</v>
      </c>
      <c r="H32" s="58"/>
      <c r="I32" s="23"/>
      <c r="J32" s="24" t="s">
        <v>545</v>
      </c>
      <c r="N32" s="78"/>
      <c r="O32" s="78"/>
      <c r="P32" s="78" t="str">
        <f t="shared" si="4"/>
        <v>,ass0010_expert_chiryo</v>
      </c>
      <c r="Q32" s="78" t="str">
        <f t="shared" si="0"/>
        <v>TEXT</v>
      </c>
      <c r="R32" s="78" t="str">
        <f t="shared" si="1"/>
        <v/>
      </c>
      <c r="S32" s="78" t="str">
        <f t="shared" si="5"/>
        <v/>
      </c>
      <c r="T32" s="78" t="str">
        <f t="shared" si="6"/>
        <v>-- 専門的な治療・処置</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milscm_2023_009.sny_202310_backup_merge_dpc_hn.ass0010_expert_chiryo IS '専門的な治療・処置';</v>
      </c>
    </row>
    <row r="33" spans="1:52" s="25" customFormat="1" ht="30">
      <c r="A33" s="4"/>
      <c r="B33" s="21">
        <f t="shared" si="2"/>
        <v>21</v>
      </c>
      <c r="C33" s="6" t="s">
        <v>378</v>
      </c>
      <c r="D33" s="6" t="s">
        <v>379</v>
      </c>
      <c r="E33" s="8"/>
      <c r="F33" s="7" t="s">
        <v>317</v>
      </c>
      <c r="G33" s="7" t="str">
        <f t="shared" si="3"/>
        <v>text</v>
      </c>
      <c r="H33" s="26"/>
      <c r="I33" s="10"/>
      <c r="J33" s="11" t="s">
        <v>544</v>
      </c>
      <c r="N33" s="78"/>
      <c r="O33" s="78"/>
      <c r="P33" s="78" t="str">
        <f t="shared" si="4"/>
        <v>,ass0010_hanso_nyuin_flag</v>
      </c>
      <c r="Q33" s="78" t="str">
        <f t="shared" si="0"/>
        <v>TEXT</v>
      </c>
      <c r="R33" s="78" t="str">
        <f t="shared" si="1"/>
        <v/>
      </c>
      <c r="S33" s="78" t="str">
        <f t="shared" si="5"/>
        <v/>
      </c>
      <c r="T33" s="78" t="str">
        <f t="shared" si="6"/>
        <v>-- 救急搬送後の入院</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milscm_2023_009.sny_202310_backup_merge_dpc_hn.ass0010_hanso_nyuin_flag IS '救急搬送後の入院';</v>
      </c>
    </row>
    <row r="34" spans="1:52" s="25" customFormat="1" ht="156.6">
      <c r="A34" s="4"/>
      <c r="B34" s="21">
        <f t="shared" si="2"/>
        <v>22</v>
      </c>
      <c r="C34" s="13" t="s">
        <v>364</v>
      </c>
      <c r="D34" s="13" t="s">
        <v>380</v>
      </c>
      <c r="E34" s="7"/>
      <c r="F34" s="7" t="s">
        <v>317</v>
      </c>
      <c r="G34" s="7" t="str">
        <f t="shared" si="3"/>
        <v>text</v>
      </c>
      <c r="H34" s="58"/>
      <c r="I34" s="23"/>
      <c r="J34" s="24" t="s">
        <v>543</v>
      </c>
      <c r="N34" s="78"/>
      <c r="O34" s="78"/>
      <c r="P34" s="78" t="str">
        <f t="shared" si="4"/>
        <v>,ass0011_sosho_shochi</v>
      </c>
      <c r="Q34" s="78" t="str">
        <f t="shared" si="0"/>
        <v>TEXT</v>
      </c>
      <c r="R34" s="78" t="str">
        <f t="shared" si="1"/>
        <v/>
      </c>
      <c r="S34" s="78" t="str">
        <f t="shared" si="5"/>
        <v/>
      </c>
      <c r="T34" s="78" t="str">
        <f t="shared" si="6"/>
        <v>-- 創傷処置</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8"/>
      <c r="O35" s="78"/>
      <c r="P35" s="78" t="str">
        <f t="shared" si="4"/>
        <v>,ass0011_kokyu_care</v>
      </c>
      <c r="Q35" s="78" t="str">
        <f t="shared" si="0"/>
        <v>TEXT</v>
      </c>
      <c r="R35" s="78" t="str">
        <f t="shared" si="1"/>
        <v/>
      </c>
      <c r="S35" s="78" t="str">
        <f t="shared" si="5"/>
        <v/>
      </c>
      <c r="T35" s="78" t="str">
        <f t="shared" si="6"/>
        <v>-- 呼吸ケア</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8"/>
      <c r="O36" s="78"/>
      <c r="P36" s="78" t="str">
        <f t="shared" si="4"/>
        <v>,ass0011_tenteki_kanri</v>
      </c>
      <c r="Q36" s="78" t="str">
        <f t="shared" si="0"/>
        <v>TEXT</v>
      </c>
      <c r="R36" s="78" t="str">
        <f t="shared" si="1"/>
        <v/>
      </c>
      <c r="S36" s="78" t="str">
        <f t="shared" si="5"/>
        <v/>
      </c>
      <c r="T36" s="78" t="str">
        <f t="shared" si="6"/>
        <v>-- 点滴ライン同時3本以上の管理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milscm_2023_009.sny_202310_backup_merge_dpc_hn.ass0011_tenteki_kanri IS '点滴ライン同時3本以上の管理';</v>
      </c>
    </row>
    <row r="37" spans="1:52" s="25" customFormat="1" ht="30">
      <c r="A37" s="4"/>
      <c r="B37" s="21">
        <f t="shared" si="2"/>
        <v>25</v>
      </c>
      <c r="C37" s="13" t="s">
        <v>370</v>
      </c>
      <c r="D37" s="13" t="s">
        <v>383</v>
      </c>
      <c r="E37" s="7"/>
      <c r="F37" s="7" t="s">
        <v>317</v>
      </c>
      <c r="G37" s="7" t="str">
        <f t="shared" si="3"/>
        <v>text</v>
      </c>
      <c r="H37" s="58"/>
      <c r="I37" s="23"/>
      <c r="J37" s="24" t="s">
        <v>544</v>
      </c>
      <c r="N37" s="78"/>
      <c r="O37" s="78"/>
      <c r="P37" s="78" t="str">
        <f t="shared" si="4"/>
        <v>,ass0011_shindenzu_kanri</v>
      </c>
      <c r="Q37" s="78" t="str">
        <f t="shared" si="0"/>
        <v>TEXT</v>
      </c>
      <c r="R37" s="78" t="str">
        <f t="shared" si="1"/>
        <v/>
      </c>
      <c r="S37" s="78" t="str">
        <f t="shared" si="5"/>
        <v/>
      </c>
      <c r="T37" s="78" t="str">
        <f t="shared" si="6"/>
        <v>-- 心電図モニターの管理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milscm_2023_009.sny_202310_backup_merge_dpc_hn.ass0011_shindenzu_kanri IS '心電図モニターの管理';</v>
      </c>
    </row>
    <row r="38" spans="1:52" s="25" customFormat="1" ht="30">
      <c r="A38" s="4"/>
      <c r="B38" s="21">
        <f t="shared" si="2"/>
        <v>26</v>
      </c>
      <c r="C38" s="6" t="s">
        <v>372</v>
      </c>
      <c r="D38" s="6" t="s">
        <v>384</v>
      </c>
      <c r="E38" s="8"/>
      <c r="F38" s="7" t="s">
        <v>317</v>
      </c>
      <c r="G38" s="7" t="str">
        <f t="shared" si="3"/>
        <v>text</v>
      </c>
      <c r="H38" s="26"/>
      <c r="I38" s="10"/>
      <c r="J38" s="11" t="s">
        <v>544</v>
      </c>
      <c r="N38" s="78"/>
      <c r="O38" s="78"/>
      <c r="P38" s="78" t="str">
        <f t="shared" si="4"/>
        <v>,ass0011_syringe_pump_kanri</v>
      </c>
      <c r="Q38" s="78" t="str">
        <f t="shared" si="0"/>
        <v>TEXT</v>
      </c>
      <c r="R38" s="78" t="str">
        <f t="shared" si="1"/>
        <v/>
      </c>
      <c r="S38" s="78" t="str">
        <f t="shared" si="5"/>
        <v/>
      </c>
      <c r="T38" s="78" t="str">
        <f t="shared" si="6"/>
        <v>-- シリンジポンプの管理</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milscm_2023_009.sny_202310_backup_merge_dpc_hn.ass0011_syringe_pump_kanri IS 'シリンジポンプの管理';</v>
      </c>
    </row>
    <row r="39" spans="1:52" s="25" customFormat="1" ht="30">
      <c r="A39" s="4"/>
      <c r="B39" s="21">
        <f t="shared" si="2"/>
        <v>27</v>
      </c>
      <c r="C39" s="13" t="s">
        <v>374</v>
      </c>
      <c r="D39" s="13" t="s">
        <v>385</v>
      </c>
      <c r="E39" s="7"/>
      <c r="F39" s="7" t="s">
        <v>317</v>
      </c>
      <c r="G39" s="7" t="str">
        <f t="shared" si="3"/>
        <v>text</v>
      </c>
      <c r="H39" s="58"/>
      <c r="I39" s="23"/>
      <c r="J39" s="24" t="s">
        <v>544</v>
      </c>
      <c r="N39" s="78"/>
      <c r="O39" s="78"/>
      <c r="P39" s="78" t="str">
        <f t="shared" si="4"/>
        <v>,ass0011_blood_products_kanri</v>
      </c>
      <c r="Q39" s="78" t="str">
        <f t="shared" si="0"/>
        <v>TEXT</v>
      </c>
      <c r="R39" s="78" t="str">
        <f t="shared" si="1"/>
        <v/>
      </c>
      <c r="S39" s="78" t="str">
        <f t="shared" si="5"/>
        <v/>
      </c>
      <c r="T39" s="78" t="str">
        <f t="shared" si="6"/>
        <v>-- 輸血や血液製剤の管理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milscm_2023_009.sny_202310_backup_merge_dpc_hn.ass0011_blood_products_kanri IS '輸血や血液製剤の管理';</v>
      </c>
    </row>
    <row r="40" spans="1:52" s="25" customFormat="1" ht="139.19999999999999">
      <c r="A40" s="4"/>
      <c r="B40" s="21">
        <f t="shared" si="2"/>
        <v>28</v>
      </c>
      <c r="C40" s="6" t="s">
        <v>386</v>
      </c>
      <c r="D40" s="6" t="s">
        <v>387</v>
      </c>
      <c r="E40" s="8"/>
      <c r="F40" s="7" t="s">
        <v>317</v>
      </c>
      <c r="G40" s="7" t="str">
        <f t="shared" si="3"/>
        <v>text</v>
      </c>
      <c r="H40" s="26"/>
      <c r="I40" s="10"/>
      <c r="J40" s="11" t="s">
        <v>546</v>
      </c>
      <c r="N40" s="78"/>
      <c r="O40" s="78"/>
      <c r="P40" s="78" t="str">
        <f t="shared" si="4"/>
        <v>,ass0011_expert_chiryo_sankoumoku</v>
      </c>
      <c r="Q40" s="78" t="str">
        <f t="shared" si="0"/>
        <v>TEXT</v>
      </c>
      <c r="R40" s="78" t="str">
        <f t="shared" si="1"/>
        <v/>
      </c>
      <c r="S40" s="78" t="str">
        <f t="shared" si="5"/>
        <v/>
      </c>
      <c r="T40" s="78" t="str">
        <f t="shared" si="6"/>
        <v>-- 専門的な治療・処置（3項目）</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milscm_2023_009.sny_202310_backup_merge_dpc_hn.ass0011_expert_chiryo_sankoumoku IS '専門的な治療・処置（3項目）';</v>
      </c>
    </row>
    <row r="41" spans="1:52" s="25" customFormat="1" ht="30">
      <c r="A41" s="4"/>
      <c r="B41" s="21">
        <f t="shared" si="2"/>
        <v>29</v>
      </c>
      <c r="C41" s="13" t="s">
        <v>378</v>
      </c>
      <c r="D41" s="13" t="s">
        <v>388</v>
      </c>
      <c r="E41" s="7"/>
      <c r="F41" s="7" t="s">
        <v>317</v>
      </c>
      <c r="G41" s="7" t="str">
        <f t="shared" si="3"/>
        <v>text</v>
      </c>
      <c r="H41" s="58"/>
      <c r="I41" s="23"/>
      <c r="J41" s="24" t="s">
        <v>544</v>
      </c>
      <c r="N41" s="78"/>
      <c r="O41" s="78"/>
      <c r="P41" s="78" t="str">
        <f t="shared" si="4"/>
        <v>,ass0011_hanso_nyuin_flag</v>
      </c>
      <c r="Q41" s="78" t="str">
        <f t="shared" si="0"/>
        <v>TEXT</v>
      </c>
      <c r="R41" s="78" t="str">
        <f t="shared" si="1"/>
        <v/>
      </c>
      <c r="S41" s="78" t="str">
        <f t="shared" si="5"/>
        <v/>
      </c>
      <c r="T41" s="78" t="str">
        <f t="shared" si="6"/>
        <v>-- 救急搬送後の入院</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milscm_2023_009.sny_202310_backup_merge_dpc_hn.ass0011_hanso_nyuin_flag IS '救急搬送後の入院';</v>
      </c>
    </row>
    <row r="42" spans="1:52" s="25" customFormat="1" ht="156.6">
      <c r="A42" s="4"/>
      <c r="B42" s="21">
        <f t="shared" si="2"/>
        <v>30</v>
      </c>
      <c r="C42" s="6" t="s">
        <v>364</v>
      </c>
      <c r="D42" s="6" t="s">
        <v>389</v>
      </c>
      <c r="E42" s="8"/>
      <c r="F42" s="7" t="s">
        <v>317</v>
      </c>
      <c r="G42" s="7" t="str">
        <f t="shared" si="3"/>
        <v>text</v>
      </c>
      <c r="H42" s="26"/>
      <c r="I42" s="10"/>
      <c r="J42" s="11" t="s">
        <v>543</v>
      </c>
      <c r="N42" s="78"/>
      <c r="O42" s="78"/>
      <c r="P42" s="78" t="str">
        <f t="shared" si="4"/>
        <v>,ass0012_sosho_shochi</v>
      </c>
      <c r="Q42" s="78" t="str">
        <f t="shared" si="0"/>
        <v>TEXT</v>
      </c>
      <c r="R42" s="78" t="str">
        <f t="shared" si="1"/>
        <v/>
      </c>
      <c r="S42" s="78" t="str">
        <f t="shared" si="5"/>
        <v/>
      </c>
      <c r="T42" s="78" t="str">
        <f t="shared" si="6"/>
        <v>-- 創傷処置</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milscm_2023_009.sny_202310_backup_merge_dpc_hn.ass0012_sosho_shochi IS '創傷処置';</v>
      </c>
    </row>
    <row r="43" spans="1:52" s="25" customFormat="1" ht="30">
      <c r="A43" s="4"/>
      <c r="B43" s="21">
        <f t="shared" si="2"/>
        <v>31</v>
      </c>
      <c r="C43" s="13" t="s">
        <v>390</v>
      </c>
      <c r="D43" s="13" t="s">
        <v>391</v>
      </c>
      <c r="E43" s="7"/>
      <c r="F43" s="7" t="s">
        <v>317</v>
      </c>
      <c r="G43" s="7" t="str">
        <f t="shared" si="3"/>
        <v>text</v>
      </c>
      <c r="H43" s="58"/>
      <c r="I43" s="23"/>
      <c r="J43" s="24" t="s">
        <v>544</v>
      </c>
      <c r="N43" s="78"/>
      <c r="O43" s="78"/>
      <c r="P43" s="78" t="str">
        <f t="shared" si="4"/>
        <v>,ass0012_kokyu_care_kakutan_trim</v>
      </c>
      <c r="Q43" s="78" t="str">
        <f t="shared" si="0"/>
        <v>TEXT</v>
      </c>
      <c r="R43" s="78" t="str">
        <f t="shared" si="1"/>
        <v/>
      </c>
      <c r="S43" s="78" t="str">
        <f t="shared" si="5"/>
        <v/>
      </c>
      <c r="T43" s="78" t="str">
        <f t="shared" si="6"/>
        <v>-- 呼吸ケア（喀痰吸引のみの場合を除く）</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8"/>
      <c r="O44" s="78"/>
      <c r="P44" s="78" t="str">
        <f t="shared" si="4"/>
        <v>,ass0012_chusya_kanri</v>
      </c>
      <c r="Q44" s="78" t="str">
        <f t="shared" si="0"/>
        <v>TEXT</v>
      </c>
      <c r="R44" s="78" t="str">
        <f t="shared" si="1"/>
        <v/>
      </c>
      <c r="S44" s="78" t="str">
        <f t="shared" si="5"/>
        <v/>
      </c>
      <c r="T44" s="78" t="str">
        <f t="shared" si="6"/>
        <v>-- 注射薬剤３種類以上の管理</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milscm_2023_009.sny_202310_backup_merge_dpc_hn.ass0012_chusya_kanri IS '注射薬剤３種類以上の管理';</v>
      </c>
    </row>
    <row r="45" spans="1:52" s="25" customFormat="1" ht="30">
      <c r="A45" s="4"/>
      <c r="B45" s="21">
        <f t="shared" si="2"/>
        <v>33</v>
      </c>
      <c r="C45" s="13" t="s">
        <v>372</v>
      </c>
      <c r="D45" s="13" t="s">
        <v>394</v>
      </c>
      <c r="E45" s="7"/>
      <c r="F45" s="7" t="s">
        <v>317</v>
      </c>
      <c r="G45" s="7" t="str">
        <f t="shared" si="3"/>
        <v>text</v>
      </c>
      <c r="H45" s="58"/>
      <c r="I45" s="23"/>
      <c r="J45" s="24" t="s">
        <v>544</v>
      </c>
      <c r="N45" s="78"/>
      <c r="O45" s="78"/>
      <c r="P45" s="78" t="str">
        <f t="shared" si="4"/>
        <v>,ass0012_syringe_pump_kanri</v>
      </c>
      <c r="Q45" s="78" t="str">
        <f t="shared" si="0"/>
        <v>TEXT</v>
      </c>
      <c r="R45" s="78" t="str">
        <f t="shared" si="1"/>
        <v/>
      </c>
      <c r="S45" s="78" t="str">
        <f t="shared" si="5"/>
        <v/>
      </c>
      <c r="T45" s="78" t="str">
        <f t="shared" si="6"/>
        <v>-- シリンジポンプの管理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milscm_2023_009.sny_202310_backup_merge_dpc_hn.ass0012_syringe_pump_kanri IS 'シリンジポンプの管理';</v>
      </c>
    </row>
    <row r="46" spans="1:52" s="25" customFormat="1" ht="30">
      <c r="A46" s="4"/>
      <c r="B46" s="21">
        <f t="shared" si="2"/>
        <v>34</v>
      </c>
      <c r="C46" s="13" t="s">
        <v>374</v>
      </c>
      <c r="D46" s="13" t="s">
        <v>395</v>
      </c>
      <c r="E46" s="7"/>
      <c r="F46" s="7" t="s">
        <v>317</v>
      </c>
      <c r="G46" s="7" t="str">
        <f t="shared" si="3"/>
        <v>text</v>
      </c>
      <c r="H46" s="58"/>
      <c r="I46" s="23"/>
      <c r="J46" s="24" t="s">
        <v>544</v>
      </c>
      <c r="N46" s="78"/>
      <c r="O46" s="78"/>
      <c r="P46" s="78" t="str">
        <f t="shared" si="4"/>
        <v>,ass0012_blood_products_kanri</v>
      </c>
      <c r="Q46" s="78" t="str">
        <f t="shared" si="0"/>
        <v>TEXT</v>
      </c>
      <c r="R46" s="78" t="str">
        <f t="shared" si="1"/>
        <v/>
      </c>
      <c r="S46" s="78" t="str">
        <f t="shared" si="5"/>
        <v/>
      </c>
      <c r="T46" s="78" t="str">
        <f t="shared" si="6"/>
        <v>-- 輸血や血液製剤の管理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milscm_2023_009.sny_202310_backup_merge_dpc_hn.ass0012_blood_products_kanri IS '輸血や血液製剤の管理';</v>
      </c>
    </row>
    <row r="47" spans="1:52" s="25" customFormat="1" ht="139.19999999999999">
      <c r="A47" s="4"/>
      <c r="B47" s="21">
        <f t="shared" si="2"/>
        <v>35</v>
      </c>
      <c r="C47" s="13" t="s">
        <v>376</v>
      </c>
      <c r="D47" s="13" t="s">
        <v>396</v>
      </c>
      <c r="E47" s="7"/>
      <c r="F47" s="7" t="s">
        <v>317</v>
      </c>
      <c r="G47" s="7" t="str">
        <f t="shared" si="3"/>
        <v>text</v>
      </c>
      <c r="H47" s="58"/>
      <c r="I47" s="23"/>
      <c r="J47" s="24" t="s">
        <v>546</v>
      </c>
      <c r="N47" s="78"/>
      <c r="O47" s="78"/>
      <c r="P47" s="78" t="str">
        <f t="shared" si="4"/>
        <v>,ass0012_expert_chiryo</v>
      </c>
      <c r="Q47" s="78" t="str">
        <f t="shared" si="0"/>
        <v>TEXT</v>
      </c>
      <c r="R47" s="78" t="str">
        <f t="shared" si="1"/>
        <v/>
      </c>
      <c r="S47" s="78" t="str">
        <f t="shared" si="5"/>
        <v/>
      </c>
      <c r="T47" s="78" t="str">
        <f t="shared" si="6"/>
        <v>-- 専門的な治療・処置</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milscm_2023_009.sny_202310_backup_merge_dpc_hn.ass0012_expert_chiryo IS '専門的な治療・処置';</v>
      </c>
      <c r="AT47" s="4"/>
      <c r="AU47" s="4"/>
    </row>
    <row r="48" spans="1:52" s="25" customFormat="1" ht="30">
      <c r="A48" s="4"/>
      <c r="B48" s="21">
        <f t="shared" si="2"/>
        <v>36</v>
      </c>
      <c r="C48" s="6" t="s">
        <v>378</v>
      </c>
      <c r="D48" s="6" t="s">
        <v>397</v>
      </c>
      <c r="E48" s="8"/>
      <c r="F48" s="7" t="s">
        <v>317</v>
      </c>
      <c r="G48" s="7" t="str">
        <f t="shared" si="3"/>
        <v>text</v>
      </c>
      <c r="H48" s="26"/>
      <c r="I48" s="10"/>
      <c r="J48" s="11" t="s">
        <v>544</v>
      </c>
      <c r="L48" s="4"/>
      <c r="N48" s="78"/>
      <c r="O48" s="78"/>
      <c r="P48" s="78" t="str">
        <f t="shared" ref="P48:P111" si="7">IF(B48&lt;&gt;1,","&amp;D48,D48)</f>
        <v>,ass0012_hanso_nyuin_flag</v>
      </c>
      <c r="Q48" s="78" t="str">
        <f t="shared" ref="Q48:Q111" si="8">UPPER(G48)</f>
        <v>TEXT</v>
      </c>
      <c r="R48" s="78" t="str">
        <f t="shared" ref="R48:R111" si="9">IF(H48&lt;&gt;"","default "&amp;IF(G48="text","'"&amp;H48&amp;"'",H48),"")</f>
        <v/>
      </c>
      <c r="S48" s="78" t="str">
        <f t="shared" ref="S48:S111" si="10">IF(I48="○","NOT NULL","")</f>
        <v/>
      </c>
      <c r="T48" s="78" t="str">
        <f t="shared" ref="T48:T111" si="11">"-- "&amp;C48</f>
        <v>-- 救急搬送後の入院</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4.799999999999997">
      <c r="A49" s="4"/>
      <c r="B49" s="21">
        <f t="shared" si="2"/>
        <v>37</v>
      </c>
      <c r="C49" s="13" t="s">
        <v>398</v>
      </c>
      <c r="D49" s="13" t="s">
        <v>399</v>
      </c>
      <c r="E49" s="7"/>
      <c r="F49" s="7" t="s">
        <v>317</v>
      </c>
      <c r="G49" s="7" t="str">
        <f t="shared" si="3"/>
        <v>text</v>
      </c>
      <c r="H49" s="58"/>
      <c r="I49" s="23"/>
      <c r="J49" s="24" t="s">
        <v>547</v>
      </c>
      <c r="L49" s="4"/>
      <c r="N49" s="78"/>
      <c r="O49" s="78"/>
      <c r="P49" s="78" t="str">
        <f t="shared" si="7"/>
        <v>,ass0020_negaeri</v>
      </c>
      <c r="Q49" s="78" t="str">
        <f t="shared" si="8"/>
        <v>TEXT</v>
      </c>
      <c r="R49" s="78" t="str">
        <f t="shared" si="9"/>
        <v/>
      </c>
      <c r="S49" s="78" t="str">
        <f t="shared" si="10"/>
        <v/>
      </c>
      <c r="T49" s="78" t="str">
        <f t="shared" si="11"/>
        <v>-- 寝返り</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8"/>
      <c r="O50" s="78"/>
      <c r="P50" s="78" t="str">
        <f t="shared" si="7"/>
        <v>,ass0020_ijo</v>
      </c>
      <c r="Q50" s="78" t="str">
        <f t="shared" si="8"/>
        <v>TEXT</v>
      </c>
      <c r="R50" s="78" t="str">
        <f t="shared" si="9"/>
        <v/>
      </c>
      <c r="S50" s="78" t="str">
        <f t="shared" si="10"/>
        <v/>
      </c>
      <c r="T50" s="78" t="str">
        <f t="shared" si="11"/>
        <v>-- 移乗</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8"/>
      <c r="O51" s="78"/>
      <c r="P51" s="78" t="str">
        <f t="shared" si="7"/>
        <v>,ass0020_koku_seiketsu</v>
      </c>
      <c r="Q51" s="78" t="str">
        <f t="shared" si="8"/>
        <v>TEXT</v>
      </c>
      <c r="R51" s="78" t="str">
        <f t="shared" si="9"/>
        <v/>
      </c>
      <c r="S51" s="78" t="str">
        <f t="shared" si="10"/>
        <v/>
      </c>
      <c r="T51" s="78" t="str">
        <f t="shared" si="11"/>
        <v>-- 口腔清潔</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8"/>
      <c r="O52" s="78"/>
      <c r="P52" s="78" t="str">
        <f t="shared" si="7"/>
        <v>,ass0020_shokuji_sesshu</v>
      </c>
      <c r="Q52" s="78" t="str">
        <f t="shared" si="8"/>
        <v>TEXT</v>
      </c>
      <c r="R52" s="78" t="str">
        <f t="shared" si="9"/>
        <v/>
      </c>
      <c r="S52" s="78" t="str">
        <f t="shared" si="10"/>
        <v/>
      </c>
      <c r="T52" s="78" t="str">
        <f t="shared" si="11"/>
        <v>-- 食事摂取</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ht="30">
      <c r="A53" s="4"/>
      <c r="B53" s="21">
        <f t="shared" si="2"/>
        <v>41</v>
      </c>
      <c r="C53" s="6" t="s">
        <v>406</v>
      </c>
      <c r="D53" s="6" t="s">
        <v>407</v>
      </c>
      <c r="E53" s="8"/>
      <c r="F53" s="7" t="s">
        <v>317</v>
      </c>
      <c r="G53" s="7" t="str">
        <f t="shared" si="3"/>
        <v>text</v>
      </c>
      <c r="H53" s="26"/>
      <c r="I53" s="10"/>
      <c r="J53" s="11" t="s">
        <v>548</v>
      </c>
      <c r="L53" s="4"/>
      <c r="N53" s="78"/>
      <c r="O53" s="78"/>
      <c r="P53" s="78" t="str">
        <f t="shared" si="7"/>
        <v>,ass0020_ifuku_chakudatsu</v>
      </c>
      <c r="Q53" s="78" t="str">
        <f t="shared" si="8"/>
        <v>TEXT</v>
      </c>
      <c r="R53" s="78" t="str">
        <f t="shared" si="9"/>
        <v/>
      </c>
      <c r="S53" s="78" t="str">
        <f t="shared" si="10"/>
        <v/>
      </c>
      <c r="T53" s="78" t="str">
        <f t="shared" si="11"/>
        <v>-- 衣服の着脱</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8"/>
      <c r="O54" s="78"/>
      <c r="P54" s="78" t="str">
        <f t="shared" si="7"/>
        <v>,ass0020_shinryo_shiji</v>
      </c>
      <c r="Q54" s="78" t="str">
        <f t="shared" si="8"/>
        <v>TEXT</v>
      </c>
      <c r="R54" s="78" t="str">
        <f t="shared" si="9"/>
        <v/>
      </c>
      <c r="S54" s="78" t="str">
        <f t="shared" si="10"/>
        <v/>
      </c>
      <c r="T54" s="78" t="str">
        <f t="shared" si="11"/>
        <v>-- 診療・療養上の指示が通じる</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8"/>
      <c r="O55" s="78"/>
      <c r="P55" s="78" t="str">
        <f t="shared" si="7"/>
        <v>,ass0020_kiken_kodo</v>
      </c>
      <c r="Q55" s="78" t="str">
        <f t="shared" si="8"/>
        <v>TEXT</v>
      </c>
      <c r="R55" s="78" t="str">
        <f t="shared" si="9"/>
        <v/>
      </c>
      <c r="S55" s="78" t="str">
        <f t="shared" si="10"/>
        <v/>
      </c>
      <c r="T55" s="78" t="str">
        <f t="shared" si="11"/>
        <v>-- 危険行動</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4.799999999999997">
      <c r="A56" s="4"/>
      <c r="B56" s="21">
        <f t="shared" si="2"/>
        <v>44</v>
      </c>
      <c r="C56" s="13" t="s">
        <v>398</v>
      </c>
      <c r="D56" s="13" t="s">
        <v>412</v>
      </c>
      <c r="E56" s="7"/>
      <c r="F56" s="7" t="s">
        <v>317</v>
      </c>
      <c r="G56" s="7" t="str">
        <f t="shared" si="3"/>
        <v>text</v>
      </c>
      <c r="H56" s="58"/>
      <c r="I56" s="23"/>
      <c r="J56" s="24" t="s">
        <v>547</v>
      </c>
      <c r="L56" s="4"/>
      <c r="M56" s="4"/>
      <c r="N56" s="78"/>
      <c r="O56" s="78"/>
      <c r="P56" s="78" t="str">
        <f t="shared" si="7"/>
        <v>,ass0021_negaeri</v>
      </c>
      <c r="Q56" s="78" t="str">
        <f t="shared" si="8"/>
        <v>TEXT</v>
      </c>
      <c r="R56" s="78" t="str">
        <f t="shared" si="9"/>
        <v/>
      </c>
      <c r="S56" s="78" t="str">
        <f t="shared" si="10"/>
        <v/>
      </c>
      <c r="T56" s="78" t="str">
        <f t="shared" si="11"/>
        <v>-- 寝返り</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8"/>
      <c r="O57" s="78"/>
      <c r="P57" s="78" t="str">
        <f t="shared" si="7"/>
        <v>,ass0021_ijo_kanja</v>
      </c>
      <c r="Q57" s="78" t="str">
        <f t="shared" si="8"/>
        <v>TEXT</v>
      </c>
      <c r="R57" s="78" t="str">
        <f t="shared" si="9"/>
        <v/>
      </c>
      <c r="S57" s="78" t="str">
        <f t="shared" si="10"/>
        <v/>
      </c>
      <c r="T57" s="78" t="str">
        <f t="shared" si="11"/>
        <v>-- 移乗（患者の状態）</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0">
      <c r="A58" s="4"/>
      <c r="B58" s="21">
        <f t="shared" si="2"/>
        <v>46</v>
      </c>
      <c r="C58" s="13" t="s">
        <v>415</v>
      </c>
      <c r="D58" s="13" t="s">
        <v>416</v>
      </c>
      <c r="E58" s="7"/>
      <c r="F58" s="7" t="s">
        <v>317</v>
      </c>
      <c r="G58" s="7" t="str">
        <f t="shared" si="3"/>
        <v>text</v>
      </c>
      <c r="H58" s="58"/>
      <c r="I58" s="23"/>
      <c r="J58" s="24" t="s">
        <v>553</v>
      </c>
      <c r="L58" s="4"/>
      <c r="M58" s="4"/>
      <c r="N58" s="78"/>
      <c r="O58" s="78"/>
      <c r="P58" s="78" t="str">
        <f t="shared" si="7"/>
        <v>,ass0021_koku_seiketsu_kanja</v>
      </c>
      <c r="Q58" s="78" t="str">
        <f t="shared" si="8"/>
        <v>TEXT</v>
      </c>
      <c r="R58" s="78" t="str">
        <f t="shared" si="9"/>
        <v/>
      </c>
      <c r="S58" s="78" t="str">
        <f t="shared" si="10"/>
        <v/>
      </c>
      <c r="T58" s="78" t="str">
        <f t="shared" si="11"/>
        <v>-- 口腔清潔（患者の状態）</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0">
      <c r="A59" s="4"/>
      <c r="B59" s="21">
        <f t="shared" si="2"/>
        <v>47</v>
      </c>
      <c r="C59" s="6" t="s">
        <v>417</v>
      </c>
      <c r="D59" s="6" t="s">
        <v>418</v>
      </c>
      <c r="E59" s="8"/>
      <c r="F59" s="7" t="s">
        <v>317</v>
      </c>
      <c r="G59" s="7" t="str">
        <f t="shared" si="3"/>
        <v>text</v>
      </c>
      <c r="H59" s="26"/>
      <c r="I59" s="10"/>
      <c r="J59" s="11" t="s">
        <v>552</v>
      </c>
      <c r="L59" s="4"/>
      <c r="M59" s="4"/>
      <c r="N59" s="78"/>
      <c r="O59" s="78"/>
      <c r="P59" s="78" t="str">
        <f t="shared" si="7"/>
        <v>,ass0021_shokuji_sesshu_kanja</v>
      </c>
      <c r="Q59" s="78" t="str">
        <f t="shared" si="8"/>
        <v>TEXT</v>
      </c>
      <c r="R59" s="78" t="str">
        <f t="shared" si="9"/>
        <v/>
      </c>
      <c r="S59" s="78" t="str">
        <f t="shared" si="10"/>
        <v/>
      </c>
      <c r="T59" s="78" t="str">
        <f t="shared" si="11"/>
        <v>-- 食事摂取（患者の状態）</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0">
      <c r="A60" s="4"/>
      <c r="B60" s="21">
        <f t="shared" si="2"/>
        <v>48</v>
      </c>
      <c r="C60" s="13" t="s">
        <v>419</v>
      </c>
      <c r="D60" s="13" t="s">
        <v>420</v>
      </c>
      <c r="E60" s="7"/>
      <c r="F60" s="7" t="s">
        <v>317</v>
      </c>
      <c r="G60" s="7" t="str">
        <f t="shared" si="3"/>
        <v>text</v>
      </c>
      <c r="H60" s="58"/>
      <c r="I60" s="23"/>
      <c r="J60" s="24" t="s">
        <v>552</v>
      </c>
      <c r="L60" s="4"/>
      <c r="M60" s="4"/>
      <c r="N60" s="78"/>
      <c r="O60" s="78"/>
      <c r="P60" s="78" t="str">
        <f t="shared" si="7"/>
        <v>,ass0021_ifuku_chakudatsu_kanja</v>
      </c>
      <c r="Q60" s="78" t="str">
        <f t="shared" si="8"/>
        <v>TEXT</v>
      </c>
      <c r="R60" s="78" t="str">
        <f t="shared" si="9"/>
        <v/>
      </c>
      <c r="S60" s="78" t="str">
        <f t="shared" si="10"/>
        <v/>
      </c>
      <c r="T60" s="78" t="str">
        <f t="shared" si="11"/>
        <v>-- 衣服の着脱（患者の状態）</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8"/>
      <c r="O61" s="78"/>
      <c r="P61" s="78" t="str">
        <f t="shared" si="7"/>
        <v>,ass0021_shinryo_shiji</v>
      </c>
      <c r="Q61" s="78" t="str">
        <f t="shared" si="8"/>
        <v>TEXT</v>
      </c>
      <c r="R61" s="78" t="str">
        <f t="shared" si="9"/>
        <v/>
      </c>
      <c r="S61" s="78" t="str">
        <f t="shared" si="10"/>
        <v/>
      </c>
      <c r="T61" s="78" t="str">
        <f t="shared" si="11"/>
        <v>-- 診療・療養上の指示が通じる</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8"/>
      <c r="O62" s="78"/>
      <c r="P62" s="78" t="str">
        <f t="shared" si="7"/>
        <v>,ass0021_kiken_kodo</v>
      </c>
      <c r="Q62" s="78" t="str">
        <f t="shared" si="8"/>
        <v>TEXT</v>
      </c>
      <c r="R62" s="78" t="str">
        <f t="shared" si="9"/>
        <v/>
      </c>
      <c r="S62" s="78" t="str">
        <f t="shared" si="10"/>
        <v/>
      </c>
      <c r="T62" s="78" t="str">
        <f t="shared" si="11"/>
        <v>-- 危険行動</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8"/>
      <c r="O63" s="78"/>
      <c r="P63" s="78" t="str">
        <f t="shared" si="7"/>
        <v>,ass0021_ijo_kaijo</v>
      </c>
      <c r="Q63" s="78" t="str">
        <f t="shared" si="8"/>
        <v>TEXT</v>
      </c>
      <c r="R63" s="78" t="str">
        <f t="shared" si="9"/>
        <v/>
      </c>
      <c r="S63" s="78" t="str">
        <f t="shared" si="10"/>
        <v/>
      </c>
      <c r="T63" s="78" t="str">
        <f t="shared" si="11"/>
        <v>-- 移乗（介助の状態）</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0">
      <c r="A64" s="4"/>
      <c r="B64" s="21">
        <f t="shared" si="2"/>
        <v>52</v>
      </c>
      <c r="C64" s="13" t="s">
        <v>425</v>
      </c>
      <c r="D64" s="13" t="s">
        <v>426</v>
      </c>
      <c r="E64" s="7"/>
      <c r="F64" s="7" t="s">
        <v>317</v>
      </c>
      <c r="G64" s="7" t="str">
        <f t="shared" si="3"/>
        <v>text</v>
      </c>
      <c r="H64" s="58"/>
      <c r="I64" s="23"/>
      <c r="J64" s="24" t="s">
        <v>554</v>
      </c>
      <c r="L64" s="4"/>
      <c r="M64" s="4"/>
      <c r="N64" s="78"/>
      <c r="O64" s="78"/>
      <c r="P64" s="78" t="str">
        <f t="shared" si="7"/>
        <v>,ass0021_koku_seiketsu_kaijo</v>
      </c>
      <c r="Q64" s="78" t="str">
        <f t="shared" si="8"/>
        <v>TEXT</v>
      </c>
      <c r="R64" s="78" t="str">
        <f t="shared" si="9"/>
        <v/>
      </c>
      <c r="S64" s="78" t="str">
        <f t="shared" si="10"/>
        <v/>
      </c>
      <c r="T64" s="78" t="str">
        <f t="shared" si="11"/>
        <v>-- 口腔清潔（介助の状態）</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0">
      <c r="A65" s="4"/>
      <c r="B65" s="21">
        <f t="shared" si="2"/>
        <v>53</v>
      </c>
      <c r="C65" s="6" t="s">
        <v>427</v>
      </c>
      <c r="D65" s="6" t="s">
        <v>428</v>
      </c>
      <c r="E65" s="8"/>
      <c r="F65" s="7" t="s">
        <v>317</v>
      </c>
      <c r="G65" s="7" t="str">
        <f t="shared" si="3"/>
        <v>text</v>
      </c>
      <c r="H65" s="26"/>
      <c r="I65" s="10"/>
      <c r="J65" s="11" t="s">
        <v>554</v>
      </c>
      <c r="L65" s="4"/>
      <c r="M65" s="4"/>
      <c r="N65" s="78"/>
      <c r="O65" s="78"/>
      <c r="P65" s="78" t="str">
        <f t="shared" si="7"/>
        <v>,ass0021_shokuji_sesshu_kaijo</v>
      </c>
      <c r="Q65" s="78" t="str">
        <f t="shared" si="8"/>
        <v>TEXT</v>
      </c>
      <c r="R65" s="78" t="str">
        <f t="shared" si="9"/>
        <v/>
      </c>
      <c r="S65" s="78" t="str">
        <f t="shared" si="10"/>
        <v/>
      </c>
      <c r="T65" s="78" t="str">
        <f t="shared" si="11"/>
        <v>-- 食事摂取（介助の状態）</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0">
      <c r="A66" s="4"/>
      <c r="B66" s="21">
        <f t="shared" si="2"/>
        <v>54</v>
      </c>
      <c r="C66" s="13" t="s">
        <v>429</v>
      </c>
      <c r="D66" s="13" t="s">
        <v>430</v>
      </c>
      <c r="E66" s="7"/>
      <c r="F66" s="7" t="s">
        <v>317</v>
      </c>
      <c r="G66" s="7" t="str">
        <f t="shared" si="3"/>
        <v>text</v>
      </c>
      <c r="H66" s="58"/>
      <c r="I66" s="23"/>
      <c r="J66" s="24" t="s">
        <v>554</v>
      </c>
      <c r="L66" s="4"/>
      <c r="M66" s="4"/>
      <c r="N66" s="78"/>
      <c r="O66" s="78"/>
      <c r="P66" s="78" t="str">
        <f t="shared" si="7"/>
        <v>,ass0021_ifuku_chakudatsu_kaijo</v>
      </c>
      <c r="Q66" s="78" t="str">
        <f t="shared" si="8"/>
        <v>TEXT</v>
      </c>
      <c r="R66" s="78" t="str">
        <f t="shared" si="9"/>
        <v/>
      </c>
      <c r="S66" s="78" t="str">
        <f t="shared" si="10"/>
        <v/>
      </c>
      <c r="T66" s="78" t="str">
        <f t="shared" si="11"/>
        <v>-- 衣服の着脱（介助の状態）</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0">
      <c r="A67" s="4"/>
      <c r="B67" s="21">
        <f t="shared" si="2"/>
        <v>55</v>
      </c>
      <c r="C67" s="6" t="s">
        <v>431</v>
      </c>
      <c r="D67" s="6" t="s">
        <v>432</v>
      </c>
      <c r="E67" s="8"/>
      <c r="F67" s="7" t="s">
        <v>317</v>
      </c>
      <c r="G67" s="7" t="str">
        <f t="shared" si="3"/>
        <v>text</v>
      </c>
      <c r="H67" s="26"/>
      <c r="I67" s="10"/>
      <c r="J67" s="11" t="s">
        <v>544</v>
      </c>
      <c r="L67" s="4"/>
      <c r="M67" s="4"/>
      <c r="N67" s="78"/>
      <c r="O67" s="78"/>
      <c r="P67" s="78" t="str">
        <f t="shared" si="7"/>
        <v>,ass0030_kaito_shujutsu_7days</v>
      </c>
      <c r="Q67" s="78" t="str">
        <f t="shared" si="8"/>
        <v>TEXT</v>
      </c>
      <c r="R67" s="78" t="str">
        <f t="shared" si="9"/>
        <v/>
      </c>
      <c r="S67" s="78" t="str">
        <f t="shared" si="10"/>
        <v/>
      </c>
      <c r="T67" s="78" t="str">
        <f t="shared" si="11"/>
        <v>-- 開頭手術（7日間）</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0">
      <c r="A68" s="4"/>
      <c r="B68" s="21">
        <f t="shared" si="2"/>
        <v>56</v>
      </c>
      <c r="C68" s="13" t="s">
        <v>433</v>
      </c>
      <c r="D68" s="13" t="s">
        <v>434</v>
      </c>
      <c r="E68" s="7"/>
      <c r="F68" s="7" t="s">
        <v>317</v>
      </c>
      <c r="G68" s="7" t="str">
        <f t="shared" si="3"/>
        <v>text</v>
      </c>
      <c r="H68" s="58"/>
      <c r="I68" s="23"/>
      <c r="J68" s="24" t="s">
        <v>544</v>
      </c>
      <c r="L68" s="4"/>
      <c r="M68" s="4"/>
      <c r="N68" s="78"/>
      <c r="O68" s="78"/>
      <c r="P68" s="78" t="str">
        <f t="shared" si="7"/>
        <v>,ass0030_kaikyo_shujutsu_7days</v>
      </c>
      <c r="Q68" s="78" t="str">
        <f t="shared" si="8"/>
        <v>TEXT</v>
      </c>
      <c r="R68" s="78" t="str">
        <f t="shared" si="9"/>
        <v/>
      </c>
      <c r="S68" s="78" t="str">
        <f t="shared" si="10"/>
        <v/>
      </c>
      <c r="T68" s="78" t="str">
        <f t="shared" si="11"/>
        <v>-- 開胸手術（7日間）</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0">
      <c r="A69" s="4"/>
      <c r="B69" s="21">
        <f t="shared" si="2"/>
        <v>57</v>
      </c>
      <c r="C69" s="6" t="s">
        <v>435</v>
      </c>
      <c r="D69" s="6" t="s">
        <v>436</v>
      </c>
      <c r="E69" s="8"/>
      <c r="F69" s="7" t="s">
        <v>317</v>
      </c>
      <c r="G69" s="7" t="str">
        <f t="shared" si="3"/>
        <v>text</v>
      </c>
      <c r="H69" s="26"/>
      <c r="I69" s="10"/>
      <c r="J69" s="11" t="s">
        <v>544</v>
      </c>
      <c r="L69" s="4"/>
      <c r="M69" s="4"/>
      <c r="N69" s="78"/>
      <c r="O69" s="78"/>
      <c r="P69" s="78" t="str">
        <f t="shared" si="7"/>
        <v>,ass0030_kaifuku_shujutsu_4days</v>
      </c>
      <c r="Q69" s="78" t="str">
        <f t="shared" si="8"/>
        <v>TEXT</v>
      </c>
      <c r="R69" s="78" t="str">
        <f t="shared" si="9"/>
        <v/>
      </c>
      <c r="S69" s="78" t="str">
        <f t="shared" si="10"/>
        <v/>
      </c>
      <c r="T69" s="78" t="str">
        <f t="shared" si="11"/>
        <v>-- 開腹手術（4日間）</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0">
      <c r="A70" s="4"/>
      <c r="B70" s="21">
        <f t="shared" si="2"/>
        <v>58</v>
      </c>
      <c r="C70" s="6" t="s">
        <v>437</v>
      </c>
      <c r="D70" s="6" t="s">
        <v>438</v>
      </c>
      <c r="E70" s="8"/>
      <c r="F70" s="7" t="s">
        <v>317</v>
      </c>
      <c r="G70" s="7" t="str">
        <f t="shared" si="3"/>
        <v>text</v>
      </c>
      <c r="H70" s="26"/>
      <c r="I70" s="10"/>
      <c r="J70" s="11" t="s">
        <v>544</v>
      </c>
      <c r="L70" s="4"/>
      <c r="M70" s="4"/>
      <c r="N70" s="78"/>
      <c r="O70" s="78"/>
      <c r="P70" s="78" t="str">
        <f t="shared" si="7"/>
        <v>,ass0030_hone_shujutsu_5days</v>
      </c>
      <c r="Q70" s="78" t="str">
        <f t="shared" si="8"/>
        <v>TEXT</v>
      </c>
      <c r="R70" s="78" t="str">
        <f t="shared" si="9"/>
        <v/>
      </c>
      <c r="S70" s="78" t="str">
        <f t="shared" si="10"/>
        <v/>
      </c>
      <c r="T70" s="78" t="str">
        <f t="shared" si="11"/>
        <v>-- 骨の手術（5日間）</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0">
      <c r="A71" s="4"/>
      <c r="B71" s="21">
        <f t="shared" si="2"/>
        <v>59</v>
      </c>
      <c r="C71" s="13" t="s">
        <v>439</v>
      </c>
      <c r="D71" s="13" t="s">
        <v>440</v>
      </c>
      <c r="E71" s="7"/>
      <c r="F71" s="7" t="s">
        <v>317</v>
      </c>
      <c r="G71" s="7" t="str">
        <f t="shared" si="3"/>
        <v>text</v>
      </c>
      <c r="H71" s="58"/>
      <c r="I71" s="23"/>
      <c r="J71" s="24" t="s">
        <v>544</v>
      </c>
      <c r="L71" s="4"/>
      <c r="M71" s="4"/>
      <c r="N71" s="78"/>
      <c r="O71" s="78"/>
      <c r="P71" s="78" t="str">
        <f t="shared" si="7"/>
        <v>,ass0030_kokyo_shujutsu_3days</v>
      </c>
      <c r="Q71" s="78" t="str">
        <f t="shared" si="8"/>
        <v>TEXT</v>
      </c>
      <c r="R71" s="78" t="str">
        <f t="shared" si="9"/>
        <v/>
      </c>
      <c r="S71" s="78" t="str">
        <f t="shared" si="10"/>
        <v/>
      </c>
      <c r="T71" s="78" t="str">
        <f t="shared" si="11"/>
        <v>-- 胸腔鏡・腹腔鏡手術（3日間）</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0">
      <c r="A72" s="4"/>
      <c r="B72" s="21">
        <f t="shared" si="2"/>
        <v>60</v>
      </c>
      <c r="C72" s="6" t="s">
        <v>441</v>
      </c>
      <c r="D72" s="6" t="s">
        <v>442</v>
      </c>
      <c r="E72" s="8"/>
      <c r="F72" s="7" t="s">
        <v>317</v>
      </c>
      <c r="G72" s="7" t="str">
        <f t="shared" si="3"/>
        <v>text</v>
      </c>
      <c r="H72" s="26"/>
      <c r="I72" s="10"/>
      <c r="J72" s="11" t="s">
        <v>544</v>
      </c>
      <c r="L72" s="4"/>
      <c r="M72" s="4"/>
      <c r="N72" s="78"/>
      <c r="O72" s="78"/>
      <c r="P72" s="78" t="str">
        <f t="shared" si="7"/>
        <v>,ass0030_masui_shujutsu_2days</v>
      </c>
      <c r="Q72" s="78" t="str">
        <f t="shared" si="8"/>
        <v>TEXT</v>
      </c>
      <c r="R72" s="78" t="str">
        <f t="shared" si="9"/>
        <v/>
      </c>
      <c r="S72" s="78" t="str">
        <f t="shared" si="10"/>
        <v/>
      </c>
      <c r="T72" s="78" t="str">
        <f t="shared" si="11"/>
        <v>-- 全身麻酔・脊椎麻酔の手術（2日間）</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443</v>
      </c>
      <c r="D73" s="13" t="s">
        <v>444</v>
      </c>
      <c r="E73" s="7"/>
      <c r="F73" s="7" t="s">
        <v>317</v>
      </c>
      <c r="G73" s="7" t="str">
        <f t="shared" si="3"/>
        <v>text</v>
      </c>
      <c r="H73" s="58"/>
      <c r="I73" s="23"/>
      <c r="J73" s="24" t="s">
        <v>555</v>
      </c>
      <c r="L73" s="4"/>
      <c r="M73" s="4"/>
      <c r="N73" s="78"/>
      <c r="O73" s="78"/>
      <c r="P73" s="78" t="str">
        <f t="shared" si="7"/>
        <v>,ass0030_naika_chiryo_2days</v>
      </c>
      <c r="Q73" s="78" t="str">
        <f t="shared" si="8"/>
        <v>TEXT</v>
      </c>
      <c r="R73" s="78" t="str">
        <f t="shared" si="9"/>
        <v/>
      </c>
      <c r="S73" s="78" t="str">
        <f t="shared" si="10"/>
        <v/>
      </c>
      <c r="T73" s="78" t="str">
        <f t="shared" si="11"/>
        <v>-- 救命等に係る内科的治療（2日間）</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370</v>
      </c>
      <c r="D74" s="6" t="s">
        <v>445</v>
      </c>
      <c r="E74" s="8"/>
      <c r="F74" s="7" t="s">
        <v>317</v>
      </c>
      <c r="G74" s="7" t="str">
        <f t="shared" si="3"/>
        <v>text</v>
      </c>
      <c r="H74" s="26"/>
      <c r="I74" s="10"/>
      <c r="J74" s="11" t="s">
        <v>544</v>
      </c>
      <c r="L74" s="4"/>
      <c r="M74" s="4"/>
      <c r="N74" s="78"/>
      <c r="O74" s="78"/>
      <c r="P74" s="78" t="str">
        <f t="shared" si="7"/>
        <v>,ass0040_shindenzu_kanri</v>
      </c>
      <c r="Q74" s="78" t="str">
        <f t="shared" si="8"/>
        <v>TEXT</v>
      </c>
      <c r="R74" s="78" t="str">
        <f t="shared" si="9"/>
        <v/>
      </c>
      <c r="S74" s="78" t="str">
        <f t="shared" si="10"/>
        <v/>
      </c>
      <c r="T74" s="78" t="str">
        <f t="shared" si="11"/>
        <v>-- 心電図モニターの管理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0">
      <c r="A75" s="4"/>
      <c r="B75" s="21">
        <f t="shared" si="2"/>
        <v>63</v>
      </c>
      <c r="C75" s="13" t="s">
        <v>446</v>
      </c>
      <c r="D75" s="13" t="s">
        <v>447</v>
      </c>
      <c r="E75" s="7"/>
      <c r="F75" s="7" t="s">
        <v>317</v>
      </c>
      <c r="G75" s="7" t="str">
        <f t="shared" si="3"/>
        <v>text</v>
      </c>
      <c r="H75" s="58"/>
      <c r="I75" s="23"/>
      <c r="J75" s="24" t="s">
        <v>544</v>
      </c>
      <c r="L75" s="4"/>
      <c r="M75" s="4"/>
      <c r="N75" s="78"/>
      <c r="O75" s="78"/>
      <c r="P75" s="78" t="str">
        <f t="shared" si="7"/>
        <v>,ass0040_yueki_pump_kanri</v>
      </c>
      <c r="Q75" s="78" t="str">
        <f t="shared" si="8"/>
        <v>TEXT</v>
      </c>
      <c r="R75" s="78" t="str">
        <f t="shared" si="9"/>
        <v/>
      </c>
      <c r="S75" s="78" t="str">
        <f t="shared" si="10"/>
        <v/>
      </c>
      <c r="T75" s="78" t="str">
        <f t="shared" si="11"/>
        <v>-- 輸液ポンプの管理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ht="30">
      <c r="A76" s="4"/>
      <c r="B76" s="21">
        <f t="shared" si="2"/>
        <v>64</v>
      </c>
      <c r="C76" s="6" t="s">
        <v>448</v>
      </c>
      <c r="D76" s="6" t="s">
        <v>449</v>
      </c>
      <c r="E76" s="8"/>
      <c r="F76" s="7" t="s">
        <v>317</v>
      </c>
      <c r="G76" s="7" t="str">
        <f t="shared" si="3"/>
        <v>text</v>
      </c>
      <c r="H76" s="26"/>
      <c r="I76" s="10"/>
      <c r="J76" s="11" t="s">
        <v>544</v>
      </c>
      <c r="L76" s="4"/>
      <c r="M76" s="4"/>
      <c r="N76" s="78"/>
      <c r="O76" s="78"/>
      <c r="P76" s="78" t="str">
        <f t="shared" si="7"/>
        <v>,ass0040_domyaku_sokutei</v>
      </c>
      <c r="Q76" s="78" t="str">
        <f t="shared" si="8"/>
        <v>TEXT</v>
      </c>
      <c r="R76" s="78" t="str">
        <f t="shared" si="9"/>
        <v/>
      </c>
      <c r="S76" s="78" t="str">
        <f t="shared" si="10"/>
        <v/>
      </c>
      <c r="T76" s="78" t="str">
        <f t="shared" si="11"/>
        <v>-- 動脈圧測定（動脈ライン）</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0">
      <c r="A77" s="4"/>
      <c r="B77" s="21">
        <f t="shared" si="2"/>
        <v>65</v>
      </c>
      <c r="C77" s="13" t="s">
        <v>372</v>
      </c>
      <c r="D77" s="13" t="s">
        <v>450</v>
      </c>
      <c r="E77" s="7"/>
      <c r="F77" s="7" t="s">
        <v>317</v>
      </c>
      <c r="G77" s="7" t="str">
        <f t="shared" si="3"/>
        <v>text</v>
      </c>
      <c r="H77" s="58"/>
      <c r="I77" s="23"/>
      <c r="J77" s="24" t="s">
        <v>544</v>
      </c>
      <c r="L77" s="4"/>
      <c r="M77" s="4"/>
      <c r="N77" s="78"/>
      <c r="O77" s="78"/>
      <c r="P77" s="78" t="str">
        <f t="shared" si="7"/>
        <v>,ass0040_syringe_pump_kanri</v>
      </c>
      <c r="Q77" s="78" t="str">
        <f t="shared" si="8"/>
        <v>TEXT</v>
      </c>
      <c r="R77" s="78" t="str">
        <f t="shared" si="9"/>
        <v/>
      </c>
      <c r="S77" s="78" t="str">
        <f t="shared" si="10"/>
        <v/>
      </c>
      <c r="T77" s="78" t="str">
        <f t="shared" si="11"/>
        <v>-- シリンジポンプの管理</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0">
      <c r="A78" s="4"/>
      <c r="B78" s="21">
        <f t="shared" si="2"/>
        <v>66</v>
      </c>
      <c r="C78" s="6" t="s">
        <v>451</v>
      </c>
      <c r="D78" s="6" t="s">
        <v>452</v>
      </c>
      <c r="E78" s="8"/>
      <c r="F78" s="7" t="s">
        <v>317</v>
      </c>
      <c r="G78" s="7" t="str">
        <f t="shared" si="3"/>
        <v>text</v>
      </c>
      <c r="H78" s="26"/>
      <c r="I78" s="10"/>
      <c r="J78" s="11" t="s">
        <v>544</v>
      </c>
      <c r="L78" s="4"/>
      <c r="M78" s="4"/>
      <c r="N78" s="78"/>
      <c r="O78" s="78"/>
      <c r="P78" s="78" t="str">
        <f t="shared" si="7"/>
        <v>,ass0040_jomyaku_sokutei</v>
      </c>
      <c r="Q78" s="78" t="str">
        <f t="shared" si="8"/>
        <v>TEXT</v>
      </c>
      <c r="R78" s="78" t="str">
        <f t="shared" si="9"/>
        <v/>
      </c>
      <c r="S78" s="78" t="str">
        <f t="shared" si="10"/>
        <v/>
      </c>
      <c r="T78" s="78" t="str">
        <f t="shared" si="11"/>
        <v>-- 中心静脈圧測定（中心静脈ライン）</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453</v>
      </c>
      <c r="D79" s="13" t="s">
        <v>454</v>
      </c>
      <c r="E79" s="7"/>
      <c r="F79" s="7" t="s">
        <v>317</v>
      </c>
      <c r="G79" s="7" t="str">
        <f t="shared" si="3"/>
        <v>text</v>
      </c>
      <c r="H79" s="58"/>
      <c r="I79" s="23"/>
      <c r="J79" s="24" t="s">
        <v>544</v>
      </c>
      <c r="L79" s="4"/>
      <c r="M79" s="4"/>
      <c r="N79" s="78"/>
      <c r="O79" s="78"/>
      <c r="P79" s="78" t="str">
        <f t="shared" si="7"/>
        <v>,ass0040_jinko_kokyuki_kanri</v>
      </c>
      <c r="Q79" s="78" t="str">
        <f t="shared" si="8"/>
        <v>TEXT</v>
      </c>
      <c r="R79" s="78" t="str">
        <f t="shared" si="9"/>
        <v/>
      </c>
      <c r="S79" s="78" t="str">
        <f t="shared" si="10"/>
        <v/>
      </c>
      <c r="T79" s="78" t="str">
        <f t="shared" si="11"/>
        <v>-- 人工呼吸器の管理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0">
      <c r="A80" s="4"/>
      <c r="B80" s="21">
        <f t="shared" si="2"/>
        <v>68</v>
      </c>
      <c r="C80" s="13" t="s">
        <v>374</v>
      </c>
      <c r="D80" s="13" t="s">
        <v>455</v>
      </c>
      <c r="E80" s="7"/>
      <c r="F80" s="7" t="s">
        <v>317</v>
      </c>
      <c r="G80" s="7" t="str">
        <f t="shared" si="3"/>
        <v>text</v>
      </c>
      <c r="H80" s="58"/>
      <c r="I80" s="23"/>
      <c r="J80" s="24" t="s">
        <v>544</v>
      </c>
      <c r="L80" s="4"/>
      <c r="M80" s="4"/>
      <c r="N80" s="78"/>
      <c r="O80" s="78"/>
      <c r="P80" s="78" t="str">
        <f t="shared" si="7"/>
        <v>,ass0040_blood_products_kanri</v>
      </c>
      <c r="Q80" s="78" t="str">
        <f t="shared" si="8"/>
        <v>TEXT</v>
      </c>
      <c r="R80" s="78" t="str">
        <f t="shared" si="9"/>
        <v/>
      </c>
      <c r="S80" s="78" t="str">
        <f t="shared" si="10"/>
        <v/>
      </c>
      <c r="T80" s="78" t="str">
        <f t="shared" si="11"/>
        <v>-- 輸血や血液製剤の管理</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0">
      <c r="A81" s="4"/>
      <c r="B81" s="21">
        <f t="shared" si="2"/>
        <v>69</v>
      </c>
      <c r="C81" s="13" t="s">
        <v>456</v>
      </c>
      <c r="D81" s="13" t="s">
        <v>457</v>
      </c>
      <c r="E81" s="7"/>
      <c r="F81" s="7" t="s">
        <v>317</v>
      </c>
      <c r="G81" s="7" t="str">
        <f t="shared" si="3"/>
        <v>text</v>
      </c>
      <c r="H81" s="58"/>
      <c r="I81" s="23"/>
      <c r="J81" s="24" t="s">
        <v>544</v>
      </c>
      <c r="L81" s="4"/>
      <c r="M81" s="4"/>
      <c r="N81" s="78"/>
      <c r="O81" s="78"/>
      <c r="P81" s="78" t="str">
        <f t="shared" si="7"/>
        <v>,ass0040_hai_domyaku_sokutei</v>
      </c>
      <c r="Q81" s="78" t="str">
        <f t="shared" si="8"/>
        <v>TEXT</v>
      </c>
      <c r="R81" s="78" t="str">
        <f t="shared" si="9"/>
        <v/>
      </c>
      <c r="S81" s="78" t="str">
        <f t="shared" si="10"/>
        <v/>
      </c>
      <c r="T81" s="78" t="str">
        <f t="shared" si="11"/>
        <v>-- 肺動脈圧測定（スワンガンツカテーテル）</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8"/>
      <c r="O82" s="78"/>
      <c r="P82" s="78" t="str">
        <f t="shared" si="7"/>
        <v>,ass0040_special_chiryo</v>
      </c>
      <c r="Q82" s="78" t="str">
        <f t="shared" si="8"/>
        <v>TEXT</v>
      </c>
      <c r="R82" s="78" t="str">
        <f t="shared" si="9"/>
        <v/>
      </c>
      <c r="S82" s="78" t="str">
        <f t="shared" si="10"/>
        <v/>
      </c>
      <c r="T82" s="78" t="str">
        <f t="shared" si="11"/>
        <v>-- 特殊な治療法等</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0">
      <c r="A83" s="4"/>
      <c r="B83" s="21">
        <f t="shared" si="2"/>
        <v>71</v>
      </c>
      <c r="C83" s="13" t="s">
        <v>446</v>
      </c>
      <c r="D83" s="13" t="s">
        <v>460</v>
      </c>
      <c r="E83" s="7"/>
      <c r="F83" s="7" t="s">
        <v>317</v>
      </c>
      <c r="G83" s="7" t="str">
        <f t="shared" si="3"/>
        <v>text</v>
      </c>
      <c r="H83" s="58"/>
      <c r="I83" s="23"/>
      <c r="J83" s="24" t="s">
        <v>544</v>
      </c>
      <c r="L83" s="4"/>
      <c r="M83" s="4"/>
      <c r="N83" s="78"/>
      <c r="O83" s="78"/>
      <c r="P83" s="78" t="str">
        <f t="shared" si="7"/>
        <v>,ass0041_yueki_pump_kanri</v>
      </c>
      <c r="Q83" s="78" t="str">
        <f t="shared" si="8"/>
        <v>TEXT</v>
      </c>
      <c r="R83" s="78" t="str">
        <f t="shared" si="9"/>
        <v/>
      </c>
      <c r="S83" s="78" t="str">
        <f t="shared" si="10"/>
        <v/>
      </c>
      <c r="T83" s="78" t="str">
        <f t="shared" si="11"/>
        <v>-- 輸液ポンプの管理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0">
      <c r="A84" s="4"/>
      <c r="B84" s="21">
        <f t="shared" si="2"/>
        <v>72</v>
      </c>
      <c r="C84" s="6" t="s">
        <v>461</v>
      </c>
      <c r="D84" s="6" t="s">
        <v>462</v>
      </c>
      <c r="E84" s="8"/>
      <c r="F84" s="7" t="s">
        <v>317</v>
      </c>
      <c r="G84" s="7" t="str">
        <f t="shared" si="3"/>
        <v>text</v>
      </c>
      <c r="H84" s="26"/>
      <c r="I84" s="10"/>
      <c r="J84" s="11" t="s">
        <v>544</v>
      </c>
      <c r="L84" s="4"/>
      <c r="M84" s="4"/>
      <c r="N84" s="78"/>
      <c r="O84" s="78"/>
      <c r="P84" s="78" t="str">
        <f t="shared" si="7"/>
        <v>,ass0041_domyakuatsu_sokute</v>
      </c>
      <c r="Q84" s="78" t="str">
        <f t="shared" si="8"/>
        <v>TEXT</v>
      </c>
      <c r="R84" s="78" t="str">
        <f t="shared" si="9"/>
        <v/>
      </c>
      <c r="S84" s="78" t="str">
        <f t="shared" si="10"/>
        <v/>
      </c>
      <c r="T84" s="78" t="str">
        <f t="shared" si="11"/>
        <v>-- 動脈圧測定</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0">
      <c r="A85" s="4"/>
      <c r="B85" s="21">
        <f t="shared" si="2"/>
        <v>73</v>
      </c>
      <c r="C85" s="13" t="s">
        <v>372</v>
      </c>
      <c r="D85" s="13" t="s">
        <v>463</v>
      </c>
      <c r="E85" s="7"/>
      <c r="F85" s="7" t="s">
        <v>317</v>
      </c>
      <c r="G85" s="7" t="str">
        <f t="shared" si="3"/>
        <v>text</v>
      </c>
      <c r="H85" s="58"/>
      <c r="I85" s="23"/>
      <c r="J85" s="24" t="s">
        <v>544</v>
      </c>
      <c r="L85" s="4"/>
      <c r="M85" s="4"/>
      <c r="N85" s="78"/>
      <c r="O85" s="78"/>
      <c r="P85" s="78" t="str">
        <f t="shared" si="7"/>
        <v>,ass0041_syringe_pump_kanri</v>
      </c>
      <c r="Q85" s="78" t="str">
        <f t="shared" si="8"/>
        <v>TEXT</v>
      </c>
      <c r="R85" s="78" t="str">
        <f t="shared" si="9"/>
        <v/>
      </c>
      <c r="S85" s="78" t="str">
        <f t="shared" si="10"/>
        <v/>
      </c>
      <c r="T85" s="78" t="str">
        <f t="shared" si="11"/>
        <v>-- シリンジポンプの管理</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0">
      <c r="A86" s="4"/>
      <c r="B86" s="21">
        <f t="shared" si="2"/>
        <v>74</v>
      </c>
      <c r="C86" s="6" t="s">
        <v>451</v>
      </c>
      <c r="D86" s="6" t="s">
        <v>464</v>
      </c>
      <c r="E86" s="8"/>
      <c r="F86" s="7" t="s">
        <v>317</v>
      </c>
      <c r="G86" s="7" t="str">
        <f t="shared" si="3"/>
        <v>text</v>
      </c>
      <c r="H86" s="26"/>
      <c r="I86" s="10"/>
      <c r="J86" s="11" t="s">
        <v>544</v>
      </c>
      <c r="L86" s="4"/>
      <c r="M86" s="4"/>
      <c r="N86" s="78"/>
      <c r="O86" s="78"/>
      <c r="P86" s="78" t="str">
        <f t="shared" si="7"/>
        <v>,ass0041_jomyaku_sokutei</v>
      </c>
      <c r="Q86" s="78" t="str">
        <f t="shared" si="8"/>
        <v>TEXT</v>
      </c>
      <c r="R86" s="78" t="str">
        <f t="shared" si="9"/>
        <v/>
      </c>
      <c r="S86" s="78" t="str">
        <f t="shared" si="10"/>
        <v/>
      </c>
      <c r="T86" s="78" t="str">
        <f t="shared" si="11"/>
        <v>-- 中心静脈圧測定（中心静脈ライン）</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465</v>
      </c>
      <c r="D87" s="6" t="s">
        <v>466</v>
      </c>
      <c r="E87" s="8"/>
      <c r="F87" s="7" t="s">
        <v>317</v>
      </c>
      <c r="G87" s="7" t="str">
        <f t="shared" si="3"/>
        <v>text</v>
      </c>
      <c r="H87" s="26"/>
      <c r="I87" s="10"/>
      <c r="J87" s="11" t="s">
        <v>544</v>
      </c>
      <c r="L87" s="4"/>
      <c r="M87" s="4"/>
      <c r="N87" s="78"/>
      <c r="O87" s="78"/>
      <c r="P87" s="78" t="str">
        <f t="shared" si="7"/>
        <v>,ass0041_jinko_kokyuki_kanri</v>
      </c>
      <c r="Q87" s="78" t="str">
        <f t="shared" si="8"/>
        <v>TEXT</v>
      </c>
      <c r="R87" s="78" t="str">
        <f t="shared" si="9"/>
        <v/>
      </c>
      <c r="S87" s="78" t="str">
        <f t="shared" si="10"/>
        <v/>
      </c>
      <c r="T87" s="78" t="str">
        <f t="shared" si="11"/>
        <v>-- 人工呼吸器の管理</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0">
      <c r="A88" s="4"/>
      <c r="B88" s="21">
        <f t="shared" si="2"/>
        <v>76</v>
      </c>
      <c r="C88" s="13" t="s">
        <v>374</v>
      </c>
      <c r="D88" s="13" t="s">
        <v>467</v>
      </c>
      <c r="E88" s="7"/>
      <c r="F88" s="7" t="s">
        <v>317</v>
      </c>
      <c r="G88" s="7" t="str">
        <f t="shared" si="3"/>
        <v>text</v>
      </c>
      <c r="H88" s="58"/>
      <c r="I88" s="23"/>
      <c r="J88" s="24" t="s">
        <v>544</v>
      </c>
      <c r="L88" s="4"/>
      <c r="M88" s="4"/>
      <c r="N88" s="78"/>
      <c r="O88" s="78"/>
      <c r="P88" s="78" t="str">
        <f t="shared" si="7"/>
        <v>,ass0041_blood_products_kanri</v>
      </c>
      <c r="Q88" s="78" t="str">
        <f t="shared" si="8"/>
        <v>TEXT</v>
      </c>
      <c r="R88" s="78" t="str">
        <f t="shared" si="9"/>
        <v/>
      </c>
      <c r="S88" s="78" t="str">
        <f t="shared" si="10"/>
        <v/>
      </c>
      <c r="T88" s="78" t="str">
        <f t="shared" si="11"/>
        <v>-- 輸血や血液製剤の管理</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0">
      <c r="A89" s="4"/>
      <c r="B89" s="21">
        <f t="shared" si="2"/>
        <v>77</v>
      </c>
      <c r="C89" s="6" t="s">
        <v>468</v>
      </c>
      <c r="D89" s="6" t="s">
        <v>469</v>
      </c>
      <c r="E89" s="8"/>
      <c r="F89" s="7" t="s">
        <v>317</v>
      </c>
      <c r="G89" s="7" t="str">
        <f t="shared" si="3"/>
        <v>text</v>
      </c>
      <c r="H89" s="26"/>
      <c r="I89" s="10"/>
      <c r="J89" s="11" t="s">
        <v>544</v>
      </c>
      <c r="L89" s="4"/>
      <c r="M89" s="4"/>
      <c r="N89" s="78"/>
      <c r="O89" s="78"/>
      <c r="P89" s="78" t="str">
        <f t="shared" si="7"/>
        <v>,ass0041_hai_domyaku_sokutei</v>
      </c>
      <c r="Q89" s="78" t="str">
        <f t="shared" si="8"/>
        <v>TEXT</v>
      </c>
      <c r="R89" s="78" t="str">
        <f t="shared" si="9"/>
        <v/>
      </c>
      <c r="S89" s="78" t="str">
        <f t="shared" si="10"/>
        <v/>
      </c>
      <c r="T89" s="78" t="str">
        <f t="shared" si="11"/>
        <v>-- 肺動脈圧測定（スワンガンツカテーテル）</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8"/>
      <c r="O90" s="78"/>
      <c r="P90" s="78" t="str">
        <f t="shared" si="7"/>
        <v>,ass0041_special_chiryo</v>
      </c>
      <c r="Q90" s="78" t="str">
        <f t="shared" si="8"/>
        <v>TEXT</v>
      </c>
      <c r="R90" s="78" t="str">
        <f t="shared" si="9"/>
        <v/>
      </c>
      <c r="S90" s="78" t="str">
        <f t="shared" si="10"/>
        <v/>
      </c>
      <c r="T90" s="78" t="str">
        <f t="shared" si="11"/>
        <v>-- 特殊な治療法等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4.799999999999997">
      <c r="A91" s="4"/>
      <c r="B91" s="21">
        <f t="shared" si="2"/>
        <v>79</v>
      </c>
      <c r="C91" s="6" t="s">
        <v>398</v>
      </c>
      <c r="D91" s="6" t="s">
        <v>471</v>
      </c>
      <c r="E91" s="8"/>
      <c r="F91" s="7" t="s">
        <v>317</v>
      </c>
      <c r="G91" s="7" t="str">
        <f t="shared" si="3"/>
        <v>text</v>
      </c>
      <c r="H91" s="26"/>
      <c r="I91" s="10"/>
      <c r="J91" s="11" t="s">
        <v>547</v>
      </c>
      <c r="L91" s="4"/>
      <c r="M91" s="4"/>
      <c r="N91" s="78"/>
      <c r="O91" s="78"/>
      <c r="P91" s="78" t="str">
        <f t="shared" si="7"/>
        <v>,ass0050_negaeri</v>
      </c>
      <c r="Q91" s="78" t="str">
        <f t="shared" si="8"/>
        <v>TEXT</v>
      </c>
      <c r="R91" s="78" t="str">
        <f t="shared" si="9"/>
        <v/>
      </c>
      <c r="S91" s="78" t="str">
        <f t="shared" si="10"/>
        <v/>
      </c>
      <c r="T91" s="78" t="str">
        <f t="shared" si="11"/>
        <v>-- 寝返り</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8"/>
      <c r="O92" s="78"/>
      <c r="P92" s="78" t="str">
        <f t="shared" si="7"/>
        <v>,ass0050_ijo</v>
      </c>
      <c r="Q92" s="78" t="str">
        <f t="shared" si="8"/>
        <v>TEXT</v>
      </c>
      <c r="R92" s="78" t="str">
        <f t="shared" si="9"/>
        <v/>
      </c>
      <c r="S92" s="78" t="str">
        <f t="shared" si="10"/>
        <v/>
      </c>
      <c r="T92" s="78" t="str">
        <f t="shared" si="11"/>
        <v>-- 移乗</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8"/>
      <c r="O93" s="78"/>
      <c r="P93" s="78" t="str">
        <f t="shared" si="7"/>
        <v>,ass0050_koku_seiketsu</v>
      </c>
      <c r="Q93" s="78" t="str">
        <f t="shared" si="8"/>
        <v>TEXT</v>
      </c>
      <c r="R93" s="78" t="str">
        <f t="shared" si="9"/>
        <v/>
      </c>
      <c r="S93" s="78" t="str">
        <f t="shared" si="10"/>
        <v/>
      </c>
      <c r="T93" s="78" t="str">
        <f t="shared" si="11"/>
        <v>-- 口腔清潔</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8"/>
      <c r="O94" s="78"/>
      <c r="P94" s="78" t="str">
        <f t="shared" si="7"/>
        <v>,ass0050_shokuji_sesshu</v>
      </c>
      <c r="Q94" s="78" t="str">
        <f t="shared" si="8"/>
        <v>TEXT</v>
      </c>
      <c r="R94" s="78" t="str">
        <f t="shared" si="9"/>
        <v/>
      </c>
      <c r="S94" s="78" t="str">
        <f t="shared" si="10"/>
        <v/>
      </c>
      <c r="T94" s="78" t="str">
        <f t="shared" si="11"/>
        <v>-- 食事摂取</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ht="30">
      <c r="A95" s="4"/>
      <c r="B95" s="21">
        <f t="shared" si="2"/>
        <v>83</v>
      </c>
      <c r="C95" s="6" t="s">
        <v>406</v>
      </c>
      <c r="D95" s="6" t="s">
        <v>475</v>
      </c>
      <c r="E95" s="8"/>
      <c r="F95" s="7" t="s">
        <v>317</v>
      </c>
      <c r="G95" s="7" t="str">
        <f t="shared" si="3"/>
        <v>text</v>
      </c>
      <c r="H95" s="26"/>
      <c r="I95" s="10"/>
      <c r="J95" s="11" t="s">
        <v>548</v>
      </c>
      <c r="L95" s="4"/>
      <c r="M95" s="4"/>
      <c r="N95" s="78"/>
      <c r="O95" s="78"/>
      <c r="P95" s="78" t="str">
        <f t="shared" si="7"/>
        <v>,ass0050_ifuku_chakudatsu</v>
      </c>
      <c r="Q95" s="78" t="str">
        <f t="shared" si="8"/>
        <v>TEXT</v>
      </c>
      <c r="R95" s="78" t="str">
        <f t="shared" si="9"/>
        <v/>
      </c>
      <c r="S95" s="78" t="str">
        <f t="shared" si="10"/>
        <v/>
      </c>
      <c r="T95" s="78" t="str">
        <f t="shared" si="11"/>
        <v>-- 衣服の着脱</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8"/>
      <c r="O96" s="78"/>
      <c r="P96" s="78" t="str">
        <f t="shared" si="7"/>
        <v>,ass0050_shinryo_shiji</v>
      </c>
      <c r="Q96" s="78" t="str">
        <f t="shared" si="8"/>
        <v>TEXT</v>
      </c>
      <c r="R96" s="78" t="str">
        <f t="shared" si="9"/>
        <v/>
      </c>
      <c r="S96" s="78" t="str">
        <f t="shared" si="10"/>
        <v/>
      </c>
      <c r="T96" s="78" t="str">
        <f t="shared" si="11"/>
        <v>-- 診療・療養上の指示が通じる</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8"/>
      <c r="O97" s="78"/>
      <c r="P97" s="78" t="str">
        <f t="shared" si="7"/>
        <v>,ass0050_kiken_kodo</v>
      </c>
      <c r="Q97" s="78" t="str">
        <f t="shared" si="8"/>
        <v>TEXT</v>
      </c>
      <c r="R97" s="78" t="str">
        <f t="shared" si="9"/>
        <v/>
      </c>
      <c r="S97" s="78" t="str">
        <f t="shared" si="10"/>
        <v/>
      </c>
      <c r="T97" s="78" t="str">
        <f t="shared" si="11"/>
        <v>-- 危険行動</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4.799999999999997">
      <c r="A98" s="4"/>
      <c r="B98" s="21">
        <f t="shared" si="2"/>
        <v>86</v>
      </c>
      <c r="C98" s="13" t="s">
        <v>398</v>
      </c>
      <c r="D98" s="13" t="s">
        <v>478</v>
      </c>
      <c r="E98" s="7"/>
      <c r="F98" s="7" t="s">
        <v>317</v>
      </c>
      <c r="G98" s="7" t="str">
        <f t="shared" si="3"/>
        <v>text</v>
      </c>
      <c r="H98" s="58"/>
      <c r="I98" s="23"/>
      <c r="J98" s="24" t="s">
        <v>547</v>
      </c>
      <c r="L98" s="4"/>
      <c r="M98" s="4"/>
      <c r="N98" s="78"/>
      <c r="O98" s="78"/>
      <c r="P98" s="78" t="str">
        <f t="shared" si="7"/>
        <v>,ass0051_negaeri</v>
      </c>
      <c r="Q98" s="78" t="str">
        <f t="shared" si="8"/>
        <v>TEXT</v>
      </c>
      <c r="R98" s="78" t="str">
        <f t="shared" si="9"/>
        <v/>
      </c>
      <c r="S98" s="78" t="str">
        <f t="shared" si="10"/>
        <v/>
      </c>
      <c r="T98" s="78" t="str">
        <f t="shared" si="11"/>
        <v>-- 寝返り</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8"/>
      <c r="O99" s="78"/>
      <c r="P99" s="78" t="str">
        <f t="shared" si="7"/>
        <v>,ass0051_ijo_kanja</v>
      </c>
      <c r="Q99" s="78" t="str">
        <f t="shared" si="8"/>
        <v>TEXT</v>
      </c>
      <c r="R99" s="78" t="str">
        <f t="shared" si="9"/>
        <v/>
      </c>
      <c r="S99" s="78" t="str">
        <f t="shared" si="10"/>
        <v/>
      </c>
      <c r="T99" s="78" t="str">
        <f t="shared" si="11"/>
        <v>-- 移乗（患者の状態）</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0">
      <c r="A100" s="4"/>
      <c r="B100" s="21">
        <f t="shared" si="2"/>
        <v>88</v>
      </c>
      <c r="C100" s="13" t="s">
        <v>415</v>
      </c>
      <c r="D100" s="13" t="s">
        <v>480</v>
      </c>
      <c r="E100" s="7"/>
      <c r="F100" s="7" t="s">
        <v>317</v>
      </c>
      <c r="G100" s="7" t="str">
        <f t="shared" si="3"/>
        <v>text</v>
      </c>
      <c r="H100" s="58"/>
      <c r="I100" s="23"/>
      <c r="J100" s="24" t="s">
        <v>553</v>
      </c>
      <c r="L100" s="4"/>
      <c r="M100" s="4"/>
      <c r="N100" s="78"/>
      <c r="O100" s="78"/>
      <c r="P100" s="78" t="str">
        <f t="shared" si="7"/>
        <v>,ass0051_koku_seiketsu_kanja</v>
      </c>
      <c r="Q100" s="78" t="str">
        <f t="shared" si="8"/>
        <v>TEXT</v>
      </c>
      <c r="R100" s="78" t="str">
        <f t="shared" si="9"/>
        <v/>
      </c>
      <c r="S100" s="78" t="str">
        <f t="shared" si="10"/>
        <v/>
      </c>
      <c r="T100" s="78" t="str">
        <f t="shared" si="11"/>
        <v>-- 口腔清潔（患者の状態）</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417</v>
      </c>
      <c r="D101" s="6" t="s">
        <v>481</v>
      </c>
      <c r="E101" s="8"/>
      <c r="F101" s="7" t="s">
        <v>317</v>
      </c>
      <c r="G101" s="7" t="str">
        <f t="shared" si="3"/>
        <v>text</v>
      </c>
      <c r="H101" s="26"/>
      <c r="I101" s="10"/>
      <c r="J101" s="11" t="s">
        <v>552</v>
      </c>
      <c r="L101" s="4"/>
      <c r="M101" s="4"/>
      <c r="N101" s="78"/>
      <c r="O101" s="78"/>
      <c r="P101" s="78" t="str">
        <f t="shared" si="7"/>
        <v>,ass0051_shokuji_sesshu_kanja</v>
      </c>
      <c r="Q101" s="78" t="str">
        <f t="shared" si="8"/>
        <v>TEXT</v>
      </c>
      <c r="R101" s="78" t="str">
        <f t="shared" si="9"/>
        <v/>
      </c>
      <c r="S101" s="78" t="str">
        <f t="shared" si="10"/>
        <v/>
      </c>
      <c r="T101" s="78" t="str">
        <f t="shared" si="11"/>
        <v>-- 食事摂取（患者の状態）</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419</v>
      </c>
      <c r="D102" s="13" t="s">
        <v>482</v>
      </c>
      <c r="E102" s="7"/>
      <c r="F102" s="7" t="s">
        <v>317</v>
      </c>
      <c r="G102" s="7" t="str">
        <f t="shared" si="3"/>
        <v>text</v>
      </c>
      <c r="H102" s="58"/>
      <c r="I102" s="23"/>
      <c r="J102" s="24" t="s">
        <v>552</v>
      </c>
      <c r="L102" s="4"/>
      <c r="M102" s="4"/>
      <c r="N102" s="78"/>
      <c r="O102" s="78"/>
      <c r="P102" s="78" t="str">
        <f t="shared" si="7"/>
        <v>,ass0051_ifuku_chakudatsu_kanja</v>
      </c>
      <c r="Q102" s="78" t="str">
        <f t="shared" si="8"/>
        <v>TEXT</v>
      </c>
      <c r="R102" s="78" t="str">
        <f t="shared" si="9"/>
        <v/>
      </c>
      <c r="S102" s="78" t="str">
        <f t="shared" si="10"/>
        <v/>
      </c>
      <c r="T102" s="78" t="str">
        <f t="shared" si="11"/>
        <v>-- 衣服の着脱（患者の状態）</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8"/>
      <c r="O103" s="78"/>
      <c r="P103" s="78" t="str">
        <f t="shared" si="7"/>
        <v>,ass0051_shinryo_shiji</v>
      </c>
      <c r="Q103" s="78" t="str">
        <f t="shared" si="8"/>
        <v>TEXT</v>
      </c>
      <c r="R103" s="78" t="str">
        <f t="shared" si="9"/>
        <v/>
      </c>
      <c r="S103" s="78" t="str">
        <f t="shared" si="10"/>
        <v/>
      </c>
      <c r="T103" s="78" t="str">
        <f t="shared" si="11"/>
        <v>-- 診療・療養上の指示が通じる</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8"/>
      <c r="O104" s="78"/>
      <c r="P104" s="78" t="str">
        <f t="shared" si="7"/>
        <v>,ass0051_kiken_kodo</v>
      </c>
      <c r="Q104" s="78" t="str">
        <f t="shared" si="8"/>
        <v>TEXT</v>
      </c>
      <c r="R104" s="78" t="str">
        <f t="shared" si="9"/>
        <v/>
      </c>
      <c r="S104" s="78" t="str">
        <f t="shared" si="10"/>
        <v/>
      </c>
      <c r="T104" s="78" t="str">
        <f t="shared" si="11"/>
        <v>-- 危険行動</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8"/>
      <c r="O105" s="78"/>
      <c r="P105" s="78" t="str">
        <f t="shared" si="7"/>
        <v>,ass0051_ijo_kaijo</v>
      </c>
      <c r="Q105" s="78" t="str">
        <f t="shared" si="8"/>
        <v>TEXT</v>
      </c>
      <c r="R105" s="78" t="str">
        <f t="shared" si="9"/>
        <v/>
      </c>
      <c r="S105" s="78" t="str">
        <f t="shared" si="10"/>
        <v/>
      </c>
      <c r="T105" s="78" t="str">
        <f t="shared" si="11"/>
        <v>-- 移乗（介助の状態）</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0">
      <c r="A106" s="4"/>
      <c r="B106" s="21">
        <f t="shared" si="2"/>
        <v>94</v>
      </c>
      <c r="C106" s="6" t="s">
        <v>425</v>
      </c>
      <c r="D106" s="6" t="s">
        <v>486</v>
      </c>
      <c r="E106" s="8"/>
      <c r="F106" s="7" t="s">
        <v>317</v>
      </c>
      <c r="G106" s="7" t="str">
        <f t="shared" si="3"/>
        <v>text</v>
      </c>
      <c r="H106" s="26"/>
      <c r="I106" s="10"/>
      <c r="J106" s="11" t="s">
        <v>554</v>
      </c>
      <c r="L106" s="4"/>
      <c r="M106" s="4"/>
      <c r="N106" s="78"/>
      <c r="O106" s="78"/>
      <c r="P106" s="78" t="str">
        <f t="shared" si="7"/>
        <v>,ass0051_koku_seiketsu_kaijo</v>
      </c>
      <c r="Q106" s="78" t="str">
        <f t="shared" si="8"/>
        <v>TEXT</v>
      </c>
      <c r="R106" s="78" t="str">
        <f t="shared" si="9"/>
        <v/>
      </c>
      <c r="S106" s="78" t="str">
        <f t="shared" si="10"/>
        <v/>
      </c>
      <c r="T106" s="78" t="str">
        <f t="shared" si="11"/>
        <v>-- 口腔清潔（介助の状態）</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427</v>
      </c>
      <c r="D107" s="13" t="s">
        <v>487</v>
      </c>
      <c r="E107" s="7"/>
      <c r="F107" s="7" t="s">
        <v>317</v>
      </c>
      <c r="G107" s="7" t="str">
        <f t="shared" si="3"/>
        <v>text</v>
      </c>
      <c r="H107" s="58"/>
      <c r="I107" s="23"/>
      <c r="J107" s="24" t="s">
        <v>554</v>
      </c>
      <c r="L107" s="4"/>
      <c r="M107" s="4"/>
      <c r="N107" s="78"/>
      <c r="O107" s="78"/>
      <c r="P107" s="78" t="str">
        <f t="shared" si="7"/>
        <v>,ass0051_shokuji_sesshu_kaijo</v>
      </c>
      <c r="Q107" s="78" t="str">
        <f t="shared" si="8"/>
        <v>TEXT</v>
      </c>
      <c r="R107" s="78" t="str">
        <f t="shared" si="9"/>
        <v/>
      </c>
      <c r="S107" s="78" t="str">
        <f t="shared" si="10"/>
        <v/>
      </c>
      <c r="T107" s="78" t="str">
        <f t="shared" si="11"/>
        <v>-- 食事摂取（介助の状態）</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429</v>
      </c>
      <c r="D108" s="6" t="s">
        <v>488</v>
      </c>
      <c r="E108" s="8"/>
      <c r="F108" s="7" t="s">
        <v>317</v>
      </c>
      <c r="G108" s="7" t="str">
        <f t="shared" si="3"/>
        <v>text</v>
      </c>
      <c r="H108" s="26"/>
      <c r="I108" s="10"/>
      <c r="J108" s="11" t="s">
        <v>554</v>
      </c>
      <c r="L108" s="4"/>
      <c r="M108" s="4"/>
      <c r="N108" s="78"/>
      <c r="O108" s="78"/>
      <c r="P108" s="78" t="str">
        <f t="shared" si="7"/>
        <v>,ass0051_ifuku_chakudatsu_kaijo</v>
      </c>
      <c r="Q108" s="78" t="str">
        <f t="shared" si="8"/>
        <v>TEXT</v>
      </c>
      <c r="R108" s="78" t="str">
        <f t="shared" si="9"/>
        <v/>
      </c>
      <c r="S108" s="78" t="str">
        <f t="shared" si="10"/>
        <v/>
      </c>
      <c r="T108" s="78" t="str">
        <f t="shared" si="11"/>
        <v>-- 衣服の着脱（介助の状態）</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364</v>
      </c>
      <c r="D109" s="13" t="s">
        <v>489</v>
      </c>
      <c r="E109" s="7"/>
      <c r="F109" s="7" t="s">
        <v>317</v>
      </c>
      <c r="G109" s="7" t="str">
        <f t="shared" si="3"/>
        <v>text</v>
      </c>
      <c r="H109" s="58"/>
      <c r="I109" s="23"/>
      <c r="J109" s="24" t="s">
        <v>556</v>
      </c>
      <c r="L109" s="4"/>
      <c r="M109" s="4"/>
      <c r="N109" s="78"/>
      <c r="O109" s="78"/>
      <c r="P109" s="78" t="str">
        <f t="shared" si="7"/>
        <v>,ass0060_sosho_shochi</v>
      </c>
      <c r="Q109" s="78" t="str">
        <f t="shared" si="8"/>
        <v>TEXT</v>
      </c>
      <c r="R109" s="78" t="str">
        <f t="shared" si="9"/>
        <v/>
      </c>
      <c r="S109" s="78" t="str">
        <f t="shared" si="10"/>
        <v/>
      </c>
      <c r="T109" s="78" t="str">
        <f t="shared" si="11"/>
        <v>-- 創傷処置</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8"/>
      <c r="O110" s="78"/>
      <c r="P110" s="78" t="str">
        <f t="shared" si="7"/>
        <v>,ass0060_sosei</v>
      </c>
      <c r="Q110" s="78" t="str">
        <f t="shared" si="8"/>
        <v>TEXT</v>
      </c>
      <c r="R110" s="78" t="str">
        <f t="shared" si="9"/>
        <v/>
      </c>
      <c r="S110" s="78" t="str">
        <f t="shared" si="10"/>
        <v/>
      </c>
      <c r="T110" s="78" t="str">
        <f t="shared" si="11"/>
        <v>-- 蘇生術の施行</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8"/>
      <c r="O111" s="78"/>
      <c r="P111" s="78" t="str">
        <f t="shared" si="7"/>
        <v>,ass0060_kokyu_care</v>
      </c>
      <c r="Q111" s="78" t="str">
        <f t="shared" si="8"/>
        <v>TEXT</v>
      </c>
      <c r="R111" s="78" t="str">
        <f t="shared" si="9"/>
        <v/>
      </c>
      <c r="S111" s="78" t="str">
        <f t="shared" si="10"/>
        <v/>
      </c>
      <c r="T111" s="78" t="str">
        <f t="shared" si="11"/>
        <v>-- 呼吸ケア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8"/>
      <c r="O112" s="78"/>
      <c r="P112" s="78" t="str">
        <f t="shared" ref="P112:P153" si="12">IF(B112&lt;&gt;1,","&amp;D112,D112)</f>
        <v>,ass0060_tenteki_kanri</v>
      </c>
      <c r="Q112" s="78" t="str">
        <f t="shared" ref="Q112:Q153" si="13">UPPER(G112)</f>
        <v>TEXT</v>
      </c>
      <c r="R112" s="78" t="str">
        <f t="shared" ref="R112:R153" si="14">IF(H112&lt;&gt;"","default "&amp;IF(G112="text","'"&amp;H112&amp;"'",H112),"")</f>
        <v/>
      </c>
      <c r="S112" s="78" t="str">
        <f t="shared" ref="S112:S153" si="15">IF(I112="○","NOT NULL","")</f>
        <v/>
      </c>
      <c r="T112" s="78" t="str">
        <f t="shared" ref="T112:T153" si="16">"-- "&amp;C112</f>
        <v>-- 点滴ライン同時3本以上の管理</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370</v>
      </c>
      <c r="D113" s="13" t="s">
        <v>494</v>
      </c>
      <c r="E113" s="7"/>
      <c r="F113" s="7" t="s">
        <v>317</v>
      </c>
      <c r="G113" s="7" t="str">
        <f t="shared" si="3"/>
        <v>text</v>
      </c>
      <c r="H113" s="58"/>
      <c r="I113" s="23"/>
      <c r="J113" s="24" t="s">
        <v>544</v>
      </c>
      <c r="L113" s="4"/>
      <c r="M113" s="4"/>
      <c r="N113" s="78"/>
      <c r="O113" s="78"/>
      <c r="P113" s="78" t="str">
        <f t="shared" si="12"/>
        <v>,ass0060_shindenzu_kanri</v>
      </c>
      <c r="Q113" s="78" t="str">
        <f t="shared" si="13"/>
        <v>TEXT</v>
      </c>
      <c r="R113" s="78" t="str">
        <f t="shared" si="14"/>
        <v/>
      </c>
      <c r="S113" s="78" t="str">
        <f t="shared" si="15"/>
        <v/>
      </c>
      <c r="T113" s="78" t="str">
        <f t="shared" si="16"/>
        <v>-- 心電図モニターの管理</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446</v>
      </c>
      <c r="D114" s="13" t="s">
        <v>495</v>
      </c>
      <c r="E114" s="7"/>
      <c r="F114" s="7" t="s">
        <v>317</v>
      </c>
      <c r="G114" s="7" t="str">
        <f t="shared" si="3"/>
        <v>text</v>
      </c>
      <c r="H114" s="58"/>
      <c r="I114" s="23"/>
      <c r="J114" s="24" t="s">
        <v>544</v>
      </c>
      <c r="L114" s="4"/>
      <c r="M114" s="4"/>
      <c r="N114" s="78"/>
      <c r="O114" s="78"/>
      <c r="P114" s="78" t="str">
        <f t="shared" si="12"/>
        <v>,ass0060_yueki_pump_kanri</v>
      </c>
      <c r="Q114" s="78" t="str">
        <f t="shared" si="13"/>
        <v>TEXT</v>
      </c>
      <c r="R114" s="78" t="str">
        <f t="shared" si="14"/>
        <v/>
      </c>
      <c r="S114" s="78" t="str">
        <f t="shared" si="15"/>
        <v/>
      </c>
      <c r="T114" s="78" t="str">
        <f t="shared" si="16"/>
        <v>-- 輸液ポンプの管理</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ht="30">
      <c r="A115" s="4"/>
      <c r="B115" s="21">
        <f t="shared" si="2"/>
        <v>103</v>
      </c>
      <c r="C115" s="13" t="s">
        <v>448</v>
      </c>
      <c r="D115" s="13" t="s">
        <v>496</v>
      </c>
      <c r="E115" s="7"/>
      <c r="F115" s="7" t="s">
        <v>317</v>
      </c>
      <c r="G115" s="7" t="str">
        <f t="shared" si="3"/>
        <v>text</v>
      </c>
      <c r="H115" s="58"/>
      <c r="I115" s="23"/>
      <c r="J115" s="24" t="s">
        <v>544</v>
      </c>
      <c r="L115" s="4"/>
      <c r="M115" s="4"/>
      <c r="N115" s="78"/>
      <c r="O115" s="78"/>
      <c r="P115" s="78" t="str">
        <f t="shared" si="12"/>
        <v>,ass0060_domyaku_sokutei</v>
      </c>
      <c r="Q115" s="78" t="str">
        <f t="shared" si="13"/>
        <v>TEXT</v>
      </c>
      <c r="R115" s="78" t="str">
        <f t="shared" si="14"/>
        <v/>
      </c>
      <c r="S115" s="78" t="str">
        <f t="shared" si="15"/>
        <v/>
      </c>
      <c r="T115" s="78" t="str">
        <f t="shared" si="16"/>
        <v>-- 動脈圧測定（動脈ライン）</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372</v>
      </c>
      <c r="D116" s="6" t="s">
        <v>497</v>
      </c>
      <c r="E116" s="8"/>
      <c r="F116" s="7" t="s">
        <v>317</v>
      </c>
      <c r="G116" s="7" t="str">
        <f t="shared" si="3"/>
        <v>text</v>
      </c>
      <c r="H116" s="26"/>
      <c r="I116" s="10"/>
      <c r="J116" s="11" t="s">
        <v>544</v>
      </c>
      <c r="L116" s="4"/>
      <c r="M116" s="4"/>
      <c r="N116" s="78"/>
      <c r="O116" s="78"/>
      <c r="P116" s="78" t="str">
        <f t="shared" si="12"/>
        <v>,ass0060_syringe_pump_kanri</v>
      </c>
      <c r="Q116" s="78" t="str">
        <f t="shared" si="13"/>
        <v>TEXT</v>
      </c>
      <c r="R116" s="78" t="str">
        <f t="shared" si="14"/>
        <v/>
      </c>
      <c r="S116" s="78" t="str">
        <f t="shared" si="15"/>
        <v/>
      </c>
      <c r="T116" s="78" t="str">
        <f t="shared" si="16"/>
        <v>-- シリンジポンプの管理</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451</v>
      </c>
      <c r="D117" s="13" t="s">
        <v>498</v>
      </c>
      <c r="E117" s="7"/>
      <c r="F117" s="7" t="s">
        <v>317</v>
      </c>
      <c r="G117" s="7" t="str">
        <f t="shared" si="3"/>
        <v>text</v>
      </c>
      <c r="H117" s="58"/>
      <c r="I117" s="23"/>
      <c r="J117" s="24" t="s">
        <v>544</v>
      </c>
      <c r="L117" s="4"/>
      <c r="M117" s="4"/>
      <c r="N117" s="78"/>
      <c r="O117" s="78"/>
      <c r="P117" s="78" t="str">
        <f t="shared" si="12"/>
        <v>,ass0060_jomyaku_sokutei</v>
      </c>
      <c r="Q117" s="78" t="str">
        <f t="shared" si="13"/>
        <v>TEXT</v>
      </c>
      <c r="R117" s="78" t="str">
        <f t="shared" si="14"/>
        <v/>
      </c>
      <c r="S117" s="78" t="str">
        <f t="shared" si="15"/>
        <v/>
      </c>
      <c r="T117" s="78" t="str">
        <f t="shared" si="16"/>
        <v>-- 中心静脈圧測定（中心静脈ライン）</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453</v>
      </c>
      <c r="D118" s="6" t="s">
        <v>499</v>
      </c>
      <c r="E118" s="8"/>
      <c r="F118" s="7" t="s">
        <v>317</v>
      </c>
      <c r="G118" s="7" t="str">
        <f t="shared" si="3"/>
        <v>text</v>
      </c>
      <c r="H118" s="26"/>
      <c r="I118" s="10"/>
      <c r="J118" s="11" t="s">
        <v>544</v>
      </c>
      <c r="L118" s="4"/>
      <c r="M118" s="4"/>
      <c r="N118" s="78"/>
      <c r="O118" s="78"/>
      <c r="P118" s="78" t="str">
        <f t="shared" si="12"/>
        <v>,ass0060_jinko_kokyuki_kanri</v>
      </c>
      <c r="Q118" s="78" t="str">
        <f t="shared" si="13"/>
        <v>TEXT</v>
      </c>
      <c r="R118" s="78" t="str">
        <f t="shared" si="14"/>
        <v/>
      </c>
      <c r="S118" s="78" t="str">
        <f t="shared" si="15"/>
        <v/>
      </c>
      <c r="T118" s="78" t="str">
        <f t="shared" si="16"/>
        <v>-- 人工呼吸器の管理</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0">
      <c r="A119" s="4"/>
      <c r="B119" s="21">
        <f t="shared" si="2"/>
        <v>107</v>
      </c>
      <c r="C119" s="13" t="s">
        <v>374</v>
      </c>
      <c r="D119" s="13" t="s">
        <v>500</v>
      </c>
      <c r="E119" s="7"/>
      <c r="F119" s="7" t="s">
        <v>317</v>
      </c>
      <c r="G119" s="7" t="str">
        <f t="shared" si="3"/>
        <v>text</v>
      </c>
      <c r="H119" s="58"/>
      <c r="I119" s="23"/>
      <c r="J119" s="24" t="s">
        <v>544</v>
      </c>
      <c r="L119" s="4"/>
      <c r="M119" s="4"/>
      <c r="N119" s="78"/>
      <c r="O119" s="78"/>
      <c r="P119" s="78" t="str">
        <f t="shared" si="12"/>
        <v>,ass0060_blood_products_kanri</v>
      </c>
      <c r="Q119" s="78" t="str">
        <f t="shared" si="13"/>
        <v>TEXT</v>
      </c>
      <c r="R119" s="78" t="str">
        <f t="shared" si="14"/>
        <v/>
      </c>
      <c r="S119" s="78" t="str">
        <f t="shared" si="15"/>
        <v/>
      </c>
      <c r="T119" s="78" t="str">
        <f t="shared" si="16"/>
        <v>-- 輸血や血液製剤の管理</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456</v>
      </c>
      <c r="D120" s="6" t="s">
        <v>501</v>
      </c>
      <c r="E120" s="8"/>
      <c r="F120" s="7" t="s">
        <v>317</v>
      </c>
      <c r="G120" s="7" t="str">
        <f t="shared" si="3"/>
        <v>text</v>
      </c>
      <c r="H120" s="26"/>
      <c r="I120" s="10"/>
      <c r="J120" s="11" t="s">
        <v>544</v>
      </c>
      <c r="L120" s="4"/>
      <c r="M120" s="4"/>
      <c r="N120" s="78"/>
      <c r="O120" s="78"/>
      <c r="P120" s="78" t="str">
        <f t="shared" si="12"/>
        <v>,ass0060_hai_domyaku_sokutei</v>
      </c>
      <c r="Q120" s="78" t="str">
        <f t="shared" si="13"/>
        <v>TEXT</v>
      </c>
      <c r="R120" s="78" t="str">
        <f t="shared" si="14"/>
        <v/>
      </c>
      <c r="S120" s="78" t="str">
        <f t="shared" si="15"/>
        <v/>
      </c>
      <c r="T120" s="78" t="str">
        <f t="shared" si="16"/>
        <v>-- 肺動脈圧測定（スワンガンツカテーテル）</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8"/>
      <c r="O121" s="78"/>
      <c r="P121" s="78" t="str">
        <f t="shared" si="12"/>
        <v>,ass0060_special_chiryo</v>
      </c>
      <c r="Q121" s="78" t="str">
        <f t="shared" si="13"/>
        <v>TEXT</v>
      </c>
      <c r="R121" s="78" t="str">
        <f t="shared" si="14"/>
        <v/>
      </c>
      <c r="S121" s="78" t="str">
        <f t="shared" si="15"/>
        <v/>
      </c>
      <c r="T121" s="78" t="str">
        <f t="shared" si="16"/>
        <v>-- 特殊な治療法等</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56.6">
      <c r="A122" s="4"/>
      <c r="B122" s="21">
        <f t="shared" si="2"/>
        <v>110</v>
      </c>
      <c r="C122" s="6" t="s">
        <v>364</v>
      </c>
      <c r="D122" s="6" t="s">
        <v>503</v>
      </c>
      <c r="E122" s="8"/>
      <c r="F122" s="7" t="s">
        <v>317</v>
      </c>
      <c r="G122" s="7" t="str">
        <f t="shared" si="3"/>
        <v>text</v>
      </c>
      <c r="H122" s="26"/>
      <c r="I122" s="10"/>
      <c r="J122" s="11" t="s">
        <v>543</v>
      </c>
      <c r="L122" s="4"/>
      <c r="M122" s="4"/>
      <c r="N122" s="78"/>
      <c r="O122" s="78"/>
      <c r="P122" s="78" t="str">
        <f t="shared" si="12"/>
        <v>,ass0061_sosho_shochi</v>
      </c>
      <c r="Q122" s="78" t="str">
        <f t="shared" si="13"/>
        <v>TEXT</v>
      </c>
      <c r="R122" s="78" t="str">
        <f t="shared" si="14"/>
        <v/>
      </c>
      <c r="S122" s="78" t="str">
        <f t="shared" si="15"/>
        <v/>
      </c>
      <c r="T122" s="78" t="str">
        <f t="shared" si="16"/>
        <v>-- 創傷処置</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8"/>
      <c r="O123" s="78"/>
      <c r="P123" s="78" t="str">
        <f t="shared" si="12"/>
        <v>,ass0061_sosei</v>
      </c>
      <c r="Q123" s="78" t="str">
        <f t="shared" si="13"/>
        <v>TEXT</v>
      </c>
      <c r="R123" s="78" t="str">
        <f t="shared" si="14"/>
        <v/>
      </c>
      <c r="S123" s="78" t="str">
        <f t="shared" si="15"/>
        <v/>
      </c>
      <c r="T123" s="78" t="str">
        <f t="shared" si="16"/>
        <v>-- 蘇生術の施行</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45">
      <c r="A124" s="4"/>
      <c r="B124" s="21">
        <f t="shared" si="2"/>
        <v>112</v>
      </c>
      <c r="C124" s="13" t="s">
        <v>505</v>
      </c>
      <c r="D124" s="13" t="s">
        <v>506</v>
      </c>
      <c r="E124" s="7"/>
      <c r="F124" s="7" t="s">
        <v>317</v>
      </c>
      <c r="G124" s="7" t="str">
        <f t="shared" si="3"/>
        <v>text</v>
      </c>
      <c r="H124" s="58"/>
      <c r="I124" s="23"/>
      <c r="J124" s="24" t="s">
        <v>544</v>
      </c>
      <c r="L124" s="4"/>
      <c r="M124" s="4"/>
      <c r="N124" s="78"/>
      <c r="O124" s="78"/>
      <c r="P124" s="78" t="str">
        <f t="shared" si="12"/>
        <v>,ass0061_kokyu_care_respirator_trim</v>
      </c>
      <c r="Q124" s="78" t="str">
        <f t="shared" si="13"/>
        <v>TEXT</v>
      </c>
      <c r="R124" s="78" t="str">
        <f t="shared" si="14"/>
        <v/>
      </c>
      <c r="S124" s="78" t="str">
        <f t="shared" si="15"/>
        <v/>
      </c>
      <c r="T124" s="78" t="str">
        <f t="shared" si="16"/>
        <v>-- 呼吸ケア（喀痰吸引のみの場合及び人工呼吸器の装着の場合を除く）</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8"/>
      <c r="O125" s="78"/>
      <c r="P125" s="78" t="str">
        <f t="shared" si="12"/>
        <v>,ass0061_tenteki_kanri</v>
      </c>
      <c r="Q125" s="78" t="str">
        <f t="shared" si="13"/>
        <v>TEXT</v>
      </c>
      <c r="R125" s="78" t="str">
        <f t="shared" si="14"/>
        <v/>
      </c>
      <c r="S125" s="78" t="str">
        <f t="shared" si="15"/>
        <v/>
      </c>
      <c r="T125" s="78" t="str">
        <f t="shared" si="16"/>
        <v>-- 点滴ライン同時３本以上の管理</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370</v>
      </c>
      <c r="D126" s="13" t="s">
        <v>509</v>
      </c>
      <c r="E126" s="7"/>
      <c r="F126" s="7" t="s">
        <v>317</v>
      </c>
      <c r="G126" s="7" t="str">
        <f t="shared" si="3"/>
        <v>text</v>
      </c>
      <c r="H126" s="58"/>
      <c r="I126" s="23"/>
      <c r="J126" s="24" t="s">
        <v>544</v>
      </c>
      <c r="L126" s="4"/>
      <c r="M126" s="4"/>
      <c r="N126" s="78"/>
      <c r="O126" s="78"/>
      <c r="P126" s="78" t="str">
        <f t="shared" si="12"/>
        <v>,ass0061_shindenzu_kanri</v>
      </c>
      <c r="Q126" s="78" t="str">
        <f t="shared" si="13"/>
        <v>TEXT</v>
      </c>
      <c r="R126" s="78" t="str">
        <f t="shared" si="14"/>
        <v/>
      </c>
      <c r="S126" s="78" t="str">
        <f t="shared" si="15"/>
        <v/>
      </c>
      <c r="T126" s="78" t="str">
        <f t="shared" si="16"/>
        <v>-- 心電図モニターの管理</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446</v>
      </c>
      <c r="D127" s="13" t="s">
        <v>510</v>
      </c>
      <c r="E127" s="7"/>
      <c r="F127" s="7" t="s">
        <v>317</v>
      </c>
      <c r="G127" s="7" t="str">
        <f t="shared" si="3"/>
        <v>text</v>
      </c>
      <c r="H127" s="58"/>
      <c r="I127" s="23"/>
      <c r="J127" s="24" t="s">
        <v>544</v>
      </c>
      <c r="L127" s="4"/>
      <c r="M127" s="4"/>
      <c r="N127" s="78"/>
      <c r="O127" s="78"/>
      <c r="P127" s="78" t="str">
        <f t="shared" si="12"/>
        <v>,ass0061_yueki_pump_kanri</v>
      </c>
      <c r="Q127" s="78" t="str">
        <f t="shared" si="13"/>
        <v>TEXT</v>
      </c>
      <c r="R127" s="78" t="str">
        <f t="shared" si="14"/>
        <v/>
      </c>
      <c r="S127" s="78" t="str">
        <f t="shared" si="15"/>
        <v/>
      </c>
      <c r="T127" s="78" t="str">
        <f t="shared" si="16"/>
        <v>-- 輸液ポンプの管理</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ht="30">
      <c r="A128" s="4"/>
      <c r="B128" s="21">
        <f t="shared" si="2"/>
        <v>116</v>
      </c>
      <c r="C128" s="13" t="s">
        <v>448</v>
      </c>
      <c r="D128" s="13" t="s">
        <v>511</v>
      </c>
      <c r="E128" s="7"/>
      <c r="F128" s="7" t="s">
        <v>317</v>
      </c>
      <c r="G128" s="7" t="str">
        <f t="shared" si="3"/>
        <v>text</v>
      </c>
      <c r="H128" s="58"/>
      <c r="I128" s="23"/>
      <c r="J128" s="24" t="s">
        <v>544</v>
      </c>
      <c r="L128" s="4"/>
      <c r="M128" s="4"/>
      <c r="N128" s="78"/>
      <c r="O128" s="78"/>
      <c r="P128" s="78" t="str">
        <f t="shared" si="12"/>
        <v>,ass0061_domyaku_sokutei</v>
      </c>
      <c r="Q128" s="78" t="str">
        <f t="shared" si="13"/>
        <v>TEXT</v>
      </c>
      <c r="R128" s="78" t="str">
        <f t="shared" si="14"/>
        <v/>
      </c>
      <c r="S128" s="78" t="str">
        <f t="shared" si="15"/>
        <v/>
      </c>
      <c r="T128" s="78" t="str">
        <f t="shared" si="16"/>
        <v>-- 動脈圧測定（動脈ライン）</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372</v>
      </c>
      <c r="D129" s="6" t="s">
        <v>512</v>
      </c>
      <c r="E129" s="8"/>
      <c r="F129" s="7" t="s">
        <v>317</v>
      </c>
      <c r="G129" s="7" t="str">
        <f t="shared" si="3"/>
        <v>text</v>
      </c>
      <c r="H129" s="26"/>
      <c r="I129" s="10"/>
      <c r="J129" s="11" t="s">
        <v>544</v>
      </c>
      <c r="L129" s="4"/>
      <c r="M129" s="4"/>
      <c r="N129" s="78"/>
      <c r="O129" s="78"/>
      <c r="P129" s="78" t="str">
        <f t="shared" si="12"/>
        <v>,ass0061_syringe_pump_kanri</v>
      </c>
      <c r="Q129" s="78" t="str">
        <f t="shared" si="13"/>
        <v>TEXT</v>
      </c>
      <c r="R129" s="78" t="str">
        <f t="shared" si="14"/>
        <v/>
      </c>
      <c r="S129" s="78" t="str">
        <f t="shared" si="15"/>
        <v/>
      </c>
      <c r="T129" s="78" t="str">
        <f t="shared" si="16"/>
        <v>-- シリンジポンプの管理</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451</v>
      </c>
      <c r="D130" s="13" t="s">
        <v>513</v>
      </c>
      <c r="E130" s="7"/>
      <c r="F130" s="7" t="s">
        <v>317</v>
      </c>
      <c r="G130" s="7" t="str">
        <f t="shared" si="3"/>
        <v>text</v>
      </c>
      <c r="H130" s="58"/>
      <c r="I130" s="23"/>
      <c r="J130" s="24" t="s">
        <v>544</v>
      </c>
      <c r="L130" s="4"/>
      <c r="M130" s="4"/>
      <c r="N130" s="78"/>
      <c r="O130" s="78"/>
      <c r="P130" s="78" t="str">
        <f t="shared" si="12"/>
        <v>,ass0061_jomyaku_sokutei</v>
      </c>
      <c r="Q130" s="78" t="str">
        <f t="shared" si="13"/>
        <v>TEXT</v>
      </c>
      <c r="R130" s="78" t="str">
        <f t="shared" si="14"/>
        <v/>
      </c>
      <c r="S130" s="78" t="str">
        <f t="shared" si="15"/>
        <v/>
      </c>
      <c r="T130" s="78" t="str">
        <f t="shared" si="16"/>
        <v>-- 中心静脈圧測定（中心静脈ライン）</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465</v>
      </c>
      <c r="D131" s="6" t="s">
        <v>514</v>
      </c>
      <c r="E131" s="8"/>
      <c r="F131" s="7" t="s">
        <v>317</v>
      </c>
      <c r="G131" s="7" t="str">
        <f t="shared" si="3"/>
        <v>text</v>
      </c>
      <c r="H131" s="26"/>
      <c r="I131" s="10"/>
      <c r="J131" s="11" t="s">
        <v>544</v>
      </c>
      <c r="L131" s="4"/>
      <c r="M131" s="4"/>
      <c r="N131" s="78"/>
      <c r="O131" s="78"/>
      <c r="P131" s="78" t="str">
        <f t="shared" si="12"/>
        <v>,ass0061_jinko_kokyuki_kanri</v>
      </c>
      <c r="Q131" s="78" t="str">
        <f t="shared" si="13"/>
        <v>TEXT</v>
      </c>
      <c r="R131" s="78" t="str">
        <f t="shared" si="14"/>
        <v/>
      </c>
      <c r="S131" s="78" t="str">
        <f t="shared" si="15"/>
        <v/>
      </c>
      <c r="T131" s="78" t="str">
        <f t="shared" si="16"/>
        <v>-- 人工呼吸器の管理</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0">
      <c r="A132" s="4"/>
      <c r="B132" s="21">
        <f t="shared" si="2"/>
        <v>120</v>
      </c>
      <c r="C132" s="13" t="s">
        <v>374</v>
      </c>
      <c r="D132" s="13" t="s">
        <v>515</v>
      </c>
      <c r="E132" s="7"/>
      <c r="F132" s="7" t="s">
        <v>317</v>
      </c>
      <c r="G132" s="7" t="str">
        <f t="shared" si="3"/>
        <v>text</v>
      </c>
      <c r="H132" s="58"/>
      <c r="I132" s="23"/>
      <c r="J132" s="24" t="s">
        <v>544</v>
      </c>
      <c r="L132" s="4"/>
      <c r="M132" s="4"/>
      <c r="N132" s="78"/>
      <c r="O132" s="78"/>
      <c r="P132" s="78" t="str">
        <f t="shared" si="12"/>
        <v>,ass0061_blood_products_kanri</v>
      </c>
      <c r="Q132" s="78" t="str">
        <f t="shared" si="13"/>
        <v>TEXT</v>
      </c>
      <c r="R132" s="78" t="str">
        <f t="shared" si="14"/>
        <v/>
      </c>
      <c r="S132" s="78" t="str">
        <f t="shared" si="15"/>
        <v/>
      </c>
      <c r="T132" s="78" t="str">
        <f t="shared" si="16"/>
        <v>-- 輸血や血液製剤の管理</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468</v>
      </c>
      <c r="D133" s="6" t="s">
        <v>516</v>
      </c>
      <c r="E133" s="8"/>
      <c r="F133" s="7" t="s">
        <v>317</v>
      </c>
      <c r="G133" s="7" t="str">
        <f t="shared" si="3"/>
        <v>text</v>
      </c>
      <c r="H133" s="26"/>
      <c r="I133" s="10"/>
      <c r="J133" s="11" t="s">
        <v>544</v>
      </c>
      <c r="L133" s="4"/>
      <c r="M133" s="4"/>
      <c r="N133" s="78"/>
      <c r="O133" s="78"/>
      <c r="P133" s="78" t="str">
        <f t="shared" si="12"/>
        <v>,ass0061_hai_domyaku_sokutei</v>
      </c>
      <c r="Q133" s="78" t="str">
        <f t="shared" si="13"/>
        <v>TEXT</v>
      </c>
      <c r="R133" s="78" t="str">
        <f t="shared" si="14"/>
        <v/>
      </c>
      <c r="S133" s="78" t="str">
        <f t="shared" si="15"/>
        <v/>
      </c>
      <c r="T133" s="78" t="str">
        <f t="shared" si="16"/>
        <v>-- 肺動脈圧測定（スワンガンツカテーテル）</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8"/>
      <c r="O134" s="78"/>
      <c r="P134" s="78" t="str">
        <f t="shared" si="12"/>
        <v>,ass0061_special_chiryo</v>
      </c>
      <c r="Q134" s="78" t="str">
        <f t="shared" si="13"/>
        <v>TEXT</v>
      </c>
      <c r="R134" s="78" t="str">
        <f t="shared" si="14"/>
        <v/>
      </c>
      <c r="S134" s="78" t="str">
        <f t="shared" si="15"/>
        <v/>
      </c>
      <c r="T134" s="78" t="str">
        <f t="shared" si="16"/>
        <v>-- 特殊な治療法等</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398</v>
      </c>
      <c r="D135" s="6" t="s">
        <v>518</v>
      </c>
      <c r="E135" s="8"/>
      <c r="F135" s="7" t="s">
        <v>317</v>
      </c>
      <c r="G135" s="7" t="str">
        <f t="shared" si="3"/>
        <v>text</v>
      </c>
      <c r="H135" s="26"/>
      <c r="I135" s="10"/>
      <c r="J135" s="11" t="s">
        <v>547</v>
      </c>
      <c r="L135" s="4"/>
      <c r="M135" s="4"/>
      <c r="N135" s="78"/>
      <c r="O135" s="78"/>
      <c r="P135" s="78" t="str">
        <f t="shared" si="12"/>
        <v>,ass0070_negaeri</v>
      </c>
      <c r="Q135" s="78" t="str">
        <f t="shared" si="13"/>
        <v>TEXT</v>
      </c>
      <c r="R135" s="78" t="str">
        <f t="shared" si="14"/>
        <v/>
      </c>
      <c r="S135" s="78" t="str">
        <f t="shared" si="15"/>
        <v/>
      </c>
      <c r="T135" s="78" t="str">
        <f t="shared" si="16"/>
        <v>-- 寝返り</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8"/>
      <c r="O136" s="78"/>
      <c r="P136" s="78" t="str">
        <f t="shared" si="12"/>
        <v>,ass0070_ijo</v>
      </c>
      <c r="Q136" s="78" t="str">
        <f t="shared" si="13"/>
        <v>TEXT</v>
      </c>
      <c r="R136" s="78" t="str">
        <f t="shared" si="14"/>
        <v/>
      </c>
      <c r="S136" s="78" t="str">
        <f t="shared" si="15"/>
        <v/>
      </c>
      <c r="T136" s="78" t="str">
        <f t="shared" si="16"/>
        <v>-- 移乗</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8"/>
      <c r="O137" s="78"/>
      <c r="P137" s="78" t="str">
        <f t="shared" si="12"/>
        <v>,ass0070_koku_seiketsu</v>
      </c>
      <c r="Q137" s="78" t="str">
        <f t="shared" si="13"/>
        <v>TEXT</v>
      </c>
      <c r="R137" s="78" t="str">
        <f t="shared" si="14"/>
        <v/>
      </c>
      <c r="S137" s="78" t="str">
        <f t="shared" si="15"/>
        <v/>
      </c>
      <c r="T137" s="78" t="str">
        <f t="shared" si="16"/>
        <v>-- 口腔清潔</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8"/>
      <c r="O138" s="78"/>
      <c r="P138" s="78" t="str">
        <f t="shared" si="12"/>
        <v>,ass0070_shokuji_sesshu</v>
      </c>
      <c r="Q138" s="78" t="str">
        <f t="shared" si="13"/>
        <v>TEXT</v>
      </c>
      <c r="R138" s="78" t="str">
        <f t="shared" si="14"/>
        <v/>
      </c>
      <c r="S138" s="78" t="str">
        <f t="shared" si="15"/>
        <v/>
      </c>
      <c r="T138" s="78" t="str">
        <f t="shared" si="16"/>
        <v>-- 食事摂取</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ht="30">
      <c r="A139" s="4"/>
      <c r="B139" s="21">
        <f t="shared" si="2"/>
        <v>127</v>
      </c>
      <c r="C139" s="13" t="s">
        <v>406</v>
      </c>
      <c r="D139" s="13" t="s">
        <v>522</v>
      </c>
      <c r="E139" s="7"/>
      <c r="F139" s="7" t="s">
        <v>317</v>
      </c>
      <c r="G139" s="7" t="str">
        <f t="shared" si="3"/>
        <v>text</v>
      </c>
      <c r="H139" s="58"/>
      <c r="I139" s="23"/>
      <c r="J139" s="24" t="s">
        <v>548</v>
      </c>
      <c r="L139" s="4"/>
      <c r="M139" s="4"/>
      <c r="N139" s="78"/>
      <c r="O139" s="78"/>
      <c r="P139" s="78" t="str">
        <f t="shared" si="12"/>
        <v>,ass0070_ifuku_chakudatsu</v>
      </c>
      <c r="Q139" s="78" t="str">
        <f t="shared" si="13"/>
        <v>TEXT</v>
      </c>
      <c r="R139" s="78" t="str">
        <f t="shared" si="14"/>
        <v/>
      </c>
      <c r="S139" s="78" t="str">
        <f t="shared" si="15"/>
        <v/>
      </c>
      <c r="T139" s="78" t="str">
        <f t="shared" si="16"/>
        <v>-- 衣服の着脱</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8"/>
      <c r="O140" s="78"/>
      <c r="P140" s="78" t="str">
        <f t="shared" si="12"/>
        <v>,ass0070_shinryo_shiji</v>
      </c>
      <c r="Q140" s="78" t="str">
        <f t="shared" si="13"/>
        <v>TEXT</v>
      </c>
      <c r="R140" s="78" t="str">
        <f t="shared" si="14"/>
        <v/>
      </c>
      <c r="S140" s="78" t="str">
        <f t="shared" si="15"/>
        <v/>
      </c>
      <c r="T140" s="78" t="str">
        <f t="shared" si="16"/>
        <v>-- 診療・療養上の指示が通じる</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8"/>
      <c r="O141" s="78"/>
      <c r="P141" s="78" t="str">
        <f t="shared" si="12"/>
        <v>,ass0070_kiken_kodo</v>
      </c>
      <c r="Q141" s="78" t="str">
        <f t="shared" si="13"/>
        <v>TEXT</v>
      </c>
      <c r="R141" s="78" t="str">
        <f t="shared" si="14"/>
        <v/>
      </c>
      <c r="S141" s="78" t="str">
        <f t="shared" si="15"/>
        <v/>
      </c>
      <c r="T141" s="78" t="str">
        <f t="shared" si="16"/>
        <v>-- 危険行動</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4.799999999999997">
      <c r="A142" s="4"/>
      <c r="B142" s="21">
        <f t="shared" si="2"/>
        <v>130</v>
      </c>
      <c r="C142" s="6" t="s">
        <v>398</v>
      </c>
      <c r="D142" s="6" t="s">
        <v>526</v>
      </c>
      <c r="E142" s="8"/>
      <c r="F142" s="7" t="s">
        <v>317</v>
      </c>
      <c r="G142" s="7" t="str">
        <f t="shared" si="3"/>
        <v>text</v>
      </c>
      <c r="H142" s="26"/>
      <c r="I142" s="10"/>
      <c r="J142" s="11" t="s">
        <v>547</v>
      </c>
      <c r="L142" s="4"/>
      <c r="M142" s="4"/>
      <c r="N142" s="78"/>
      <c r="O142" s="78"/>
      <c r="P142" s="78" t="str">
        <f t="shared" si="12"/>
        <v>,ass0071_negaeri</v>
      </c>
      <c r="Q142" s="78" t="str">
        <f t="shared" si="13"/>
        <v>TEXT</v>
      </c>
      <c r="R142" s="78" t="str">
        <f t="shared" si="14"/>
        <v/>
      </c>
      <c r="S142" s="78" t="str">
        <f t="shared" si="15"/>
        <v/>
      </c>
      <c r="T142" s="78" t="str">
        <f t="shared" si="16"/>
        <v>-- 寝返り</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8"/>
      <c r="O143" s="78"/>
      <c r="P143" s="78" t="str">
        <f t="shared" si="12"/>
        <v>,ass0071_ijo_kanja</v>
      </c>
      <c r="Q143" s="78" t="str">
        <f t="shared" si="13"/>
        <v>TEXT</v>
      </c>
      <c r="R143" s="78" t="str">
        <f t="shared" si="14"/>
        <v/>
      </c>
      <c r="S143" s="78" t="str">
        <f t="shared" si="15"/>
        <v/>
      </c>
      <c r="T143" s="78" t="str">
        <f t="shared" si="16"/>
        <v>-- 移乗（患者の状態）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0">
      <c r="A144" s="4"/>
      <c r="B144" s="21">
        <f t="shared" si="2"/>
        <v>132</v>
      </c>
      <c r="C144" s="6" t="s">
        <v>415</v>
      </c>
      <c r="D144" s="6" t="s">
        <v>528</v>
      </c>
      <c r="E144" s="8"/>
      <c r="F144" s="7" t="s">
        <v>317</v>
      </c>
      <c r="G144" s="7" t="str">
        <f t="shared" si="3"/>
        <v>text</v>
      </c>
      <c r="H144" s="26"/>
      <c r="I144" s="10"/>
      <c r="J144" s="11" t="s">
        <v>553</v>
      </c>
      <c r="L144" s="4"/>
      <c r="M144" s="4"/>
      <c r="N144" s="78"/>
      <c r="O144" s="78"/>
      <c r="P144" s="78" t="str">
        <f t="shared" si="12"/>
        <v>,ass0071_koku_seiketsu_kanja</v>
      </c>
      <c r="Q144" s="78" t="str">
        <f t="shared" si="13"/>
        <v>TEXT</v>
      </c>
      <c r="R144" s="78" t="str">
        <f t="shared" si="14"/>
        <v/>
      </c>
      <c r="S144" s="78" t="str">
        <f t="shared" si="15"/>
        <v/>
      </c>
      <c r="T144" s="78" t="str">
        <f t="shared" si="16"/>
        <v>-- 口腔清潔（患者の状態）</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417</v>
      </c>
      <c r="D145" s="13" t="s">
        <v>529</v>
      </c>
      <c r="E145" s="7"/>
      <c r="F145" s="7" t="s">
        <v>317</v>
      </c>
      <c r="G145" s="7" t="str">
        <f t="shared" si="3"/>
        <v>text</v>
      </c>
      <c r="H145" s="58"/>
      <c r="I145" s="23"/>
      <c r="J145" s="24" t="s">
        <v>552</v>
      </c>
      <c r="L145" s="4"/>
      <c r="M145" s="4"/>
      <c r="N145" s="78"/>
      <c r="O145" s="78"/>
      <c r="P145" s="78" t="str">
        <f t="shared" si="12"/>
        <v>,ass0071_shokuji_sesshu_kanja</v>
      </c>
      <c r="Q145" s="78" t="str">
        <f t="shared" si="13"/>
        <v>TEXT</v>
      </c>
      <c r="R145" s="78" t="str">
        <f t="shared" si="14"/>
        <v/>
      </c>
      <c r="S145" s="78" t="str">
        <f t="shared" si="15"/>
        <v/>
      </c>
      <c r="T145" s="78" t="str">
        <f t="shared" si="16"/>
        <v>-- 食事摂取（患者の状態）</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419</v>
      </c>
      <c r="D146" s="6" t="s">
        <v>530</v>
      </c>
      <c r="E146" s="8"/>
      <c r="F146" s="7" t="s">
        <v>317</v>
      </c>
      <c r="G146" s="7" t="str">
        <f t="shared" si="3"/>
        <v>text</v>
      </c>
      <c r="H146" s="26"/>
      <c r="I146" s="10"/>
      <c r="J146" s="11" t="s">
        <v>552</v>
      </c>
      <c r="L146" s="4"/>
      <c r="M146" s="4"/>
      <c r="N146" s="78"/>
      <c r="O146" s="78"/>
      <c r="P146" s="78" t="str">
        <f t="shared" si="12"/>
        <v>,ass0071_ifuku_chakudatsu_kanja</v>
      </c>
      <c r="Q146" s="78" t="str">
        <f t="shared" si="13"/>
        <v>TEXT</v>
      </c>
      <c r="R146" s="78" t="str">
        <f t="shared" si="14"/>
        <v/>
      </c>
      <c r="S146" s="78" t="str">
        <f t="shared" si="15"/>
        <v/>
      </c>
      <c r="T146" s="78" t="str">
        <f t="shared" si="16"/>
        <v>-- 衣服の着脱（患者の状態）</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8"/>
      <c r="O147" s="78"/>
      <c r="P147" s="78" t="str">
        <f t="shared" si="12"/>
        <v>,ass0071_shinryo_shiji</v>
      </c>
      <c r="Q147" s="78" t="str">
        <f t="shared" si="13"/>
        <v>TEXT</v>
      </c>
      <c r="R147" s="78" t="str">
        <f t="shared" si="14"/>
        <v/>
      </c>
      <c r="S147" s="78" t="str">
        <f t="shared" si="15"/>
        <v/>
      </c>
      <c r="T147" s="78" t="str">
        <f t="shared" si="16"/>
        <v>-- 診療・療養上の指示が通じる</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8"/>
      <c r="O148" s="78"/>
      <c r="P148" s="78" t="str">
        <f t="shared" si="12"/>
        <v>,ass0071_kiken_kodo</v>
      </c>
      <c r="Q148" s="78" t="str">
        <f t="shared" si="13"/>
        <v>TEXT</v>
      </c>
      <c r="R148" s="78" t="str">
        <f t="shared" si="14"/>
        <v/>
      </c>
      <c r="S148" s="78" t="str">
        <f t="shared" si="15"/>
        <v/>
      </c>
      <c r="T148" s="78" t="str">
        <f t="shared" si="16"/>
        <v>-- 危険行動</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8"/>
      <c r="O149" s="78"/>
      <c r="P149" s="78" t="str">
        <f t="shared" si="12"/>
        <v>,ass0071_ijo_kaijo</v>
      </c>
      <c r="Q149" s="78" t="str">
        <f t="shared" si="13"/>
        <v>TEXT</v>
      </c>
      <c r="R149" s="78" t="str">
        <f t="shared" si="14"/>
        <v/>
      </c>
      <c r="S149" s="78" t="str">
        <f t="shared" si="15"/>
        <v/>
      </c>
      <c r="T149" s="78" t="str">
        <f t="shared" si="16"/>
        <v>-- 移乗（介助の状態）</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0">
      <c r="A150" s="4"/>
      <c r="B150" s="21">
        <f t="shared" si="2"/>
        <v>138</v>
      </c>
      <c r="C150" s="13" t="s">
        <v>425</v>
      </c>
      <c r="D150" s="13" t="s">
        <v>534</v>
      </c>
      <c r="E150" s="7"/>
      <c r="F150" s="7" t="s">
        <v>317</v>
      </c>
      <c r="G150" s="7" t="str">
        <f t="shared" si="3"/>
        <v>text</v>
      </c>
      <c r="H150" s="58"/>
      <c r="I150" s="23"/>
      <c r="J150" s="24" t="s">
        <v>554</v>
      </c>
      <c r="L150" s="4"/>
      <c r="M150" s="4"/>
      <c r="N150" s="78"/>
      <c r="O150" s="78"/>
      <c r="P150" s="78" t="str">
        <f t="shared" si="12"/>
        <v>,ass0071_koku_seiketsu_kaijo</v>
      </c>
      <c r="Q150" s="78" t="str">
        <f t="shared" si="13"/>
        <v>TEXT</v>
      </c>
      <c r="R150" s="78" t="str">
        <f t="shared" si="14"/>
        <v/>
      </c>
      <c r="S150" s="78" t="str">
        <f t="shared" si="15"/>
        <v/>
      </c>
      <c r="T150" s="78" t="str">
        <f t="shared" si="16"/>
        <v>-- 口腔清潔（介助の状態）</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427</v>
      </c>
      <c r="D151" s="13" t="s">
        <v>535</v>
      </c>
      <c r="E151" s="7"/>
      <c r="F151" s="7" t="s">
        <v>317</v>
      </c>
      <c r="G151" s="7" t="str">
        <f t="shared" si="3"/>
        <v>text</v>
      </c>
      <c r="H151" s="58"/>
      <c r="I151" s="23"/>
      <c r="J151" s="24" t="s">
        <v>554</v>
      </c>
      <c r="L151" s="4"/>
      <c r="M151" s="4"/>
      <c r="N151" s="78"/>
      <c r="O151" s="78"/>
      <c r="P151" s="78" t="str">
        <f t="shared" si="12"/>
        <v>,ass0071_shokuji_sesshu_kaijo</v>
      </c>
      <c r="Q151" s="78" t="str">
        <f t="shared" si="13"/>
        <v>TEXT</v>
      </c>
      <c r="R151" s="78" t="str">
        <f t="shared" si="14"/>
        <v/>
      </c>
      <c r="S151" s="78" t="str">
        <f t="shared" si="15"/>
        <v/>
      </c>
      <c r="T151" s="78" t="str">
        <f t="shared" si="16"/>
        <v>-- 食事摂取（介助の状態）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429</v>
      </c>
      <c r="D152" s="13" t="s">
        <v>536</v>
      </c>
      <c r="E152" s="7"/>
      <c r="F152" s="7" t="s">
        <v>317</v>
      </c>
      <c r="G152" s="7" t="str">
        <f t="shared" si="3"/>
        <v>text</v>
      </c>
      <c r="H152" s="58"/>
      <c r="I152" s="23"/>
      <c r="J152" s="24" t="s">
        <v>554</v>
      </c>
      <c r="L152" s="4"/>
      <c r="M152" s="4"/>
      <c r="N152" s="78"/>
      <c r="O152" s="78"/>
      <c r="P152" s="78" t="str">
        <f t="shared" si="12"/>
        <v>,ass0071_ifuku_chakudatsu_kaijo</v>
      </c>
      <c r="Q152" s="78" t="str">
        <f t="shared" si="13"/>
        <v>TEXT</v>
      </c>
      <c r="R152" s="78" t="str">
        <f t="shared" si="14"/>
        <v/>
      </c>
      <c r="S152" s="78" t="str">
        <f t="shared" si="15"/>
        <v/>
      </c>
      <c r="T152" s="78" t="str">
        <f t="shared" si="16"/>
        <v>-- 衣服の着脱（介助の状態）</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537</v>
      </c>
      <c r="D153" s="57" t="s">
        <v>538</v>
      </c>
      <c r="E153" s="56"/>
      <c r="F153" s="56" t="s">
        <v>317</v>
      </c>
      <c r="G153" s="56" t="str">
        <f t="shared" si="3"/>
        <v>text</v>
      </c>
      <c r="H153" s="59"/>
      <c r="I153" s="60"/>
      <c r="J153" s="61" t="s">
        <v>557</v>
      </c>
      <c r="L153" s="4"/>
      <c r="M153" s="4"/>
      <c r="N153" s="78"/>
      <c r="O153" s="78"/>
      <c r="P153" s="78" t="str">
        <f t="shared" si="12"/>
        <v>,tar0010_kango_hantei</v>
      </c>
      <c r="Q153" s="78" t="str">
        <f t="shared" si="13"/>
        <v>TEXT</v>
      </c>
      <c r="R153" s="78" t="str">
        <f t="shared" si="14"/>
        <v/>
      </c>
      <c r="S153" s="78" t="str">
        <f t="shared" si="15"/>
        <v/>
      </c>
      <c r="T153" s="78" t="str">
        <f t="shared" si="16"/>
        <v>-- 看護必要度判定対象</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8" t="s">
        <v>142</v>
      </c>
      <c r="O154" s="78"/>
      <c r="P154" s="78"/>
      <c r="Q154" s="78"/>
      <c r="R154" s="78"/>
      <c r="S154" s="78"/>
      <c r="T154" s="78"/>
      <c r="V154" s="25"/>
      <c r="W154" s="25"/>
      <c r="X154" s="25"/>
      <c r="Y154" s="25"/>
      <c r="Z154" s="25"/>
      <c r="AJ154"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ENT_01_C1-05</v>
      </c>
      <c r="E6" s="251"/>
      <c r="F6" s="251"/>
      <c r="G6" s="251"/>
      <c r="H6" s="251"/>
      <c r="I6" s="251"/>
      <c r="J6" s="252"/>
    </row>
    <row r="7" spans="1:45">
      <c r="B7" s="240" t="s">
        <v>115</v>
      </c>
      <c r="C7" s="241"/>
      <c r="D7" s="242" t="s">
        <v>181</v>
      </c>
      <c r="E7" s="243"/>
      <c r="F7" s="243"/>
      <c r="G7" s="243"/>
      <c r="H7" s="243"/>
      <c r="I7" s="243"/>
      <c r="J7" s="244"/>
    </row>
    <row r="8" spans="1:45">
      <c r="B8" s="240" t="s">
        <v>116</v>
      </c>
      <c r="C8" s="241"/>
      <c r="D8" s="242" t="str">
        <f>エンティティ一覧!AE2&amp;"_"&amp;D5&amp;"_merge_dpc_ff1"</f>
        <v>sny_202310_backup_merge_dpc_ff1</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milscm_2023_009.sny_202310_backup_merge_dpc_ff1;</v>
      </c>
      <c r="O10" s="78"/>
      <c r="P10" s="78"/>
      <c r="Q10" s="78"/>
      <c r="R10" s="78"/>
      <c r="S10" s="78"/>
      <c r="T10" s="78"/>
      <c r="AJ10" s="78" t="str">
        <f>"ALTER TABLE ONLY "&amp;エンティティ一覧!$O$2&amp;"."&amp;D$8</f>
        <v>ALTER TABLE ONLY milscm_2023_009.sny_202310_backup_merge_dpc_ff1</v>
      </c>
      <c r="AS10" s="78" t="str">
        <f>"ALTER TABLE "&amp;エンティティ一覧!$O$2&amp;"."&amp;D$8&amp;" OWNER TO pgmisgrp1;"</f>
        <v>ALTER TABLE milscm_2023_009.sny_202310_backup_merge_dpc_ff1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v>
      </c>
      <c r="O11" s="78"/>
      <c r="P11" s="78"/>
      <c r="Q11" s="78"/>
      <c r="R11" s="78"/>
      <c r="S11" s="78"/>
      <c r="T11" s="78"/>
      <c r="AJ11" s="78" t="str">
        <f>"ADD CONSTRAINT "&amp;D$8&amp;"_pkey PRIMARY KEY"</f>
        <v>ADD CONSTRAINT sny_202310_backup_merge_dpc_ff1_pkey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milscm_2023_009.sny_202310_backup_merge_dpc_ff1.facility_id IS '施設ID';</v>
      </c>
    </row>
    <row r="16" spans="1:45" s="25" customFormat="1" ht="87">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910</v>
      </c>
      <c r="M16" s="4"/>
      <c r="N16" s="78"/>
      <c r="O16" s="78"/>
      <c r="P16" s="78" t="str">
        <f t="shared" si="4"/>
        <v>,shinryo_ym</v>
      </c>
      <c r="Q16" s="78" t="str">
        <f t="shared" si="0"/>
        <v>TEXT</v>
      </c>
      <c r="R16" s="78" t="str">
        <f t="shared" si="1"/>
        <v/>
      </c>
      <c r="S16" s="78" t="str">
        <f t="shared" ref="S16:S47" si="6">IF(I16="○","NOT NULL","")</f>
        <v>NOT NULL</v>
      </c>
      <c r="T16" s="78" t="str">
        <f t="shared" ref="T16:T47" si="7">"--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810</v>
      </c>
      <c r="N17" s="78"/>
      <c r="O17" s="78"/>
      <c r="P17" s="78" t="str">
        <f t="shared" si="4"/>
        <v>,data_type</v>
      </c>
      <c r="Q17" s="78" t="str">
        <f t="shared" si="0"/>
        <v>TEXT</v>
      </c>
      <c r="R17" s="78" t="str">
        <f t="shared" si="1"/>
        <v>default 'DPC'</v>
      </c>
      <c r="S17" s="78" t="str">
        <f t="shared" si="6"/>
        <v>NOT NULL</v>
      </c>
      <c r="T17" s="78" t="str">
        <f t="shared" si="7"/>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6"/>
        <v>NOT NULL</v>
      </c>
      <c r="T18" s="78" t="str">
        <f t="shared" si="7"/>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6"/>
        <v>NOT NULL</v>
      </c>
      <c r="T19" s="78" t="str">
        <f t="shared" si="7"/>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6"/>
        <v>NOT NULL</v>
      </c>
      <c r="T20" s="78" t="str">
        <f t="shared" si="7"/>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6"/>
        <v>NOT NULL</v>
      </c>
      <c r="T21" s="78" t="str">
        <f t="shared" si="7"/>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6"/>
        <v>NOT NULL</v>
      </c>
      <c r="T22" s="78" t="str">
        <f t="shared" si="7"/>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6"/>
        <v>NOT NULL</v>
      </c>
      <c r="T23" s="78" t="str">
        <f t="shared" si="7"/>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6"/>
        <v>NOT NULL</v>
      </c>
      <c r="T24" s="78" t="str">
        <f t="shared" si="7"/>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6"/>
        <v/>
      </c>
      <c r="T25" s="78" t="str">
        <f t="shared" si="7"/>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6"/>
        <v/>
      </c>
      <c r="T26" s="78" t="str">
        <f t="shared" si="7"/>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6"/>
        <v/>
      </c>
      <c r="T27" s="78" t="str">
        <f t="shared" si="7"/>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6"/>
        <v/>
      </c>
      <c r="T28" s="78" t="str">
        <f t="shared" si="7"/>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6"/>
        <v/>
      </c>
      <c r="T29" s="78" t="str">
        <f t="shared" si="7"/>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6"/>
        <v/>
      </c>
      <c r="T30" s="78" t="str">
        <f t="shared" si="7"/>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milscm_2023_009.sny_202310_backup_merge_dpc_ff1.a000020_shokai_flag IS '他院よりの紹介の有無';</v>
      </c>
    </row>
    <row r="31" spans="1:45" s="25" customFormat="1" ht="30">
      <c r="A31" s="4"/>
      <c r="B31" s="21">
        <f t="shared" si="2"/>
        <v>19</v>
      </c>
      <c r="C31" s="6" t="s">
        <v>580</v>
      </c>
      <c r="D31" s="6" t="s">
        <v>581</v>
      </c>
      <c r="E31" s="8"/>
      <c r="F31" s="7" t="s">
        <v>317</v>
      </c>
      <c r="G31" s="7" t="str">
        <f t="shared" si="3"/>
        <v>text</v>
      </c>
      <c r="H31" s="26"/>
      <c r="I31" s="10"/>
      <c r="J31" s="11" t="s">
        <v>815</v>
      </c>
      <c r="N31" s="78"/>
      <c r="O31" s="78"/>
      <c r="P31" s="78" t="str">
        <f t="shared" si="4"/>
        <v>,a000020_gairai_nyuin_flag</v>
      </c>
      <c r="Q31" s="78" t="str">
        <f t="shared" si="0"/>
        <v>TEXT</v>
      </c>
      <c r="R31" s="78" t="str">
        <f t="shared" si="1"/>
        <v/>
      </c>
      <c r="S31" s="78" t="str">
        <f t="shared" si="6"/>
        <v/>
      </c>
      <c r="T31" s="78" t="str">
        <f t="shared" si="7"/>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4"/>
        <v>,a000020_yotei_nyuin</v>
      </c>
      <c r="Q32" s="78" t="str">
        <f t="shared" si="0"/>
        <v>TEXT</v>
      </c>
      <c r="R32" s="78" t="str">
        <f t="shared" si="1"/>
        <v/>
      </c>
      <c r="S32" s="78" t="str">
        <f t="shared" si="6"/>
        <v/>
      </c>
      <c r="T32" s="78" t="str">
        <f t="shared" si="7"/>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4"/>
        <v>,a000020_hanso_flag</v>
      </c>
      <c r="Q33" s="78" t="str">
        <f t="shared" si="0"/>
        <v>TEXT</v>
      </c>
      <c r="R33" s="78" t="str">
        <f t="shared" si="1"/>
        <v/>
      </c>
      <c r="S33" s="78" t="str">
        <f t="shared" si="6"/>
        <v/>
      </c>
      <c r="T33" s="78" t="str">
        <f t="shared" si="7"/>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milscm_2023_009.sny_202310_backup_merge_dpc_ff1.a000020_hanso_flag IS '救急車による搬送の有無';</v>
      </c>
    </row>
    <row r="34" spans="1:52" s="25" customFormat="1" ht="30">
      <c r="A34" s="4"/>
      <c r="B34" s="21">
        <f t="shared" si="2"/>
        <v>22</v>
      </c>
      <c r="C34" s="13" t="s">
        <v>586</v>
      </c>
      <c r="D34" s="13" t="s">
        <v>587</v>
      </c>
      <c r="E34" s="7"/>
      <c r="F34" s="7" t="s">
        <v>317</v>
      </c>
      <c r="G34" s="7" t="str">
        <f t="shared" si="3"/>
        <v>text</v>
      </c>
      <c r="H34" s="58"/>
      <c r="I34" s="23"/>
      <c r="J34" s="24" t="s">
        <v>815</v>
      </c>
      <c r="N34" s="78"/>
      <c r="O34" s="78"/>
      <c r="P34" s="78" t="str">
        <f t="shared" si="4"/>
        <v>,a000020_nyuin_homecare_flag</v>
      </c>
      <c r="Q34" s="78" t="str">
        <f t="shared" si="0"/>
        <v>TEXT</v>
      </c>
      <c r="R34" s="78" t="str">
        <f t="shared" si="1"/>
        <v/>
      </c>
      <c r="S34" s="78" t="str">
        <f t="shared" si="6"/>
        <v/>
      </c>
      <c r="T34" s="78" t="str">
        <f t="shared" si="7"/>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milscm_2023_009.sny_202310_backup_merge_dpc_ff1.a000020_nyuin_homecare_flag IS '入院前の在宅医療の有無';</v>
      </c>
    </row>
    <row r="35" spans="1:52" s="25" customFormat="1" ht="191.4">
      <c r="A35" s="4"/>
      <c r="B35" s="21">
        <f t="shared" si="2"/>
        <v>23</v>
      </c>
      <c r="C35" s="6" t="s">
        <v>588</v>
      </c>
      <c r="D35" s="6" t="s">
        <v>589</v>
      </c>
      <c r="E35" s="8"/>
      <c r="F35" s="7" t="s">
        <v>317</v>
      </c>
      <c r="G35" s="7" t="str">
        <f t="shared" si="3"/>
        <v>text</v>
      </c>
      <c r="H35" s="26"/>
      <c r="I35" s="10"/>
      <c r="J35" s="11" t="s">
        <v>816</v>
      </c>
      <c r="N35" s="78"/>
      <c r="O35" s="78"/>
      <c r="P35" s="78" t="str">
        <f t="shared" si="4"/>
        <v>,a000020_jisho_flag</v>
      </c>
      <c r="Q35" s="78" t="str">
        <f t="shared" si="0"/>
        <v>TEXT</v>
      </c>
      <c r="R35" s="78" t="str">
        <f t="shared" si="1"/>
        <v/>
      </c>
      <c r="S35" s="78" t="str">
        <f t="shared" si="6"/>
        <v/>
      </c>
      <c r="T35" s="78" t="str">
        <f t="shared" si="7"/>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milscm_2023_009.sny_202310_backup_merge_dpc_ff1.a000020_jisho_flag IS '自傷行為・自殺企図の有無';</v>
      </c>
    </row>
    <row r="36" spans="1:52" s="25" customFormat="1" ht="52.2">
      <c r="A36" s="4"/>
      <c r="B36" s="21">
        <f t="shared" si="2"/>
        <v>24</v>
      </c>
      <c r="C36" s="13" t="s">
        <v>590</v>
      </c>
      <c r="D36" s="13" t="s">
        <v>591</v>
      </c>
      <c r="E36" s="7"/>
      <c r="F36" s="7" t="s">
        <v>317</v>
      </c>
      <c r="G36" s="7" t="str">
        <f t="shared" si="3"/>
        <v>text</v>
      </c>
      <c r="H36" s="26"/>
      <c r="I36" s="10"/>
      <c r="J36" s="11" t="s">
        <v>817</v>
      </c>
      <c r="N36" s="78"/>
      <c r="O36" s="78"/>
      <c r="P36" s="78" t="str">
        <f t="shared" si="4"/>
        <v>,a000020_kako_jisho_flag</v>
      </c>
      <c r="Q36" s="78" t="str">
        <f t="shared" si="0"/>
        <v>TEXT</v>
      </c>
      <c r="R36" s="78" t="str">
        <f t="shared" si="1"/>
        <v/>
      </c>
      <c r="S36" s="78" t="str">
        <f t="shared" si="6"/>
        <v/>
      </c>
      <c r="T36" s="78" t="str">
        <f t="shared" si="7"/>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4"/>
        <v>,a000030_taiin_ymd</v>
      </c>
      <c r="Q37" s="78" t="str">
        <f t="shared" si="0"/>
        <v>TEXT</v>
      </c>
      <c r="R37" s="78" t="str">
        <f t="shared" si="1"/>
        <v/>
      </c>
      <c r="S37" s="78" t="str">
        <f t="shared" si="6"/>
        <v/>
      </c>
      <c r="T37" s="78" t="str">
        <f t="shared" si="7"/>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4"/>
        <v>,a000030_taiin_saki</v>
      </c>
      <c r="Q38" s="78" t="str">
        <f t="shared" si="0"/>
        <v>TEXT</v>
      </c>
      <c r="R38" s="78" t="str">
        <f t="shared" si="1"/>
        <v/>
      </c>
      <c r="S38" s="78" t="str">
        <f t="shared" si="6"/>
        <v/>
      </c>
      <c r="T38" s="78" t="str">
        <f t="shared" si="7"/>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4"/>
        <v>,a000030_taiin_tenki</v>
      </c>
      <c r="Q39" s="78" t="str">
        <f t="shared" si="0"/>
        <v>TEXT</v>
      </c>
      <c r="R39" s="78" t="str">
        <f t="shared" si="1"/>
        <v/>
      </c>
      <c r="S39" s="78" t="str">
        <f t="shared" si="6"/>
        <v/>
      </c>
      <c r="T39" s="78" t="str">
        <f t="shared" si="7"/>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milscm_2023_009.sny_202310_backup_merge_dpc_ff1.a000030_taiin_tenki IS '退院時転帰';</v>
      </c>
    </row>
    <row r="40" spans="1:52" s="25" customFormat="1" ht="69.599999999999994">
      <c r="A40" s="4"/>
      <c r="B40" s="21">
        <f t="shared" si="2"/>
        <v>28</v>
      </c>
      <c r="C40" s="6" t="s">
        <v>597</v>
      </c>
      <c r="D40" s="6" t="s">
        <v>598</v>
      </c>
      <c r="E40" s="8"/>
      <c r="F40" s="7" t="s">
        <v>317</v>
      </c>
      <c r="G40" s="7" t="str">
        <f t="shared" si="3"/>
        <v>text</v>
      </c>
      <c r="H40" s="26"/>
      <c r="I40" s="10"/>
      <c r="J40" s="11" t="s">
        <v>818</v>
      </c>
      <c r="N40" s="78"/>
      <c r="O40" s="78"/>
      <c r="P40" s="78" t="str">
        <f t="shared" si="4"/>
        <v>,a000030_death24_flag</v>
      </c>
      <c r="Q40" s="78" t="str">
        <f t="shared" si="0"/>
        <v>TEXT</v>
      </c>
      <c r="R40" s="78" t="str">
        <f t="shared" si="1"/>
        <v/>
      </c>
      <c r="S40" s="78" t="str">
        <f t="shared" si="6"/>
        <v/>
      </c>
      <c r="T40" s="78" t="str">
        <f t="shared" si="7"/>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milscm_2023_009.sny_202310_backup_merge_dpc_ff1.a000030_death24_flag IS '24時間以内の死亡の有無';</v>
      </c>
    </row>
    <row r="41" spans="1:52" s="25" customFormat="1" ht="30">
      <c r="A41" s="4"/>
      <c r="B41" s="21">
        <f t="shared" si="2"/>
        <v>29</v>
      </c>
      <c r="C41" s="13" t="s">
        <v>599</v>
      </c>
      <c r="D41" s="13" t="s">
        <v>600</v>
      </c>
      <c r="E41" s="7"/>
      <c r="F41" s="7" t="s">
        <v>317</v>
      </c>
      <c r="G41" s="7" t="str">
        <f t="shared" si="3"/>
        <v>text</v>
      </c>
      <c r="H41" s="58"/>
      <c r="I41" s="23"/>
      <c r="J41" s="24" t="s">
        <v>819</v>
      </c>
      <c r="N41" s="78"/>
      <c r="O41" s="78"/>
      <c r="P41" s="78" t="str">
        <f t="shared" si="4"/>
        <v>,a000030_taiin_homecare_flag</v>
      </c>
      <c r="Q41" s="78" t="str">
        <f t="shared" si="0"/>
        <v>TEXT</v>
      </c>
      <c r="R41" s="78" t="str">
        <f t="shared" si="1"/>
        <v/>
      </c>
      <c r="S41" s="78" t="str">
        <f t="shared" si="6"/>
        <v/>
      </c>
      <c r="T41" s="78" t="str">
        <f t="shared" si="7"/>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4"/>
        <v>,a000031_ff1_start_ymd</v>
      </c>
      <c r="Q42" s="78" t="str">
        <f t="shared" si="0"/>
        <v>TEXT</v>
      </c>
      <c r="R42" s="78" t="str">
        <f t="shared" si="1"/>
        <v/>
      </c>
      <c r="S42" s="78" t="str">
        <f t="shared" si="6"/>
        <v/>
      </c>
      <c r="T42" s="78" t="str">
        <f t="shared" si="7"/>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4"/>
        <v>,a000031_ff1_end_ymd</v>
      </c>
      <c r="Q43" s="78" t="str">
        <f t="shared" si="0"/>
        <v>TEXT</v>
      </c>
      <c r="R43" s="78" t="str">
        <f t="shared" si="1"/>
        <v/>
      </c>
      <c r="S43" s="78" t="str">
        <f t="shared" si="6"/>
        <v/>
      </c>
      <c r="T43" s="78" t="str">
        <f t="shared" si="7"/>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milscm_2023_009.sny_202310_backup_merge_dpc_ff1.a000031_ff1_end_ymd IS '様式1終了日';</v>
      </c>
    </row>
    <row r="44" spans="1:52" s="25" customFormat="1" ht="30">
      <c r="A44" s="4"/>
      <c r="B44" s="21">
        <f t="shared" si="2"/>
        <v>32</v>
      </c>
      <c r="C44" s="6" t="s">
        <v>605</v>
      </c>
      <c r="D44" s="6" t="s">
        <v>606</v>
      </c>
      <c r="E44" s="8"/>
      <c r="F44" s="7" t="s">
        <v>317</v>
      </c>
      <c r="G44" s="7" t="str">
        <f t="shared" si="3"/>
        <v>text</v>
      </c>
      <c r="H44" s="26"/>
      <c r="I44" s="10"/>
      <c r="J44" s="11"/>
      <c r="N44" s="78"/>
      <c r="O44" s="78"/>
      <c r="P44" s="78" t="str">
        <f t="shared" si="4"/>
        <v>,a000040_department_code</v>
      </c>
      <c r="Q44" s="78" t="str">
        <f t="shared" si="0"/>
        <v>TEXT</v>
      </c>
      <c r="R44" s="78" t="str">
        <f t="shared" si="1"/>
        <v/>
      </c>
      <c r="S44" s="78" t="str">
        <f t="shared" si="6"/>
        <v/>
      </c>
      <c r="T44" s="78" t="str">
        <f t="shared" si="7"/>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4"/>
        <v>,a000040_tenka_flag</v>
      </c>
      <c r="Q45" s="78" t="str">
        <f t="shared" si="0"/>
        <v>TEXT</v>
      </c>
      <c r="R45" s="78" t="str">
        <f t="shared" si="1"/>
        <v/>
      </c>
      <c r="S45" s="78" t="str">
        <f t="shared" si="6"/>
        <v/>
      </c>
      <c r="T45" s="78" t="str">
        <f t="shared" si="7"/>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milscm_2023_009.sny_202310_backup_merge_dpc_ff1.a000040_tenka_flag IS '転科の有無';</v>
      </c>
    </row>
    <row r="46" spans="1:52" s="25" customFormat="1" ht="30">
      <c r="A46" s="4"/>
      <c r="B46" s="21">
        <f t="shared" si="2"/>
        <v>34</v>
      </c>
      <c r="C46" s="6" t="s">
        <v>609</v>
      </c>
      <c r="D46" s="6" t="s">
        <v>610</v>
      </c>
      <c r="E46" s="8"/>
      <c r="F46" s="7" t="s">
        <v>317</v>
      </c>
      <c r="G46" s="7" t="str">
        <f t="shared" si="3"/>
        <v>text</v>
      </c>
      <c r="H46" s="58"/>
      <c r="I46" s="23"/>
      <c r="J46" s="24"/>
      <c r="N46" s="78"/>
      <c r="O46" s="78"/>
      <c r="P46" s="78" t="str">
        <f t="shared" si="4"/>
        <v>,a000050_ippan_ward_flag</v>
      </c>
      <c r="Q46" s="78" t="str">
        <f t="shared" si="0"/>
        <v>TEXT</v>
      </c>
      <c r="R46" s="78" t="str">
        <f t="shared" si="1"/>
        <v/>
      </c>
      <c r="S46" s="78" t="str">
        <f t="shared" si="6"/>
        <v/>
      </c>
      <c r="T46" s="78" t="str">
        <f t="shared" si="7"/>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0">
      <c r="A47" s="4"/>
      <c r="B47" s="21">
        <f t="shared" si="2"/>
        <v>35</v>
      </c>
      <c r="C47" s="13" t="s">
        <v>611</v>
      </c>
      <c r="D47" s="13" t="s">
        <v>612</v>
      </c>
      <c r="E47" s="7"/>
      <c r="F47" s="7" t="s">
        <v>317</v>
      </c>
      <c r="G47" s="7" t="str">
        <f t="shared" si="3"/>
        <v>text</v>
      </c>
      <c r="H47" s="26"/>
      <c r="I47" s="10"/>
      <c r="J47" s="11"/>
      <c r="N47" s="78"/>
      <c r="O47" s="78"/>
      <c r="P47" s="78" t="str">
        <f t="shared" si="4"/>
        <v>,a000050_seishin_ward_flag</v>
      </c>
      <c r="Q47" s="78" t="str">
        <f t="shared" si="0"/>
        <v>TEXT</v>
      </c>
      <c r="R47" s="78" t="str">
        <f t="shared" si="1"/>
        <v/>
      </c>
      <c r="S47" s="78" t="str">
        <f t="shared" si="6"/>
        <v/>
      </c>
      <c r="T47" s="78" t="str">
        <f t="shared" si="7"/>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0">
      <c r="A48" s="4"/>
      <c r="B48" s="21">
        <f t="shared" si="2"/>
        <v>36</v>
      </c>
      <c r="C48" s="13" t="s">
        <v>613</v>
      </c>
      <c r="D48" s="13" t="s">
        <v>614</v>
      </c>
      <c r="E48" s="7"/>
      <c r="F48" s="7" t="s">
        <v>317</v>
      </c>
      <c r="G48" s="7" t="str">
        <f t="shared" si="3"/>
        <v>text</v>
      </c>
      <c r="H48" s="26"/>
      <c r="I48" s="10"/>
      <c r="J48" s="11"/>
      <c r="L48" s="4"/>
      <c r="N48" s="78"/>
      <c r="O48" s="78"/>
      <c r="P48" s="78" t="str">
        <f t="shared" ref="P48:P111" si="8">IF(B48&lt;&gt;1,","&amp;D48,D48)</f>
        <v>,a000050_other_ward_flag</v>
      </c>
      <c r="Q48" s="78" t="str">
        <f t="shared" ref="Q48:Q111" si="9">UPPER(G48)</f>
        <v>TEXT</v>
      </c>
      <c r="R48" s="78" t="str">
        <f t="shared" ref="R48:R111" si="10">IF(H48&lt;&gt;"","default "&amp;IF(G48="text","'"&amp;H48&amp;"'",H48),"")</f>
        <v/>
      </c>
      <c r="S48" s="78" t="str">
        <f t="shared" ref="S48:S111" si="11">IF(I48="○","NOT NULL","")</f>
        <v/>
      </c>
      <c r="T48" s="78" t="str">
        <f t="shared" ref="T48:T111" si="12">"-- "&amp;C48</f>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615</v>
      </c>
      <c r="D49" s="13" t="s">
        <v>616</v>
      </c>
      <c r="E49" s="7"/>
      <c r="F49" s="7" t="s">
        <v>317</v>
      </c>
      <c r="G49" s="7" t="str">
        <f t="shared" si="3"/>
        <v>text</v>
      </c>
      <c r="H49" s="58"/>
      <c r="I49" s="23"/>
      <c r="J49" s="24" t="s">
        <v>820</v>
      </c>
      <c r="L49" s="4"/>
      <c r="N49" s="78"/>
      <c r="O49" s="78"/>
      <c r="P49" s="78" t="str">
        <f t="shared" si="8"/>
        <v>,a000060_shinryo_purpose</v>
      </c>
      <c r="Q49" s="78" t="str">
        <f t="shared" si="9"/>
        <v>TEXT</v>
      </c>
      <c r="R49" s="78" t="str">
        <f t="shared" si="10"/>
        <v/>
      </c>
      <c r="S49" s="78" t="str">
        <f t="shared" si="11"/>
        <v/>
      </c>
      <c r="T49" s="78" t="str">
        <f t="shared" si="12"/>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8"/>
        <v>,a000060_trial_flag</v>
      </c>
      <c r="Q50" s="78" t="str">
        <f t="shared" si="9"/>
        <v>TEXT</v>
      </c>
      <c r="R50" s="78" t="str">
        <f t="shared" si="10"/>
        <v/>
      </c>
      <c r="S50" s="78" t="str">
        <f t="shared" si="11"/>
        <v/>
      </c>
      <c r="T50" s="78" t="str">
        <f t="shared" si="12"/>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8"/>
        <v>,a000070_zentaiin_ymd</v>
      </c>
      <c r="Q51" s="78" t="str">
        <f t="shared" si="9"/>
        <v>TEXT</v>
      </c>
      <c r="R51" s="78" t="str">
        <f t="shared" si="10"/>
        <v/>
      </c>
      <c r="S51" s="78" t="str">
        <f t="shared" si="11"/>
        <v/>
      </c>
      <c r="T51" s="78" t="str">
        <f t="shared" si="12"/>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0">
      <c r="A52" s="4"/>
      <c r="B52" s="21">
        <f t="shared" si="2"/>
        <v>40</v>
      </c>
      <c r="C52" s="6" t="s">
        <v>621</v>
      </c>
      <c r="D52" s="6" t="s">
        <v>622</v>
      </c>
      <c r="E52" s="8"/>
      <c r="F52" s="7" t="s">
        <v>317</v>
      </c>
      <c r="G52" s="7" t="str">
        <f t="shared" si="3"/>
        <v>text</v>
      </c>
      <c r="H52" s="26"/>
      <c r="I52" s="10"/>
      <c r="J52" s="11" t="s">
        <v>144</v>
      </c>
      <c r="L52" s="4"/>
      <c r="N52" s="78"/>
      <c r="O52" s="78"/>
      <c r="P52" s="78" t="str">
        <f t="shared" si="8"/>
        <v>,a000070_same_jiin_nyuin_flag</v>
      </c>
      <c r="Q52" s="78" t="str">
        <f t="shared" si="9"/>
        <v>TEXT</v>
      </c>
      <c r="R52" s="78" t="str">
        <f t="shared" si="10"/>
        <v/>
      </c>
      <c r="S52" s="78" t="str">
        <f t="shared" si="11"/>
        <v/>
      </c>
      <c r="T52" s="78" t="str">
        <f t="shared" si="12"/>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N53" s="78"/>
      <c r="O53" s="78"/>
      <c r="P53" s="78" t="str">
        <f t="shared" si="8"/>
        <v>,a000080_sai_nyuin_type</v>
      </c>
      <c r="Q53" s="78" t="str">
        <f t="shared" si="9"/>
        <v>TEXT</v>
      </c>
      <c r="R53" s="78" t="str">
        <f t="shared" si="10"/>
        <v/>
      </c>
      <c r="S53" s="78" t="str">
        <f t="shared" si="11"/>
        <v/>
      </c>
      <c r="T53" s="78" t="str">
        <f t="shared" si="12"/>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8"/>
        <v>,a000080_riyu_type</v>
      </c>
      <c r="Q54" s="78" t="str">
        <f t="shared" si="9"/>
        <v>TEXT</v>
      </c>
      <c r="R54" s="78" t="str">
        <f t="shared" si="10"/>
        <v/>
      </c>
      <c r="S54" s="78" t="str">
        <f t="shared" si="11"/>
        <v/>
      </c>
      <c r="T54" s="78" t="str">
        <f t="shared" si="12"/>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8"/>
        <v>,a000080_free_entry</v>
      </c>
      <c r="Q55" s="78" t="str">
        <f t="shared" si="9"/>
        <v>TEXT</v>
      </c>
      <c r="R55" s="78" t="str">
        <f t="shared" si="10"/>
        <v/>
      </c>
      <c r="S55" s="78" t="str">
        <f t="shared" si="11"/>
        <v/>
      </c>
      <c r="T55" s="78" t="str">
        <f t="shared" si="12"/>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8"/>
        <v>,a000090_sai_tento_type</v>
      </c>
      <c r="Q56" s="78" t="str">
        <f t="shared" si="9"/>
        <v>TEXT</v>
      </c>
      <c r="R56" s="78" t="str">
        <f t="shared" si="10"/>
        <v/>
      </c>
      <c r="S56" s="78" t="str">
        <f t="shared" si="11"/>
        <v/>
      </c>
      <c r="T56" s="78" t="str">
        <f t="shared" si="12"/>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8"/>
        <v>,a000090_riyu_type</v>
      </c>
      <c r="Q57" s="78" t="str">
        <f t="shared" si="9"/>
        <v>TEXT</v>
      </c>
      <c r="R57" s="78" t="str">
        <f t="shared" si="10"/>
        <v/>
      </c>
      <c r="S57" s="78" t="str">
        <f t="shared" si="11"/>
        <v/>
      </c>
      <c r="T57" s="78" t="str">
        <f t="shared" si="12"/>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8"/>
        <v>,a000090_free_entry</v>
      </c>
      <c r="Q58" s="78" t="str">
        <f t="shared" si="9"/>
        <v>TEXT</v>
      </c>
      <c r="R58" s="78" t="str">
        <f t="shared" si="10"/>
        <v/>
      </c>
      <c r="S58" s="78" t="str">
        <f t="shared" si="11"/>
        <v/>
      </c>
      <c r="T58" s="78" t="str">
        <f t="shared" si="12"/>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8"/>
        <v>,a001010_height</v>
      </c>
      <c r="Q59" s="78" t="str">
        <f t="shared" si="9"/>
        <v>TEXT</v>
      </c>
      <c r="R59" s="78" t="str">
        <f t="shared" si="10"/>
        <v/>
      </c>
      <c r="S59" s="78" t="str">
        <f t="shared" si="11"/>
        <v/>
      </c>
      <c r="T59" s="78" t="str">
        <f t="shared" si="12"/>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4.799999999999997">
      <c r="A60" s="4"/>
      <c r="B60" s="21">
        <f t="shared" si="2"/>
        <v>48</v>
      </c>
      <c r="C60" s="13" t="s">
        <v>635</v>
      </c>
      <c r="D60" s="13" t="s">
        <v>636</v>
      </c>
      <c r="E60" s="7"/>
      <c r="F60" s="7" t="s">
        <v>317</v>
      </c>
      <c r="G60" s="7" t="str">
        <f t="shared" si="3"/>
        <v>text</v>
      </c>
      <c r="H60" s="26"/>
      <c r="I60" s="10"/>
      <c r="J60" s="11" t="s">
        <v>825</v>
      </c>
      <c r="L60" s="4"/>
      <c r="M60" s="4"/>
      <c r="N60" s="78"/>
      <c r="O60" s="78"/>
      <c r="P60" s="78" t="str">
        <f t="shared" si="8"/>
        <v>,a001010_weight</v>
      </c>
      <c r="Q60" s="78" t="str">
        <f t="shared" si="9"/>
        <v>TEXT</v>
      </c>
      <c r="R60" s="78" t="str">
        <f t="shared" si="10"/>
        <v/>
      </c>
      <c r="S60" s="78" t="str">
        <f t="shared" si="11"/>
        <v/>
      </c>
      <c r="T60" s="78" t="str">
        <f t="shared" si="12"/>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8"/>
        <v>,a001020_smoking</v>
      </c>
      <c r="Q61" s="78" t="str">
        <f t="shared" si="9"/>
        <v>TEXT</v>
      </c>
      <c r="R61" s="78" t="str">
        <f t="shared" si="10"/>
        <v/>
      </c>
      <c r="S61" s="78" t="str">
        <f t="shared" si="11"/>
        <v/>
      </c>
      <c r="T61" s="78" t="str">
        <f t="shared" si="12"/>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8"/>
        <v>,a002010_ninshin_flag</v>
      </c>
      <c r="Q62" s="78" t="str">
        <f t="shared" si="9"/>
        <v>TEXT</v>
      </c>
      <c r="R62" s="78" t="str">
        <f t="shared" si="10"/>
        <v/>
      </c>
      <c r="S62" s="78" t="str">
        <f t="shared" si="11"/>
        <v/>
      </c>
      <c r="T62" s="78" t="str">
        <f t="shared" si="12"/>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8"/>
        <v>,a002010_nyuin_ninshin</v>
      </c>
      <c r="Q63" s="78" t="str">
        <f t="shared" si="9"/>
        <v>TEXT</v>
      </c>
      <c r="R63" s="78" t="str">
        <f t="shared" si="10"/>
        <v/>
      </c>
      <c r="S63" s="78" t="str">
        <f t="shared" si="11"/>
        <v/>
      </c>
      <c r="T63" s="78" t="str">
        <f t="shared" si="12"/>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8"/>
        <v>,a003010_birth_weight</v>
      </c>
      <c r="Q64" s="78" t="str">
        <f t="shared" si="9"/>
        <v>TEXT</v>
      </c>
      <c r="R64" s="78" t="str">
        <f t="shared" si="10"/>
        <v/>
      </c>
      <c r="S64" s="78" t="str">
        <f t="shared" si="11"/>
        <v/>
      </c>
      <c r="T64" s="78" t="str">
        <f t="shared" si="12"/>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8"/>
        <v>,a003010_birth_ninshin</v>
      </c>
      <c r="Q65" s="78" t="str">
        <f t="shared" si="9"/>
        <v>TEXT</v>
      </c>
      <c r="R65" s="78" t="str">
        <f t="shared" si="10"/>
        <v/>
      </c>
      <c r="S65" s="78" t="str">
        <f t="shared" si="11"/>
        <v/>
      </c>
      <c r="T65" s="78" t="str">
        <f t="shared" si="12"/>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0">
      <c r="A66" s="4"/>
      <c r="B66" s="21">
        <f t="shared" si="2"/>
        <v>54</v>
      </c>
      <c r="C66" s="13" t="s">
        <v>647</v>
      </c>
      <c r="D66" s="13" t="s">
        <v>648</v>
      </c>
      <c r="E66" s="7"/>
      <c r="F66" s="7" t="s">
        <v>317</v>
      </c>
      <c r="G66" s="7" t="str">
        <f t="shared" si="3"/>
        <v>text</v>
      </c>
      <c r="H66" s="26"/>
      <c r="I66" s="10"/>
      <c r="J66" s="11" t="s">
        <v>830</v>
      </c>
      <c r="L66" s="4"/>
      <c r="M66" s="4"/>
      <c r="N66" s="78"/>
      <c r="O66" s="78"/>
      <c r="P66" s="78" t="str">
        <f t="shared" si="8"/>
        <v>,a004010_aged_jiritsu_kijun</v>
      </c>
      <c r="Q66" s="78" t="str">
        <f t="shared" si="9"/>
        <v>TEXT</v>
      </c>
      <c r="R66" s="78" t="str">
        <f t="shared" si="10"/>
        <v/>
      </c>
      <c r="S66" s="78" t="str">
        <f t="shared" si="11"/>
        <v/>
      </c>
      <c r="T66" s="78" t="str">
        <f t="shared" si="12"/>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649</v>
      </c>
      <c r="D67" s="6" t="s">
        <v>650</v>
      </c>
      <c r="E67" s="8"/>
      <c r="F67" s="7" t="s">
        <v>317</v>
      </c>
      <c r="G67" s="7" t="str">
        <f t="shared" si="3"/>
        <v>text</v>
      </c>
      <c r="H67" s="58"/>
      <c r="I67" s="23"/>
      <c r="J67" s="24" t="s">
        <v>831</v>
      </c>
      <c r="L67" s="4"/>
      <c r="M67" s="4"/>
      <c r="N67" s="78"/>
      <c r="O67" s="78"/>
      <c r="P67" s="78" t="str">
        <f t="shared" si="8"/>
        <v>,a004020_care</v>
      </c>
      <c r="Q67" s="78" t="str">
        <f t="shared" si="9"/>
        <v>TEXT</v>
      </c>
      <c r="R67" s="78" t="str">
        <f t="shared" si="10"/>
        <v/>
      </c>
      <c r="S67" s="78" t="str">
        <f t="shared" si="11"/>
        <v/>
      </c>
      <c r="T67" s="78" t="str">
        <f t="shared" si="12"/>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0">
      <c r="A68" s="4"/>
      <c r="B68" s="21">
        <f t="shared" si="2"/>
        <v>56</v>
      </c>
      <c r="C68" s="13" t="s">
        <v>246</v>
      </c>
      <c r="D68" s="13" t="s">
        <v>651</v>
      </c>
      <c r="E68" s="7"/>
      <c r="F68" s="7" t="s">
        <v>317</v>
      </c>
      <c r="G68" s="7" t="str">
        <f t="shared" si="3"/>
        <v>text</v>
      </c>
      <c r="H68" s="26"/>
      <c r="I68" s="10"/>
      <c r="J68" s="11" t="s">
        <v>144</v>
      </c>
      <c r="L68" s="4"/>
      <c r="M68" s="4"/>
      <c r="N68" s="78"/>
      <c r="O68" s="78"/>
      <c r="P68" s="78" t="str">
        <f t="shared" si="8"/>
        <v>,a004030_santei_start_ymd</v>
      </c>
      <c r="Q68" s="78" t="str">
        <f t="shared" si="9"/>
        <v>TEXT</v>
      </c>
      <c r="R68" s="78" t="str">
        <f t="shared" si="10"/>
        <v/>
      </c>
      <c r="S68" s="78" t="str">
        <f t="shared" si="11"/>
        <v/>
      </c>
      <c r="T68" s="78" t="str">
        <f t="shared" si="12"/>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ht="30">
      <c r="A69" s="4"/>
      <c r="B69" s="21">
        <f t="shared" si="2"/>
        <v>57</v>
      </c>
      <c r="C69" s="6" t="s">
        <v>248</v>
      </c>
      <c r="D69" s="6" t="s">
        <v>652</v>
      </c>
      <c r="E69" s="8"/>
      <c r="F69" s="7" t="s">
        <v>317</v>
      </c>
      <c r="G69" s="7" t="str">
        <f t="shared" si="3"/>
        <v>text</v>
      </c>
      <c r="H69" s="58"/>
      <c r="I69" s="23"/>
      <c r="J69" s="24" t="s">
        <v>144</v>
      </c>
      <c r="L69" s="4"/>
      <c r="M69" s="4"/>
      <c r="N69" s="78"/>
      <c r="O69" s="78"/>
      <c r="P69" s="78" t="str">
        <f t="shared" si="8"/>
        <v>,a004030_santei_end_ymd</v>
      </c>
      <c r="Q69" s="78" t="str">
        <f t="shared" si="9"/>
        <v>TEXT</v>
      </c>
      <c r="R69" s="78" t="str">
        <f t="shared" si="10"/>
        <v/>
      </c>
      <c r="S69" s="78" t="str">
        <f t="shared" si="11"/>
        <v/>
      </c>
      <c r="T69" s="78" t="str">
        <f t="shared" si="12"/>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0">
      <c r="A70" s="4"/>
      <c r="B70" s="21">
        <f t="shared" si="2"/>
        <v>58</v>
      </c>
      <c r="C70" s="13" t="s">
        <v>653</v>
      </c>
      <c r="D70" s="13" t="s">
        <v>654</v>
      </c>
      <c r="E70" s="7"/>
      <c r="F70" s="7" t="s">
        <v>317</v>
      </c>
      <c r="G70" s="7" t="str">
        <f t="shared" si="3"/>
        <v>text</v>
      </c>
      <c r="H70" s="58"/>
      <c r="I70" s="23"/>
      <c r="J70" s="24" t="s">
        <v>832</v>
      </c>
      <c r="L70" s="4"/>
      <c r="M70" s="4"/>
      <c r="N70" s="78"/>
      <c r="O70" s="78"/>
      <c r="P70" s="78" t="str">
        <f t="shared" si="8"/>
        <v>,a004030_teieiyo_start_flag</v>
      </c>
      <c r="Q70" s="78" t="str">
        <f t="shared" si="9"/>
        <v>TEXT</v>
      </c>
      <c r="R70" s="78" t="str">
        <f t="shared" si="10"/>
        <v/>
      </c>
      <c r="S70" s="78" t="str">
        <f t="shared" si="11"/>
        <v/>
      </c>
      <c r="T70" s="78" t="str">
        <f t="shared" si="12"/>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0">
      <c r="A71" s="4"/>
      <c r="B71" s="21">
        <f t="shared" si="2"/>
        <v>59</v>
      </c>
      <c r="C71" s="6" t="s">
        <v>655</v>
      </c>
      <c r="D71" s="6" t="s">
        <v>656</v>
      </c>
      <c r="E71" s="8"/>
      <c r="F71" s="7" t="s">
        <v>317</v>
      </c>
      <c r="G71" s="7" t="str">
        <f t="shared" si="3"/>
        <v>text</v>
      </c>
      <c r="H71" s="26"/>
      <c r="I71" s="10"/>
      <c r="J71" s="11" t="s">
        <v>832</v>
      </c>
      <c r="L71" s="4"/>
      <c r="M71" s="4"/>
      <c r="N71" s="78"/>
      <c r="O71" s="78"/>
      <c r="P71" s="78" t="str">
        <f t="shared" si="8"/>
        <v>,a004030_sesshoku_shogai_start_flag</v>
      </c>
      <c r="Q71" s="78" t="str">
        <f t="shared" si="9"/>
        <v>TEXT</v>
      </c>
      <c r="R71" s="78" t="str">
        <f t="shared" si="10"/>
        <v/>
      </c>
      <c r="S71" s="78" t="str">
        <f t="shared" si="11"/>
        <v/>
      </c>
      <c r="T71" s="78" t="str">
        <f t="shared" si="12"/>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657</v>
      </c>
      <c r="D72" s="6" t="s">
        <v>658</v>
      </c>
      <c r="E72" s="8"/>
      <c r="F72" s="7" t="s">
        <v>317</v>
      </c>
      <c r="G72" s="7" t="str">
        <f t="shared" si="3"/>
        <v>text</v>
      </c>
      <c r="H72" s="26"/>
      <c r="I72" s="10"/>
      <c r="J72" s="11" t="s">
        <v>832</v>
      </c>
      <c r="L72" s="4"/>
      <c r="M72" s="4"/>
      <c r="N72" s="78"/>
      <c r="O72" s="78"/>
      <c r="P72" s="78" t="str">
        <f t="shared" si="8"/>
        <v>,a004030_teieiyo_end_flag</v>
      </c>
      <c r="Q72" s="78" t="str">
        <f t="shared" si="9"/>
        <v>TEXT</v>
      </c>
      <c r="R72" s="78" t="str">
        <f t="shared" si="10"/>
        <v/>
      </c>
      <c r="S72" s="78" t="str">
        <f t="shared" si="11"/>
        <v/>
      </c>
      <c r="T72" s="78" t="str">
        <f t="shared" si="12"/>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0">
      <c r="A73" s="4"/>
      <c r="B73" s="21">
        <f t="shared" si="2"/>
        <v>61</v>
      </c>
      <c r="C73" s="13" t="s">
        <v>659</v>
      </c>
      <c r="D73" s="13" t="s">
        <v>660</v>
      </c>
      <c r="E73" s="7"/>
      <c r="F73" s="7" t="s">
        <v>317</v>
      </c>
      <c r="G73" s="7" t="str">
        <f t="shared" si="3"/>
        <v>text</v>
      </c>
      <c r="H73" s="58"/>
      <c r="I73" s="23"/>
      <c r="J73" s="24" t="s">
        <v>832</v>
      </c>
      <c r="L73" s="4"/>
      <c r="M73" s="4"/>
      <c r="N73" s="78"/>
      <c r="O73" s="78"/>
      <c r="P73" s="78" t="str">
        <f t="shared" si="8"/>
        <v>,a004030_sesshoku_shogai_end_flag</v>
      </c>
      <c r="Q73" s="78" t="str">
        <f t="shared" si="9"/>
        <v>TEXT</v>
      </c>
      <c r="R73" s="78" t="str">
        <f t="shared" si="10"/>
        <v/>
      </c>
      <c r="S73" s="78" t="str">
        <f t="shared" si="11"/>
        <v/>
      </c>
      <c r="T73" s="78" t="str">
        <f t="shared" si="12"/>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661</v>
      </c>
      <c r="D74" s="6" t="s">
        <v>662</v>
      </c>
      <c r="E74" s="8"/>
      <c r="F74" s="7" t="s">
        <v>317</v>
      </c>
      <c r="G74" s="7" t="str">
        <f t="shared" si="3"/>
        <v>text</v>
      </c>
      <c r="H74" s="26"/>
      <c r="I74" s="10"/>
      <c r="J74" s="11" t="s">
        <v>833</v>
      </c>
      <c r="L74" s="4"/>
      <c r="M74" s="4"/>
      <c r="N74" s="78"/>
      <c r="O74" s="78"/>
      <c r="P74" s="78" t="str">
        <f t="shared" si="8"/>
        <v>,a004030_keikan_eiyou_start</v>
      </c>
      <c r="Q74" s="78" t="str">
        <f t="shared" si="9"/>
        <v>TEXT</v>
      </c>
      <c r="R74" s="78" t="str">
        <f t="shared" si="10"/>
        <v/>
      </c>
      <c r="S74" s="78" t="str">
        <f t="shared" si="11"/>
        <v/>
      </c>
      <c r="T74" s="78" t="str">
        <f t="shared" si="12"/>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663</v>
      </c>
      <c r="D75" s="13" t="s">
        <v>664</v>
      </c>
      <c r="E75" s="7"/>
      <c r="F75" s="7" t="s">
        <v>317</v>
      </c>
      <c r="G75" s="7" t="str">
        <f t="shared" si="3"/>
        <v>text</v>
      </c>
      <c r="H75" s="58"/>
      <c r="I75" s="23"/>
      <c r="J75" s="24" t="s">
        <v>833</v>
      </c>
      <c r="L75" s="4"/>
      <c r="M75" s="4"/>
      <c r="N75" s="78"/>
      <c r="O75" s="78"/>
      <c r="P75" s="78" t="str">
        <f t="shared" si="8"/>
        <v>,a004030_keikan_eiyou_end</v>
      </c>
      <c r="Q75" s="78" t="str">
        <f t="shared" si="9"/>
        <v>TEXT</v>
      </c>
      <c r="R75" s="78" t="str">
        <f t="shared" si="10"/>
        <v/>
      </c>
      <c r="S75" s="78" t="str">
        <f t="shared" si="11"/>
        <v/>
      </c>
      <c r="T75" s="78" t="str">
        <f t="shared" si="12"/>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8"/>
        <v>,a006010_icd10_code</v>
      </c>
      <c r="Q76" s="78" t="str">
        <f t="shared" si="9"/>
        <v>TEXT</v>
      </c>
      <c r="R76" s="78" t="str">
        <f t="shared" si="10"/>
        <v/>
      </c>
      <c r="S76" s="78" t="str">
        <f t="shared" si="11"/>
        <v/>
      </c>
      <c r="T76" s="78" t="str">
        <f t="shared" si="12"/>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8"/>
        <v>,a006010_shobyo_code</v>
      </c>
      <c r="Q77" s="78" t="str">
        <f t="shared" si="9"/>
        <v>TEXT</v>
      </c>
      <c r="R77" s="78" t="str">
        <f t="shared" si="10"/>
        <v/>
      </c>
      <c r="S77" s="78" t="str">
        <f t="shared" si="11"/>
        <v/>
      </c>
      <c r="T77" s="78" t="str">
        <f t="shared" si="12"/>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ht="30">
      <c r="A78" s="4"/>
      <c r="B78" s="21">
        <f t="shared" si="2"/>
        <v>66</v>
      </c>
      <c r="C78" s="6" t="s">
        <v>669</v>
      </c>
      <c r="D78" s="6" t="s">
        <v>670</v>
      </c>
      <c r="E78" s="8"/>
      <c r="F78" s="7" t="s">
        <v>317</v>
      </c>
      <c r="G78" s="7" t="str">
        <f t="shared" si="3"/>
        <v>text</v>
      </c>
      <c r="H78" s="26"/>
      <c r="I78" s="10"/>
      <c r="J78" s="11"/>
      <c r="L78" s="4"/>
      <c r="M78" s="4"/>
      <c r="N78" s="78"/>
      <c r="O78" s="78"/>
      <c r="P78" s="78" t="str">
        <f t="shared" si="8"/>
        <v>,a006010_shushoku_code1</v>
      </c>
      <c r="Q78" s="78" t="str">
        <f t="shared" si="9"/>
        <v>TEXT</v>
      </c>
      <c r="R78" s="78" t="str">
        <f t="shared" si="10"/>
        <v/>
      </c>
      <c r="S78" s="78" t="str">
        <f t="shared" si="11"/>
        <v/>
      </c>
      <c r="T78" s="78" t="str">
        <f t="shared" si="12"/>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ht="30">
      <c r="A79" s="4"/>
      <c r="B79" s="21">
        <f t="shared" si="2"/>
        <v>67</v>
      </c>
      <c r="C79" s="13" t="s">
        <v>671</v>
      </c>
      <c r="D79" s="13" t="s">
        <v>672</v>
      </c>
      <c r="E79" s="7"/>
      <c r="F79" s="7" t="s">
        <v>317</v>
      </c>
      <c r="G79" s="7" t="str">
        <f t="shared" si="3"/>
        <v>text</v>
      </c>
      <c r="H79" s="58"/>
      <c r="I79" s="23"/>
      <c r="J79" s="24"/>
      <c r="L79" s="4"/>
      <c r="M79" s="4"/>
      <c r="N79" s="78"/>
      <c r="O79" s="78"/>
      <c r="P79" s="78" t="str">
        <f t="shared" si="8"/>
        <v>,a006010_shushoku_code2</v>
      </c>
      <c r="Q79" s="78" t="str">
        <f t="shared" si="9"/>
        <v>TEXT</v>
      </c>
      <c r="R79" s="78" t="str">
        <f t="shared" si="10"/>
        <v/>
      </c>
      <c r="S79" s="78" t="str">
        <f t="shared" si="11"/>
        <v/>
      </c>
      <c r="T79" s="78" t="str">
        <f t="shared" si="12"/>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ht="30">
      <c r="A80" s="4"/>
      <c r="B80" s="21">
        <f t="shared" si="2"/>
        <v>68</v>
      </c>
      <c r="C80" s="6" t="s">
        <v>673</v>
      </c>
      <c r="D80" s="6" t="s">
        <v>674</v>
      </c>
      <c r="E80" s="8"/>
      <c r="F80" s="7" t="s">
        <v>317</v>
      </c>
      <c r="G80" s="7" t="str">
        <f t="shared" si="3"/>
        <v>text</v>
      </c>
      <c r="H80" s="26"/>
      <c r="I80" s="10"/>
      <c r="J80" s="11"/>
      <c r="L80" s="4"/>
      <c r="M80" s="4"/>
      <c r="N80" s="78"/>
      <c r="O80" s="78"/>
      <c r="P80" s="78" t="str">
        <f t="shared" si="8"/>
        <v>,a006010_shushoku_code3</v>
      </c>
      <c r="Q80" s="78" t="str">
        <f t="shared" si="9"/>
        <v>TEXT</v>
      </c>
      <c r="R80" s="78" t="str">
        <f t="shared" si="10"/>
        <v/>
      </c>
      <c r="S80" s="78" t="str">
        <f t="shared" si="11"/>
        <v/>
      </c>
      <c r="T80" s="78" t="str">
        <f t="shared" si="12"/>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ht="30">
      <c r="A81" s="4"/>
      <c r="B81" s="21">
        <f t="shared" si="2"/>
        <v>69</v>
      </c>
      <c r="C81" s="13" t="s">
        <v>675</v>
      </c>
      <c r="D81" s="13" t="s">
        <v>676</v>
      </c>
      <c r="E81" s="7"/>
      <c r="F81" s="7" t="s">
        <v>317</v>
      </c>
      <c r="G81" s="7" t="str">
        <f t="shared" si="3"/>
        <v>text</v>
      </c>
      <c r="H81" s="58"/>
      <c r="I81" s="23"/>
      <c r="J81" s="24"/>
      <c r="L81" s="4"/>
      <c r="M81" s="4"/>
      <c r="N81" s="78"/>
      <c r="O81" s="78"/>
      <c r="P81" s="78" t="str">
        <f t="shared" si="8"/>
        <v>,a006010_shushoku_code4</v>
      </c>
      <c r="Q81" s="78" t="str">
        <f t="shared" si="9"/>
        <v>TEXT</v>
      </c>
      <c r="R81" s="78" t="str">
        <f t="shared" si="10"/>
        <v/>
      </c>
      <c r="S81" s="78" t="str">
        <f t="shared" si="11"/>
        <v/>
      </c>
      <c r="T81" s="78" t="str">
        <f t="shared" si="12"/>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4.799999999999997">
      <c r="A82" s="4"/>
      <c r="B82" s="21">
        <f t="shared" si="2"/>
        <v>70</v>
      </c>
      <c r="C82" s="13" t="s">
        <v>677</v>
      </c>
      <c r="D82" s="13" t="s">
        <v>678</v>
      </c>
      <c r="E82" s="7"/>
      <c r="F82" s="7" t="s">
        <v>317</v>
      </c>
      <c r="G82" s="7" t="str">
        <f t="shared" si="3"/>
        <v>text</v>
      </c>
      <c r="H82" s="58"/>
      <c r="I82" s="23"/>
      <c r="J82" s="24" t="s">
        <v>835</v>
      </c>
      <c r="L82" s="4"/>
      <c r="M82" s="4"/>
      <c r="N82" s="78"/>
      <c r="O82" s="78"/>
      <c r="P82" s="78" t="str">
        <f t="shared" si="8"/>
        <v>,a006010_main_shobyo_name</v>
      </c>
      <c r="Q82" s="78" t="str">
        <f t="shared" si="9"/>
        <v>TEXT</v>
      </c>
      <c r="R82" s="78" t="str">
        <f t="shared" si="10"/>
        <v/>
      </c>
      <c r="S82" s="78" t="str">
        <f t="shared" si="11"/>
        <v/>
      </c>
      <c r="T82" s="78" t="str">
        <f t="shared" si="12"/>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8"/>
        <v>,a006020_icd10_code</v>
      </c>
      <c r="Q83" s="78" t="str">
        <f t="shared" si="9"/>
        <v>TEXT</v>
      </c>
      <c r="R83" s="78" t="str">
        <f t="shared" si="10"/>
        <v/>
      </c>
      <c r="S83" s="78" t="str">
        <f t="shared" si="11"/>
        <v/>
      </c>
      <c r="T83" s="78" t="str">
        <f t="shared" si="12"/>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8"/>
        <v>,a006020_shobyo_code</v>
      </c>
      <c r="Q84" s="78" t="str">
        <f t="shared" si="9"/>
        <v>TEXT</v>
      </c>
      <c r="R84" s="78" t="str">
        <f t="shared" si="10"/>
        <v/>
      </c>
      <c r="S84" s="78" t="str">
        <f t="shared" si="11"/>
        <v/>
      </c>
      <c r="T84" s="78" t="str">
        <f t="shared" si="12"/>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ht="30">
      <c r="A85" s="4"/>
      <c r="B85" s="21">
        <f t="shared" si="2"/>
        <v>73</v>
      </c>
      <c r="C85" s="13" t="s">
        <v>669</v>
      </c>
      <c r="D85" s="13" t="s">
        <v>681</v>
      </c>
      <c r="E85" s="7"/>
      <c r="F85" s="7" t="s">
        <v>317</v>
      </c>
      <c r="G85" s="7" t="str">
        <f t="shared" si="3"/>
        <v>text</v>
      </c>
      <c r="H85" s="58"/>
      <c r="I85" s="23"/>
      <c r="J85" s="24"/>
      <c r="L85" s="4"/>
      <c r="M85" s="4"/>
      <c r="N85" s="78"/>
      <c r="O85" s="78"/>
      <c r="P85" s="78" t="str">
        <f t="shared" si="8"/>
        <v>,a006020_shushoku_code1</v>
      </c>
      <c r="Q85" s="78" t="str">
        <f t="shared" si="9"/>
        <v>TEXT</v>
      </c>
      <c r="R85" s="78" t="str">
        <f t="shared" si="10"/>
        <v/>
      </c>
      <c r="S85" s="78" t="str">
        <f t="shared" si="11"/>
        <v/>
      </c>
      <c r="T85" s="78" t="str">
        <f t="shared" si="12"/>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ht="30">
      <c r="A86" s="4"/>
      <c r="B86" s="21">
        <f t="shared" si="2"/>
        <v>74</v>
      </c>
      <c r="C86" s="6" t="s">
        <v>671</v>
      </c>
      <c r="D86" s="6" t="s">
        <v>682</v>
      </c>
      <c r="E86" s="8"/>
      <c r="F86" s="7" t="s">
        <v>317</v>
      </c>
      <c r="G86" s="7" t="str">
        <f t="shared" si="3"/>
        <v>text</v>
      </c>
      <c r="H86" s="26"/>
      <c r="I86" s="10"/>
      <c r="J86" s="11"/>
      <c r="L86" s="4"/>
      <c r="M86" s="4"/>
      <c r="N86" s="78"/>
      <c r="O86" s="78"/>
      <c r="P86" s="78" t="str">
        <f t="shared" si="8"/>
        <v>,a006020_shushoku_code2</v>
      </c>
      <c r="Q86" s="78" t="str">
        <f t="shared" si="9"/>
        <v>TEXT</v>
      </c>
      <c r="R86" s="78" t="str">
        <f t="shared" si="10"/>
        <v/>
      </c>
      <c r="S86" s="78" t="str">
        <f t="shared" si="11"/>
        <v/>
      </c>
      <c r="T86" s="78" t="str">
        <f t="shared" si="12"/>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ht="30">
      <c r="A87" s="4"/>
      <c r="B87" s="21">
        <f t="shared" si="2"/>
        <v>75</v>
      </c>
      <c r="C87" s="13" t="s">
        <v>673</v>
      </c>
      <c r="D87" s="13" t="s">
        <v>683</v>
      </c>
      <c r="E87" s="7"/>
      <c r="F87" s="7" t="s">
        <v>317</v>
      </c>
      <c r="G87" s="7" t="str">
        <f t="shared" si="3"/>
        <v>text</v>
      </c>
      <c r="H87" s="58"/>
      <c r="I87" s="23"/>
      <c r="J87" s="24"/>
      <c r="L87" s="4"/>
      <c r="M87" s="4"/>
      <c r="N87" s="78"/>
      <c r="O87" s="78"/>
      <c r="P87" s="78" t="str">
        <f t="shared" si="8"/>
        <v>,a006020_shushoku_code3</v>
      </c>
      <c r="Q87" s="78" t="str">
        <f t="shared" si="9"/>
        <v>TEXT</v>
      </c>
      <c r="R87" s="78" t="str">
        <f t="shared" si="10"/>
        <v/>
      </c>
      <c r="S87" s="78" t="str">
        <f t="shared" si="11"/>
        <v/>
      </c>
      <c r="T87" s="78" t="str">
        <f t="shared" si="12"/>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ht="30">
      <c r="A88" s="4"/>
      <c r="B88" s="21">
        <f t="shared" si="2"/>
        <v>76</v>
      </c>
      <c r="C88" s="6" t="s">
        <v>675</v>
      </c>
      <c r="D88" s="6" t="s">
        <v>684</v>
      </c>
      <c r="E88" s="8"/>
      <c r="F88" s="7" t="s">
        <v>317</v>
      </c>
      <c r="G88" s="7" t="str">
        <f t="shared" si="3"/>
        <v>text</v>
      </c>
      <c r="H88" s="26"/>
      <c r="I88" s="10"/>
      <c r="J88" s="11"/>
      <c r="L88" s="4"/>
      <c r="M88" s="4"/>
      <c r="N88" s="78"/>
      <c r="O88" s="78"/>
      <c r="P88" s="78" t="str">
        <f t="shared" si="8"/>
        <v>,a006020_shushoku_code4</v>
      </c>
      <c r="Q88" s="78" t="str">
        <f t="shared" si="9"/>
        <v>TEXT</v>
      </c>
      <c r="R88" s="78" t="str">
        <f t="shared" si="10"/>
        <v/>
      </c>
      <c r="S88" s="78" t="str">
        <f t="shared" si="11"/>
        <v/>
      </c>
      <c r="T88" s="78" t="str">
        <f t="shared" si="12"/>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0">
      <c r="A89" s="4"/>
      <c r="B89" s="21">
        <f t="shared" si="2"/>
        <v>77</v>
      </c>
      <c r="C89" s="6" t="s">
        <v>685</v>
      </c>
      <c r="D89" s="6" t="s">
        <v>686</v>
      </c>
      <c r="E89" s="8"/>
      <c r="F89" s="7" t="s">
        <v>317</v>
      </c>
      <c r="G89" s="7" t="str">
        <f t="shared" si="3"/>
        <v>text</v>
      </c>
      <c r="H89" s="58"/>
      <c r="I89" s="23"/>
      <c r="J89" s="24" t="s">
        <v>685</v>
      </c>
      <c r="L89" s="4"/>
      <c r="M89" s="4"/>
      <c r="N89" s="78"/>
      <c r="O89" s="78"/>
      <c r="P89" s="78" t="str">
        <f t="shared" si="8"/>
        <v>,a006020_nyuin_shobyo_name</v>
      </c>
      <c r="Q89" s="78" t="str">
        <f t="shared" si="9"/>
        <v>TEXT</v>
      </c>
      <c r="R89" s="78" t="str">
        <f t="shared" si="10"/>
        <v/>
      </c>
      <c r="S89" s="78" t="str">
        <f t="shared" si="11"/>
        <v/>
      </c>
      <c r="T89" s="78" t="str">
        <f t="shared" si="12"/>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665</v>
      </c>
      <c r="D90" s="13" t="s">
        <v>687</v>
      </c>
      <c r="E90" s="7"/>
      <c r="F90" s="7" t="s">
        <v>317</v>
      </c>
      <c r="G90" s="7" t="str">
        <f t="shared" si="3"/>
        <v>text</v>
      </c>
      <c r="H90" s="26"/>
      <c r="I90" s="10"/>
      <c r="J90" s="11" t="s">
        <v>837</v>
      </c>
      <c r="L90" s="4"/>
      <c r="M90" s="4"/>
      <c r="N90" s="78"/>
      <c r="O90" s="78"/>
      <c r="P90" s="78" t="str">
        <f t="shared" si="8"/>
        <v>,a006030_icd10_code</v>
      </c>
      <c r="Q90" s="78" t="str">
        <f t="shared" si="9"/>
        <v>TEXT</v>
      </c>
      <c r="R90" s="78" t="str">
        <f t="shared" si="10"/>
        <v/>
      </c>
      <c r="S90" s="78" t="str">
        <f t="shared" si="11"/>
        <v/>
      </c>
      <c r="T90" s="78" t="str">
        <f t="shared" si="12"/>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0">
      <c r="A91" s="4"/>
      <c r="B91" s="21">
        <f t="shared" si="2"/>
        <v>79</v>
      </c>
      <c r="C91" s="6" t="s">
        <v>688</v>
      </c>
      <c r="D91" s="6" t="s">
        <v>689</v>
      </c>
      <c r="E91" s="8"/>
      <c r="F91" s="7" t="s">
        <v>317</v>
      </c>
      <c r="G91" s="7" t="str">
        <f t="shared" si="3"/>
        <v>text</v>
      </c>
      <c r="H91" s="58"/>
      <c r="I91" s="23"/>
      <c r="J91" s="24"/>
      <c r="L91" s="4"/>
      <c r="M91" s="4"/>
      <c r="N91" s="78"/>
      <c r="O91" s="78"/>
      <c r="P91" s="78" t="str">
        <f t="shared" si="8"/>
        <v>,a006030_byomei_fuka_code</v>
      </c>
      <c r="Q91" s="78" t="str">
        <f t="shared" si="9"/>
        <v>TEXT</v>
      </c>
      <c r="R91" s="78" t="str">
        <f t="shared" si="10"/>
        <v/>
      </c>
      <c r="S91" s="78" t="str">
        <f t="shared" si="11"/>
        <v/>
      </c>
      <c r="T91" s="78" t="str">
        <f t="shared" si="12"/>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8"/>
        <v>,a006030_shobyo_code</v>
      </c>
      <c r="Q92" s="78" t="str">
        <f t="shared" si="9"/>
        <v>TEXT</v>
      </c>
      <c r="R92" s="78" t="str">
        <f t="shared" si="10"/>
        <v/>
      </c>
      <c r="S92" s="78" t="str">
        <f t="shared" si="11"/>
        <v/>
      </c>
      <c r="T92" s="78" t="str">
        <f t="shared" si="12"/>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ht="30">
      <c r="A93" s="4"/>
      <c r="B93" s="21">
        <f t="shared" si="2"/>
        <v>81</v>
      </c>
      <c r="C93" s="6" t="s">
        <v>669</v>
      </c>
      <c r="D93" s="6" t="s">
        <v>691</v>
      </c>
      <c r="E93" s="8"/>
      <c r="F93" s="7" t="s">
        <v>317</v>
      </c>
      <c r="G93" s="7" t="str">
        <f t="shared" si="3"/>
        <v>text</v>
      </c>
      <c r="H93" s="58"/>
      <c r="I93" s="23"/>
      <c r="J93" s="24"/>
      <c r="L93" s="4"/>
      <c r="M93" s="4"/>
      <c r="N93" s="78"/>
      <c r="O93" s="78"/>
      <c r="P93" s="78" t="str">
        <f t="shared" si="8"/>
        <v>,a006030_shushoku_code1</v>
      </c>
      <c r="Q93" s="78" t="str">
        <f t="shared" si="9"/>
        <v>TEXT</v>
      </c>
      <c r="R93" s="78" t="str">
        <f t="shared" si="10"/>
        <v/>
      </c>
      <c r="S93" s="78" t="str">
        <f t="shared" si="11"/>
        <v/>
      </c>
      <c r="T93" s="78" t="str">
        <f t="shared" si="12"/>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ht="30">
      <c r="A94" s="4"/>
      <c r="B94" s="21">
        <f t="shared" si="2"/>
        <v>82</v>
      </c>
      <c r="C94" s="13" t="s">
        <v>671</v>
      </c>
      <c r="D94" s="13" t="s">
        <v>692</v>
      </c>
      <c r="E94" s="7"/>
      <c r="F94" s="7" t="s">
        <v>317</v>
      </c>
      <c r="G94" s="7" t="str">
        <f t="shared" si="3"/>
        <v>text</v>
      </c>
      <c r="H94" s="58"/>
      <c r="I94" s="23"/>
      <c r="J94" s="24"/>
      <c r="L94" s="4"/>
      <c r="M94" s="4"/>
      <c r="N94" s="78"/>
      <c r="O94" s="78"/>
      <c r="P94" s="78" t="str">
        <f t="shared" si="8"/>
        <v>,a006030_shushoku_code2</v>
      </c>
      <c r="Q94" s="78" t="str">
        <f t="shared" si="9"/>
        <v>TEXT</v>
      </c>
      <c r="R94" s="78" t="str">
        <f t="shared" si="10"/>
        <v/>
      </c>
      <c r="S94" s="78" t="str">
        <f t="shared" si="11"/>
        <v/>
      </c>
      <c r="T94" s="78" t="str">
        <f t="shared" si="12"/>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ht="30">
      <c r="A95" s="4"/>
      <c r="B95" s="21">
        <f t="shared" si="2"/>
        <v>83</v>
      </c>
      <c r="C95" s="6" t="s">
        <v>673</v>
      </c>
      <c r="D95" s="6" t="s">
        <v>693</v>
      </c>
      <c r="E95" s="8"/>
      <c r="F95" s="7" t="s">
        <v>317</v>
      </c>
      <c r="G95" s="7" t="str">
        <f t="shared" si="3"/>
        <v>text</v>
      </c>
      <c r="H95" s="26"/>
      <c r="I95" s="10"/>
      <c r="J95" s="11"/>
      <c r="L95" s="4"/>
      <c r="M95" s="4"/>
      <c r="N95" s="78"/>
      <c r="O95" s="78"/>
      <c r="P95" s="78" t="str">
        <f t="shared" si="8"/>
        <v>,a006030_shushoku_code3</v>
      </c>
      <c r="Q95" s="78" t="str">
        <f t="shared" si="9"/>
        <v>TEXT</v>
      </c>
      <c r="R95" s="78" t="str">
        <f t="shared" si="10"/>
        <v/>
      </c>
      <c r="S95" s="78" t="str">
        <f t="shared" si="11"/>
        <v/>
      </c>
      <c r="T95" s="78" t="str">
        <f t="shared" si="12"/>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ht="30">
      <c r="A96" s="4"/>
      <c r="B96" s="21">
        <f t="shared" si="2"/>
        <v>84</v>
      </c>
      <c r="C96" s="13" t="s">
        <v>675</v>
      </c>
      <c r="D96" s="13" t="s">
        <v>694</v>
      </c>
      <c r="E96" s="7"/>
      <c r="F96" s="7" t="s">
        <v>317</v>
      </c>
      <c r="G96" s="7" t="str">
        <f t="shared" si="3"/>
        <v>text</v>
      </c>
      <c r="H96" s="26"/>
      <c r="I96" s="10"/>
      <c r="J96" s="11"/>
      <c r="L96" s="4"/>
      <c r="M96" s="4"/>
      <c r="N96" s="78"/>
      <c r="O96" s="78"/>
      <c r="P96" s="78" t="str">
        <f t="shared" si="8"/>
        <v>,a006030_shushoku_code4</v>
      </c>
      <c r="Q96" s="78" t="str">
        <f t="shared" si="9"/>
        <v>TEXT</v>
      </c>
      <c r="R96" s="78" t="str">
        <f t="shared" si="10"/>
        <v/>
      </c>
      <c r="S96" s="78" t="str">
        <f t="shared" si="11"/>
        <v/>
      </c>
      <c r="T96" s="78" t="str">
        <f t="shared" si="12"/>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52.2">
      <c r="A97" s="4"/>
      <c r="B97" s="21">
        <f t="shared" si="2"/>
        <v>85</v>
      </c>
      <c r="C97" s="6" t="s">
        <v>695</v>
      </c>
      <c r="D97" s="6" t="s">
        <v>696</v>
      </c>
      <c r="E97" s="8"/>
      <c r="F97" s="7" t="s">
        <v>317</v>
      </c>
      <c r="G97" s="7" t="str">
        <f t="shared" si="3"/>
        <v>text</v>
      </c>
      <c r="H97" s="58"/>
      <c r="I97" s="23"/>
      <c r="J97" s="24" t="s">
        <v>838</v>
      </c>
      <c r="L97" s="4"/>
      <c r="M97" s="4"/>
      <c r="N97" s="78"/>
      <c r="O97" s="78"/>
      <c r="P97" s="78" t="str">
        <f t="shared" si="8"/>
        <v>,a006030_iryo1_shobyo_name</v>
      </c>
      <c r="Q97" s="78" t="str">
        <f t="shared" si="9"/>
        <v>TEXT</v>
      </c>
      <c r="R97" s="78" t="str">
        <f t="shared" si="10"/>
        <v/>
      </c>
      <c r="S97" s="78" t="str">
        <f t="shared" si="11"/>
        <v/>
      </c>
      <c r="T97" s="78" t="str">
        <f t="shared" si="12"/>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665</v>
      </c>
      <c r="D98" s="13" t="s">
        <v>697</v>
      </c>
      <c r="E98" s="7"/>
      <c r="F98" s="7" t="s">
        <v>317</v>
      </c>
      <c r="G98" s="7" t="str">
        <f t="shared" si="3"/>
        <v>text</v>
      </c>
      <c r="H98" s="26"/>
      <c r="I98" s="10"/>
      <c r="J98" s="11" t="s">
        <v>839</v>
      </c>
      <c r="L98" s="4"/>
      <c r="M98" s="4"/>
      <c r="N98" s="78"/>
      <c r="O98" s="78"/>
      <c r="P98" s="78" t="str">
        <f t="shared" si="8"/>
        <v>,a006031_icd10_code</v>
      </c>
      <c r="Q98" s="78" t="str">
        <f t="shared" si="9"/>
        <v>TEXT</v>
      </c>
      <c r="R98" s="78" t="str">
        <f t="shared" si="10"/>
        <v/>
      </c>
      <c r="S98" s="78" t="str">
        <f t="shared" si="11"/>
        <v/>
      </c>
      <c r="T98" s="78" t="str">
        <f t="shared" si="12"/>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8"/>
        <v>,a006031_shobyo_code</v>
      </c>
      <c r="Q99" s="78" t="str">
        <f t="shared" si="9"/>
        <v>TEXT</v>
      </c>
      <c r="R99" s="78" t="str">
        <f t="shared" si="10"/>
        <v/>
      </c>
      <c r="S99" s="78" t="str">
        <f t="shared" si="11"/>
        <v/>
      </c>
      <c r="T99" s="78" t="str">
        <f t="shared" si="12"/>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ht="30">
      <c r="A100" s="4"/>
      <c r="B100" s="21">
        <f t="shared" si="2"/>
        <v>88</v>
      </c>
      <c r="C100" s="13" t="s">
        <v>669</v>
      </c>
      <c r="D100" s="13" t="s">
        <v>699</v>
      </c>
      <c r="E100" s="7"/>
      <c r="F100" s="7" t="s">
        <v>317</v>
      </c>
      <c r="G100" s="7" t="str">
        <f t="shared" si="3"/>
        <v>text</v>
      </c>
      <c r="H100" s="26"/>
      <c r="I100" s="10"/>
      <c r="J100" s="11"/>
      <c r="L100" s="4"/>
      <c r="M100" s="4"/>
      <c r="N100" s="78"/>
      <c r="O100" s="78"/>
      <c r="P100" s="78" t="str">
        <f t="shared" si="8"/>
        <v>,a006031_shushoku_code1</v>
      </c>
      <c r="Q100" s="78" t="str">
        <f t="shared" si="9"/>
        <v>TEXT</v>
      </c>
      <c r="R100" s="78" t="str">
        <f t="shared" si="10"/>
        <v/>
      </c>
      <c r="S100" s="78" t="str">
        <f t="shared" si="11"/>
        <v/>
      </c>
      <c r="T100" s="78" t="str">
        <f t="shared" si="12"/>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ht="30">
      <c r="A101" s="4"/>
      <c r="B101" s="21">
        <f t="shared" si="2"/>
        <v>89</v>
      </c>
      <c r="C101" s="6" t="s">
        <v>671</v>
      </c>
      <c r="D101" s="6" t="s">
        <v>700</v>
      </c>
      <c r="E101" s="8"/>
      <c r="F101" s="7" t="s">
        <v>317</v>
      </c>
      <c r="G101" s="7" t="str">
        <f t="shared" si="3"/>
        <v>text</v>
      </c>
      <c r="H101" s="58"/>
      <c r="I101" s="23"/>
      <c r="J101" s="24"/>
      <c r="L101" s="4"/>
      <c r="M101" s="4"/>
      <c r="N101" s="78"/>
      <c r="O101" s="78"/>
      <c r="P101" s="78" t="str">
        <f t="shared" si="8"/>
        <v>,a006031_shushoku_code2</v>
      </c>
      <c r="Q101" s="78" t="str">
        <f t="shared" si="9"/>
        <v>TEXT</v>
      </c>
      <c r="R101" s="78" t="str">
        <f t="shared" si="10"/>
        <v/>
      </c>
      <c r="S101" s="78" t="str">
        <f t="shared" si="11"/>
        <v/>
      </c>
      <c r="T101" s="78" t="str">
        <f t="shared" si="12"/>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ht="30">
      <c r="A102" s="4"/>
      <c r="B102" s="21">
        <f t="shared" si="2"/>
        <v>90</v>
      </c>
      <c r="C102" s="13" t="s">
        <v>673</v>
      </c>
      <c r="D102" s="13" t="s">
        <v>701</v>
      </c>
      <c r="E102" s="7"/>
      <c r="F102" s="7" t="s">
        <v>317</v>
      </c>
      <c r="G102" s="7" t="str">
        <f t="shared" si="3"/>
        <v>text</v>
      </c>
      <c r="H102" s="26"/>
      <c r="I102" s="10"/>
      <c r="J102" s="11"/>
      <c r="L102" s="4"/>
      <c r="M102" s="4"/>
      <c r="N102" s="78"/>
      <c r="O102" s="78"/>
      <c r="P102" s="78" t="str">
        <f t="shared" si="8"/>
        <v>,a006031_shushoku_code3</v>
      </c>
      <c r="Q102" s="78" t="str">
        <f t="shared" si="9"/>
        <v>TEXT</v>
      </c>
      <c r="R102" s="78" t="str">
        <f t="shared" si="10"/>
        <v/>
      </c>
      <c r="S102" s="78" t="str">
        <f t="shared" si="11"/>
        <v/>
      </c>
      <c r="T102" s="78" t="str">
        <f t="shared" si="12"/>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ht="30">
      <c r="A103" s="4"/>
      <c r="B103" s="21">
        <f t="shared" si="2"/>
        <v>91</v>
      </c>
      <c r="C103" s="6" t="s">
        <v>675</v>
      </c>
      <c r="D103" s="6" t="s">
        <v>702</v>
      </c>
      <c r="E103" s="8"/>
      <c r="F103" s="7" t="s">
        <v>317</v>
      </c>
      <c r="G103" s="7" t="str">
        <f t="shared" si="3"/>
        <v>text</v>
      </c>
      <c r="H103" s="58"/>
      <c r="I103" s="23"/>
      <c r="J103" s="24"/>
      <c r="L103" s="4"/>
      <c r="M103" s="4"/>
      <c r="N103" s="78"/>
      <c r="O103" s="78"/>
      <c r="P103" s="78" t="str">
        <f t="shared" si="8"/>
        <v>,a006031_shushoku_code4</v>
      </c>
      <c r="Q103" s="78" t="str">
        <f t="shared" si="9"/>
        <v>TEXT</v>
      </c>
      <c r="R103" s="78" t="str">
        <f t="shared" si="10"/>
        <v/>
      </c>
      <c r="S103" s="78" t="str">
        <f t="shared" si="11"/>
        <v/>
      </c>
      <c r="T103" s="78" t="str">
        <f t="shared" si="12"/>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0">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8"/>
        <v>,a006031_iryo2_shobyo_name</v>
      </c>
      <c r="Q104" s="78" t="str">
        <f t="shared" si="9"/>
        <v>TEXT</v>
      </c>
      <c r="R104" s="78" t="str">
        <f t="shared" si="10"/>
        <v/>
      </c>
      <c r="S104" s="78" t="str">
        <f t="shared" si="11"/>
        <v/>
      </c>
      <c r="T104" s="78" t="str">
        <f t="shared" si="12"/>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705</v>
      </c>
      <c r="D105" s="6" t="s">
        <v>706</v>
      </c>
      <c r="E105" s="8"/>
      <c r="F105" s="7" t="s">
        <v>317</v>
      </c>
      <c r="G105" s="7" t="str">
        <f t="shared" si="3"/>
        <v>text</v>
      </c>
      <c r="H105" s="58"/>
      <c r="I105" s="23"/>
      <c r="J105" s="24"/>
      <c r="L105" s="4"/>
      <c r="M105" s="4"/>
      <c r="N105" s="78"/>
      <c r="O105" s="78"/>
      <c r="P105" s="78" t="str">
        <f t="shared" si="8"/>
        <v>,a006060_nanbyo_kokuji_no1</v>
      </c>
      <c r="Q105" s="78" t="str">
        <f t="shared" si="9"/>
        <v>TEXT</v>
      </c>
      <c r="R105" s="78" t="str">
        <f t="shared" si="10"/>
        <v/>
      </c>
      <c r="S105" s="78" t="str">
        <f t="shared" si="11"/>
        <v/>
      </c>
      <c r="T105" s="78" t="str">
        <f t="shared" si="12"/>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0">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8"/>
        <v>,a006060_iryohi_josei_flag1</v>
      </c>
      <c r="Q106" s="78" t="str">
        <f t="shared" si="9"/>
        <v>TEXT</v>
      </c>
      <c r="R106" s="78" t="str">
        <f t="shared" si="10"/>
        <v/>
      </c>
      <c r="S106" s="78" t="str">
        <f t="shared" si="11"/>
        <v/>
      </c>
      <c r="T106" s="78" t="str">
        <f t="shared" si="12"/>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0">
      <c r="A107" s="4"/>
      <c r="B107" s="21">
        <f t="shared" si="2"/>
        <v>95</v>
      </c>
      <c r="C107" s="13" t="s">
        <v>709</v>
      </c>
      <c r="D107" s="13" t="s">
        <v>710</v>
      </c>
      <c r="E107" s="7"/>
      <c r="F107" s="7" t="s">
        <v>317</v>
      </c>
      <c r="G107" s="7" t="str">
        <f t="shared" si="3"/>
        <v>text</v>
      </c>
      <c r="H107" s="26"/>
      <c r="I107" s="10"/>
      <c r="J107" s="11"/>
      <c r="L107" s="4"/>
      <c r="M107" s="4"/>
      <c r="N107" s="78"/>
      <c r="O107" s="78"/>
      <c r="P107" s="78" t="str">
        <f t="shared" si="8"/>
        <v>,a006060_nanbyo_kokuji_no2</v>
      </c>
      <c r="Q107" s="78" t="str">
        <f t="shared" si="9"/>
        <v>TEXT</v>
      </c>
      <c r="R107" s="78" t="str">
        <f t="shared" si="10"/>
        <v/>
      </c>
      <c r="S107" s="78" t="str">
        <f t="shared" si="11"/>
        <v/>
      </c>
      <c r="T107" s="78" t="str">
        <f t="shared" si="12"/>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0">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8"/>
        <v>,a006060_iryohi_josei_flag2</v>
      </c>
      <c r="Q108" s="78" t="str">
        <f t="shared" si="9"/>
        <v>TEXT</v>
      </c>
      <c r="R108" s="78" t="str">
        <f t="shared" si="10"/>
        <v/>
      </c>
      <c r="S108" s="78" t="str">
        <f t="shared" si="11"/>
        <v/>
      </c>
      <c r="T108" s="78" t="str">
        <f t="shared" si="12"/>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8"/>
        <v>,adl0010_nyuin_adl</v>
      </c>
      <c r="Q109" s="78" t="str">
        <f t="shared" si="9"/>
        <v>TEXT</v>
      </c>
      <c r="R109" s="78" t="str">
        <f t="shared" si="10"/>
        <v/>
      </c>
      <c r="S109" s="78" t="str">
        <f t="shared" si="11"/>
        <v/>
      </c>
      <c r="T109" s="78" t="str">
        <f t="shared" si="12"/>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8"/>
        <v>,adl0020_taiin_adl</v>
      </c>
      <c r="Q110" s="78" t="str">
        <f t="shared" si="9"/>
        <v>TEXT</v>
      </c>
      <c r="R110" s="78" t="str">
        <f t="shared" si="10"/>
        <v/>
      </c>
      <c r="S110" s="78" t="str">
        <f t="shared" si="11"/>
        <v/>
      </c>
      <c r="T110" s="78" t="str">
        <f t="shared" si="12"/>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8"/>
        <v>,adl0030_nyutou_adl</v>
      </c>
      <c r="Q111" s="78" t="str">
        <f t="shared" si="9"/>
        <v>TEXT</v>
      </c>
      <c r="R111" s="78" t="str">
        <f t="shared" si="10"/>
        <v/>
      </c>
      <c r="S111" s="78" t="str">
        <f t="shared" si="11"/>
        <v/>
      </c>
      <c r="T111" s="78" t="str">
        <f t="shared" si="12"/>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ref="P112:P155" si="13">IF(B112&lt;&gt;1,","&amp;D112,D112)</f>
        <v>,adl0040_taitou_adl</v>
      </c>
      <c r="Q112" s="78" t="str">
        <f t="shared" ref="Q112:Q155" si="14">UPPER(G112)</f>
        <v>TEXT</v>
      </c>
      <c r="R112" s="78" t="str">
        <f t="shared" ref="R112:R155" si="15">IF(H112&lt;&gt;"","default "&amp;IF(G112="text","'"&amp;H112&amp;"'",H112),"")</f>
        <v/>
      </c>
      <c r="S112" s="78" t="str">
        <f t="shared" ref="S112:S155" si="16">IF(I112="○","NOT NULL","")</f>
        <v/>
      </c>
      <c r="T112" s="78" t="str">
        <f t="shared" ref="T112:T155" si="17">"-- "&amp;C112</f>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3"/>
        <v>,can0010_gan_shohatsu</v>
      </c>
      <c r="Q113" s="78" t="str">
        <f t="shared" si="14"/>
        <v>TEXT</v>
      </c>
      <c r="R113" s="78" t="str">
        <f t="shared" si="15"/>
        <v/>
      </c>
      <c r="S113" s="78" t="str">
        <f t="shared" si="16"/>
        <v/>
      </c>
      <c r="T113" s="78" t="str">
        <f t="shared" si="17"/>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3"/>
        <v>,can0020_uicc_t</v>
      </c>
      <c r="Q114" s="78" t="str">
        <f t="shared" si="14"/>
        <v>TEXT</v>
      </c>
      <c r="R114" s="78" t="str">
        <f t="shared" si="15"/>
        <v/>
      </c>
      <c r="S114" s="78" t="str">
        <f t="shared" si="16"/>
        <v/>
      </c>
      <c r="T114" s="78" t="str">
        <f t="shared" si="17"/>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3"/>
        <v>,can0020_uicc_n</v>
      </c>
      <c r="Q115" s="78" t="str">
        <f t="shared" si="14"/>
        <v>TEXT</v>
      </c>
      <c r="R115" s="78" t="str">
        <f t="shared" si="15"/>
        <v/>
      </c>
      <c r="S115" s="78" t="str">
        <f t="shared" si="16"/>
        <v/>
      </c>
      <c r="T115" s="78" t="str">
        <f t="shared" si="17"/>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3"/>
        <v>,can0020_uicc_m</v>
      </c>
      <c r="Q116" s="78" t="str">
        <f t="shared" si="14"/>
        <v>TEXT</v>
      </c>
      <c r="R116" s="78" t="str">
        <f t="shared" si="15"/>
        <v/>
      </c>
      <c r="S116" s="78" t="str">
        <f t="shared" si="16"/>
        <v/>
      </c>
      <c r="T116" s="78" t="str">
        <f t="shared" si="17"/>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3"/>
        <v>,can0020_uicc_han</v>
      </c>
      <c r="Q117" s="78" t="str">
        <f t="shared" si="14"/>
        <v>TEXT</v>
      </c>
      <c r="R117" s="78" t="str">
        <f t="shared" si="15"/>
        <v/>
      </c>
      <c r="S117" s="78" t="str">
        <f t="shared" si="16"/>
        <v/>
      </c>
      <c r="T117" s="78" t="str">
        <f t="shared" si="17"/>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0">
      <c r="A118" s="4"/>
      <c r="B118" s="21">
        <f t="shared" si="2"/>
        <v>106</v>
      </c>
      <c r="C118" s="6" t="s">
        <v>731</v>
      </c>
      <c r="D118" s="6" t="s">
        <v>732</v>
      </c>
      <c r="E118" s="8"/>
      <c r="F118" s="7" t="s">
        <v>317</v>
      </c>
      <c r="G118" s="7" t="str">
        <f t="shared" si="3"/>
        <v>text</v>
      </c>
      <c r="H118" s="58"/>
      <c r="I118" s="23"/>
      <c r="J118" s="24"/>
      <c r="L118" s="4"/>
      <c r="M118" s="4"/>
      <c r="N118" s="78"/>
      <c r="O118" s="78"/>
      <c r="P118" s="78" t="str">
        <f t="shared" si="13"/>
        <v>,can0030_gan_stage</v>
      </c>
      <c r="Q118" s="78" t="str">
        <f t="shared" si="14"/>
        <v>TEXT</v>
      </c>
      <c r="R118" s="78" t="str">
        <f t="shared" si="15"/>
        <v/>
      </c>
      <c r="S118" s="78" t="str">
        <f t="shared" si="16"/>
        <v/>
      </c>
      <c r="T118" s="78" t="str">
        <f t="shared" si="17"/>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3"/>
        <v>,can0040_kagaku_ryoho_flag</v>
      </c>
      <c r="Q119" s="78" t="str">
        <f t="shared" si="14"/>
        <v>TEXT</v>
      </c>
      <c r="R119" s="78" t="str">
        <f t="shared" si="15"/>
        <v/>
      </c>
      <c r="S119" s="78" t="str">
        <f t="shared" si="16"/>
        <v/>
      </c>
      <c r="T119" s="78" t="str">
        <f t="shared" si="17"/>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3"/>
        <v>,jcs0010_nyuin_jcs</v>
      </c>
      <c r="Q120" s="78" t="str">
        <f t="shared" si="14"/>
        <v>TEXT</v>
      </c>
      <c r="R120" s="78" t="str">
        <f t="shared" si="15"/>
        <v/>
      </c>
      <c r="S120" s="78" t="str">
        <f t="shared" si="16"/>
        <v/>
      </c>
      <c r="T120" s="78" t="str">
        <f t="shared" si="17"/>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3"/>
        <v>,jcs0010_emergency_jcs</v>
      </c>
      <c r="Q121" s="78" t="str">
        <f t="shared" si="14"/>
        <v>TEXT</v>
      </c>
      <c r="R121" s="78" t="str">
        <f t="shared" si="15"/>
        <v/>
      </c>
      <c r="S121" s="78" t="str">
        <f t="shared" si="16"/>
        <v/>
      </c>
      <c r="T121" s="78" t="str">
        <f t="shared" si="17"/>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3"/>
        <v>,jcs0010_nyusitsu_jcs</v>
      </c>
      <c r="Q122" s="78" t="str">
        <f t="shared" si="14"/>
        <v>TEXT</v>
      </c>
      <c r="R122" s="78" t="str">
        <f t="shared" si="15"/>
        <v/>
      </c>
      <c r="S122" s="78" t="str">
        <f t="shared" si="16"/>
        <v/>
      </c>
      <c r="T122" s="78" t="str">
        <f t="shared" si="17"/>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3"/>
        <v>,jcs0020_taiin_jcs</v>
      </c>
      <c r="Q123" s="78" t="str">
        <f t="shared" si="14"/>
        <v>TEXT</v>
      </c>
      <c r="R123" s="78" t="str">
        <f t="shared" si="15"/>
        <v/>
      </c>
      <c r="S123" s="78" t="str">
        <f t="shared" si="16"/>
        <v/>
      </c>
      <c r="T123" s="78" t="str">
        <f t="shared" si="17"/>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744</v>
      </c>
      <c r="D124" s="6" t="s">
        <v>745</v>
      </c>
      <c r="E124" s="8"/>
      <c r="F124" s="7" t="s">
        <v>317</v>
      </c>
      <c r="G124" s="7" t="str">
        <f t="shared" si="3"/>
        <v>text</v>
      </c>
      <c r="H124" s="26"/>
      <c r="I124" s="10"/>
      <c r="J124" s="11"/>
      <c r="L124" s="4"/>
      <c r="M124" s="4"/>
      <c r="N124" s="78"/>
      <c r="O124" s="78"/>
      <c r="P124" s="78" t="str">
        <f t="shared" si="13"/>
        <v>,m010010_before_rankin_scale</v>
      </c>
      <c r="Q124" s="78" t="str">
        <f t="shared" si="14"/>
        <v>TEXT</v>
      </c>
      <c r="R124" s="78" t="str">
        <f t="shared" si="15"/>
        <v/>
      </c>
      <c r="S124" s="78" t="str">
        <f t="shared" si="16"/>
        <v/>
      </c>
      <c r="T124" s="78" t="str">
        <f t="shared" si="17"/>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3"/>
        <v>,m010010_stroke</v>
      </c>
      <c r="Q125" s="78" t="str">
        <f t="shared" si="14"/>
        <v>TEXT</v>
      </c>
      <c r="R125" s="78" t="str">
        <f t="shared" si="15"/>
        <v/>
      </c>
      <c r="S125" s="78" t="str">
        <f t="shared" si="16"/>
        <v/>
      </c>
      <c r="T125" s="78" t="str">
        <f t="shared" si="17"/>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0">
      <c r="A126" s="4"/>
      <c r="B126" s="21">
        <f t="shared" si="2"/>
        <v>114</v>
      </c>
      <c r="C126" s="13" t="s">
        <v>748</v>
      </c>
      <c r="D126" s="13" t="s">
        <v>749</v>
      </c>
      <c r="E126" s="7"/>
      <c r="F126" s="7" t="s">
        <v>317</v>
      </c>
      <c r="G126" s="7" t="str">
        <f t="shared" si="3"/>
        <v>text</v>
      </c>
      <c r="H126" s="26"/>
      <c r="I126" s="10"/>
      <c r="J126" s="11"/>
      <c r="L126" s="4"/>
      <c r="M126" s="4"/>
      <c r="N126" s="78"/>
      <c r="O126" s="78"/>
      <c r="P126" s="78" t="str">
        <f t="shared" si="13"/>
        <v>,m010020_taiin_modified_rankin</v>
      </c>
      <c r="Q126" s="78" t="str">
        <f t="shared" si="14"/>
        <v>TEXT</v>
      </c>
      <c r="R126" s="78" t="str">
        <f t="shared" si="15"/>
        <v/>
      </c>
      <c r="S126" s="78" t="str">
        <f t="shared" si="16"/>
        <v/>
      </c>
      <c r="T126" s="78" t="str">
        <f t="shared" si="17"/>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0">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3"/>
        <v>,m010030_temozolomide_flag</v>
      </c>
      <c r="Q127" s="78" t="str">
        <f t="shared" si="14"/>
        <v>TEXT</v>
      </c>
      <c r="R127" s="78" t="str">
        <f t="shared" si="15"/>
        <v/>
      </c>
      <c r="S127" s="78" t="str">
        <f t="shared" si="16"/>
        <v/>
      </c>
      <c r="T127" s="78" t="str">
        <f t="shared" si="17"/>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3"/>
        <v>,m040010_hugh_jones</v>
      </c>
      <c r="Q128" s="78" t="str">
        <f t="shared" si="14"/>
        <v>TEXT</v>
      </c>
      <c r="R128" s="78" t="str">
        <f t="shared" si="15"/>
        <v/>
      </c>
      <c r="S128" s="78" t="str">
        <f t="shared" si="16"/>
        <v/>
      </c>
      <c r="T128" s="78" t="str">
        <f t="shared" si="17"/>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ht="30">
      <c r="A129" s="4"/>
      <c r="B129" s="21">
        <f t="shared" si="2"/>
        <v>117</v>
      </c>
      <c r="C129" s="13" t="s">
        <v>754</v>
      </c>
      <c r="D129" s="13" t="s">
        <v>755</v>
      </c>
      <c r="E129" s="7"/>
      <c r="F129" s="7" t="s">
        <v>317</v>
      </c>
      <c r="G129" s="7" t="str">
        <f t="shared" si="3"/>
        <v>text</v>
      </c>
      <c r="H129" s="58"/>
      <c r="I129" s="23"/>
      <c r="J129" s="24"/>
      <c r="L129" s="4"/>
      <c r="M129" s="4"/>
      <c r="N129" s="78"/>
      <c r="O129" s="78"/>
      <c r="P129" s="78" t="str">
        <f t="shared" si="13"/>
        <v>,m040020_haien_jushodo</v>
      </c>
      <c r="Q129" s="78" t="str">
        <f t="shared" si="14"/>
        <v>TEXT</v>
      </c>
      <c r="R129" s="78" t="str">
        <f t="shared" si="15"/>
        <v/>
      </c>
      <c r="S129" s="78" t="str">
        <f t="shared" si="16"/>
        <v/>
      </c>
      <c r="T129" s="78" t="str">
        <f t="shared" si="17"/>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0">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3"/>
        <v>,m040020_kanren_haien_flag</v>
      </c>
      <c r="Q130" s="78" t="str">
        <f t="shared" si="14"/>
        <v>TEXT</v>
      </c>
      <c r="R130" s="78" t="str">
        <f t="shared" si="15"/>
        <v/>
      </c>
      <c r="S130" s="78" t="str">
        <f t="shared" si="16"/>
        <v/>
      </c>
      <c r="T130" s="78" t="str">
        <f t="shared" si="17"/>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3"/>
        <v>,m040030_emergency_pf</v>
      </c>
      <c r="Q131" s="78" t="str">
        <f t="shared" si="14"/>
        <v>TEXT</v>
      </c>
      <c r="R131" s="78" t="str">
        <f t="shared" si="15"/>
        <v/>
      </c>
      <c r="S131" s="78" t="str">
        <f t="shared" si="16"/>
        <v/>
      </c>
      <c r="T131" s="78" t="str">
        <f t="shared" si="17"/>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0">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3"/>
        <v>,m040030_emergency_kokyu</v>
      </c>
      <c r="Q132" s="78" t="str">
        <f t="shared" si="14"/>
        <v>TEXT</v>
      </c>
      <c r="R132" s="78" t="str">
        <f t="shared" si="15"/>
        <v/>
      </c>
      <c r="S132" s="78" t="str">
        <f t="shared" si="16"/>
        <v/>
      </c>
      <c r="T132" s="78" t="str">
        <f t="shared" si="17"/>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3"/>
        <v>,m040030_nyusitsu_pf</v>
      </c>
      <c r="Q133" s="78" t="str">
        <f t="shared" si="14"/>
        <v>TEXT</v>
      </c>
      <c r="R133" s="78" t="str">
        <f t="shared" si="15"/>
        <v/>
      </c>
      <c r="S133" s="78" t="str">
        <f t="shared" si="16"/>
        <v/>
      </c>
      <c r="T133" s="78" t="str">
        <f t="shared" si="17"/>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3"/>
        <v>,m040030_nyusitsu_kokyu</v>
      </c>
      <c r="Q134" s="78" t="str">
        <f t="shared" si="14"/>
        <v>TEXT</v>
      </c>
      <c r="R134" s="78" t="str">
        <f t="shared" si="15"/>
        <v/>
      </c>
      <c r="S134" s="78" t="str">
        <f t="shared" si="16"/>
        <v/>
      </c>
      <c r="T134" s="78" t="str">
        <f t="shared" si="17"/>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3"/>
        <v>,m050010_nyha</v>
      </c>
      <c r="Q135" s="78" t="str">
        <f t="shared" si="14"/>
        <v>TEXT</v>
      </c>
      <c r="R135" s="78" t="str">
        <f t="shared" si="15"/>
        <v/>
      </c>
      <c r="S135" s="78" t="str">
        <f t="shared" si="16"/>
        <v/>
      </c>
      <c r="T135" s="78" t="str">
        <f t="shared" si="17"/>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87">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3"/>
        <v>,m050010_emergency_nyha</v>
      </c>
      <c r="Q136" s="78" t="str">
        <f t="shared" si="14"/>
        <v>TEXT</v>
      </c>
      <c r="R136" s="78" t="str">
        <f t="shared" si="15"/>
        <v/>
      </c>
      <c r="S136" s="78" t="str">
        <f t="shared" si="16"/>
        <v/>
      </c>
      <c r="T136" s="78" t="str">
        <f t="shared" si="17"/>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3"/>
        <v>,m050010_nyusitsu_nyha</v>
      </c>
      <c r="Q137" s="78" t="str">
        <f t="shared" si="14"/>
        <v>TEXT</v>
      </c>
      <c r="R137" s="78" t="str">
        <f t="shared" si="15"/>
        <v/>
      </c>
      <c r="S137" s="78" t="str">
        <f t="shared" si="16"/>
        <v/>
      </c>
      <c r="T137" s="78" t="str">
        <f t="shared" si="17"/>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3"/>
        <v>,m050020_ccs</v>
      </c>
      <c r="Q138" s="78" t="str">
        <f t="shared" si="14"/>
        <v>TEXT</v>
      </c>
      <c r="R138" s="78" t="str">
        <f t="shared" si="15"/>
        <v/>
      </c>
      <c r="S138" s="78" t="str">
        <f t="shared" si="16"/>
        <v/>
      </c>
      <c r="T138" s="78" t="str">
        <f t="shared" si="17"/>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3"/>
        <v>,m050030_killip</v>
      </c>
      <c r="Q139" s="78" t="str">
        <f t="shared" si="14"/>
        <v>TEXT</v>
      </c>
      <c r="R139" s="78" t="str">
        <f t="shared" si="15"/>
        <v/>
      </c>
      <c r="S139" s="78" t="str">
        <f t="shared" si="16"/>
        <v/>
      </c>
      <c r="T139" s="78" t="str">
        <f t="shared" si="17"/>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4.799999999999997">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3"/>
        <v>,m050040_ketsuatsu</v>
      </c>
      <c r="Q140" s="78" t="str">
        <f t="shared" si="14"/>
        <v>TEXT</v>
      </c>
      <c r="R140" s="78" t="str">
        <f t="shared" si="15"/>
        <v/>
      </c>
      <c r="S140" s="78" t="str">
        <f t="shared" si="16"/>
        <v/>
      </c>
      <c r="T140" s="78" t="str">
        <f t="shared" si="17"/>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69.599999999999994">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3"/>
        <v>,m050050_acuteMI</v>
      </c>
      <c r="Q141" s="78" t="str">
        <f t="shared" si="14"/>
        <v>TEXT</v>
      </c>
      <c r="R141" s="78" t="str">
        <f t="shared" si="15"/>
        <v/>
      </c>
      <c r="S141" s="78" t="str">
        <f t="shared" si="16"/>
        <v/>
      </c>
      <c r="T141" s="78" t="str">
        <f t="shared" si="17"/>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3"/>
        <v>,m050060_nyuin_kusyutsuritsu</v>
      </c>
      <c r="Q142" s="78" t="str">
        <f t="shared" si="14"/>
        <v>TEXT</v>
      </c>
      <c r="R142" s="78" t="str">
        <f t="shared" si="15"/>
        <v/>
      </c>
      <c r="S142" s="78" t="str">
        <f t="shared" si="16"/>
        <v/>
      </c>
      <c r="T142" s="78" t="str">
        <f t="shared" si="17"/>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3"/>
        <v>,m050070_stanford_ab</v>
      </c>
      <c r="Q143" s="78" t="str">
        <f t="shared" si="14"/>
        <v>TEXT</v>
      </c>
      <c r="R143" s="78" t="str">
        <f t="shared" si="15"/>
        <v/>
      </c>
      <c r="S143" s="78" t="str">
        <f t="shared" si="16"/>
        <v/>
      </c>
      <c r="T143" s="78" t="str">
        <f t="shared" si="17"/>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4.799999999999997">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3"/>
        <v>,m060010_kankohen_child_pugh</v>
      </c>
      <c r="Q144" s="78" t="str">
        <f t="shared" si="14"/>
        <v>TEXT</v>
      </c>
      <c r="R144" s="78" t="str">
        <f t="shared" si="15"/>
        <v/>
      </c>
      <c r="S144" s="78" t="str">
        <f t="shared" si="16"/>
        <v/>
      </c>
      <c r="T144" s="78" t="str">
        <f t="shared" si="17"/>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786</v>
      </c>
      <c r="D145" s="13" t="s">
        <v>787</v>
      </c>
      <c r="E145" s="7"/>
      <c r="F145" s="7" t="s">
        <v>317</v>
      </c>
      <c r="G145" s="7" t="str">
        <f t="shared" si="3"/>
        <v>text</v>
      </c>
      <c r="H145" s="26"/>
      <c r="I145" s="10"/>
      <c r="J145" s="11"/>
      <c r="L145" s="4"/>
      <c r="M145" s="4"/>
      <c r="N145" s="78"/>
      <c r="O145" s="78"/>
      <c r="P145" s="78" t="str">
        <f t="shared" si="13"/>
        <v>,m060020_kyuseisuien_jushodo</v>
      </c>
      <c r="Q145" s="78" t="str">
        <f t="shared" si="14"/>
        <v>TEXT</v>
      </c>
      <c r="R145" s="78" t="str">
        <f t="shared" si="15"/>
        <v/>
      </c>
      <c r="S145" s="78" t="str">
        <f t="shared" si="16"/>
        <v/>
      </c>
      <c r="T145" s="78" t="str">
        <f t="shared" si="17"/>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3"/>
        <v>,m070010_riumachi_flag</v>
      </c>
      <c r="Q146" s="78" t="str">
        <f t="shared" si="14"/>
        <v>TEXT</v>
      </c>
      <c r="R146" s="78" t="str">
        <f t="shared" si="15"/>
        <v/>
      </c>
      <c r="S146" s="78" t="str">
        <f t="shared" si="16"/>
        <v/>
      </c>
      <c r="T146" s="78" t="str">
        <f t="shared" si="17"/>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3"/>
        <v>,m120010_nyuin_bunben_flag</v>
      </c>
      <c r="Q147" s="78" t="str">
        <f t="shared" si="14"/>
        <v>TEXT</v>
      </c>
      <c r="R147" s="78" t="str">
        <f t="shared" si="15"/>
        <v/>
      </c>
      <c r="S147" s="78" t="str">
        <f t="shared" si="16"/>
        <v/>
      </c>
      <c r="T147" s="78" t="str">
        <f t="shared" si="17"/>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3"/>
        <v>,m120010_bunben_shukketsuryo</v>
      </c>
      <c r="Q148" s="78" t="str">
        <f t="shared" si="14"/>
        <v>TEXT</v>
      </c>
      <c r="R148" s="78" t="str">
        <f t="shared" si="15"/>
        <v/>
      </c>
      <c r="S148" s="78" t="str">
        <f t="shared" si="16"/>
        <v/>
      </c>
      <c r="T148" s="78" t="str">
        <f t="shared" si="17"/>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3"/>
        <v>,m160010_burnindex</v>
      </c>
      <c r="Q149" s="78" t="str">
        <f t="shared" si="14"/>
        <v>TEXT</v>
      </c>
      <c r="R149" s="78" t="str">
        <f t="shared" si="15"/>
        <v/>
      </c>
      <c r="S149" s="78" t="str">
        <f t="shared" si="16"/>
        <v/>
      </c>
      <c r="T149" s="78" t="str">
        <f t="shared" si="17"/>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3"/>
        <v>,m170010_nyuin_gaf</v>
      </c>
      <c r="Q150" s="78" t="str">
        <f t="shared" si="14"/>
        <v>TEXT</v>
      </c>
      <c r="R150" s="78" t="str">
        <f t="shared" si="15"/>
        <v/>
      </c>
      <c r="S150" s="78" t="str">
        <f t="shared" si="16"/>
        <v/>
      </c>
      <c r="T150" s="78" t="str">
        <f t="shared" si="17"/>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4.799999999999997">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3"/>
        <v>,m170020_mental_nyuin_keitai</v>
      </c>
      <c r="Q151" s="78" t="str">
        <f t="shared" si="14"/>
        <v>TEXT</v>
      </c>
      <c r="R151" s="78" t="str">
        <f t="shared" si="15"/>
        <v/>
      </c>
      <c r="S151" s="78" t="str">
        <f t="shared" si="16"/>
        <v/>
      </c>
      <c r="T151" s="78" t="str">
        <f t="shared" si="17"/>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3"/>
        <v>,m170020_mental_kakuri_days</v>
      </c>
      <c r="Q152" s="78" t="str">
        <f t="shared" si="14"/>
        <v>TEXT</v>
      </c>
      <c r="R152" s="78" t="str">
        <f t="shared" si="15"/>
        <v/>
      </c>
      <c r="S152" s="78" t="str">
        <f t="shared" si="16"/>
        <v/>
      </c>
      <c r="T152" s="78" t="str">
        <f t="shared" si="17"/>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3"/>
        <v>,m170020_mental_kosoku_days</v>
      </c>
      <c r="Q153" s="78" t="str">
        <f t="shared" si="14"/>
        <v>TEXT</v>
      </c>
      <c r="R153" s="78" t="str">
        <f t="shared" si="15"/>
        <v/>
      </c>
      <c r="S153" s="78" t="str">
        <f t="shared" si="16"/>
        <v/>
      </c>
      <c r="T153" s="78" t="str">
        <f t="shared" si="17"/>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3"/>
        <v>,mzz0010_other_jusho_no</v>
      </c>
      <c r="Q154" s="78" t="str">
        <f t="shared" si="14"/>
        <v>TEXT</v>
      </c>
      <c r="R154" s="78" t="str">
        <f t="shared" si="15"/>
        <v/>
      </c>
      <c r="S154" s="78" t="str">
        <f t="shared" si="16"/>
        <v/>
      </c>
      <c r="T154" s="78" t="str">
        <f t="shared" si="17"/>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3"/>
        <v>,mzz0010_other_jusho_name</v>
      </c>
      <c r="Q155" s="78" t="str">
        <f t="shared" si="14"/>
        <v>TEXT</v>
      </c>
      <c r="R155" s="78" t="str">
        <f t="shared" si="15"/>
        <v/>
      </c>
      <c r="S155" s="78" t="str">
        <f t="shared" si="16"/>
        <v/>
      </c>
      <c r="T155" s="78" t="str">
        <f t="shared" si="17"/>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ENT_01_C1-07</v>
      </c>
      <c r="E6" s="251"/>
      <c r="F6" s="251"/>
      <c r="G6" s="251"/>
      <c r="H6" s="251"/>
      <c r="I6" s="251"/>
      <c r="J6" s="252"/>
    </row>
    <row r="7" spans="1:45">
      <c r="B7" s="240" t="s">
        <v>115</v>
      </c>
      <c r="C7" s="241"/>
      <c r="D7" s="242" t="s">
        <v>314</v>
      </c>
      <c r="E7" s="243"/>
      <c r="F7" s="243"/>
      <c r="G7" s="243"/>
      <c r="H7" s="243"/>
      <c r="I7" s="243"/>
      <c r="J7" s="244"/>
    </row>
    <row r="8" spans="1:45">
      <c r="B8" s="240" t="s">
        <v>116</v>
      </c>
      <c r="C8" s="241"/>
      <c r="D8" s="242" t="str">
        <f>エンティティ一覧!AE2&amp;"_"&amp;D5&amp;"_merge_dpc_ff1_a006040"</f>
        <v>sny_202310_backup_merge_dpc_ff1_a006040</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milscm_2023_009.sny_202310_backup_merge_dpc_ff1_a006040;</v>
      </c>
      <c r="O10" s="78"/>
      <c r="P10" s="78"/>
      <c r="Q10" s="78"/>
      <c r="R10" s="78"/>
      <c r="S10" s="78"/>
      <c r="T10" s="78"/>
      <c r="AJ10" s="78" t="str">
        <f>"ALTER TABLE ONLY "&amp;エンティティ一覧!$O$2&amp;"."&amp;D$8</f>
        <v>ALTER TABLE ONLY milscm_2023_009.sny_202310_backup_merge_dpc_ff1_a006040</v>
      </c>
      <c r="AS10" s="78" t="str">
        <f>"ALTER TABLE "&amp;エンティティ一覧!$O$2&amp;"."&amp;D$8&amp;" OWNER TO pgmisgrp1;"</f>
        <v>ALTER TABLE milscm_2023_009.sny_202310_backup_merge_dpc_ff1_a006040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milscm_2023_009.sny_202310_backup_merge_dpc_ff1_a006040</v>
      </c>
      <c r="O11" s="78"/>
      <c r="P11" s="78"/>
      <c r="Q11" s="78"/>
      <c r="R11" s="78"/>
      <c r="S11" s="78"/>
      <c r="T11" s="78"/>
      <c r="AJ11" s="78" t="str">
        <f>"ADD CONSTRAINT "&amp;D$8&amp;"_pkey PRIMARY KEY"</f>
        <v>ADD CONSTRAINT sny_202310_backup_merge_dpc_ff1_a006040_pkey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milscm_2023_009.sny_202310_backup_merge_dpc_ff1_a006040.mil_karute_id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milscm_2023_009.sny_202310_backup_merge_dpc_ff1_a006040.facility_id IS '施設ID';</v>
      </c>
    </row>
    <row r="16" spans="1:45" s="25" customFormat="1" ht="87">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milscm_2023_009.sny_202310_backup_merge_dpc_ff1_a006040.shushoku_code4 IS '修飾語コード4';</v>
      </c>
    </row>
    <row r="31" spans="1:52" s="25" customFormat="1" ht="18" thickBot="1">
      <c r="A31" s="4"/>
      <c r="B31" s="27">
        <f>ROW()-12</f>
        <v>19</v>
      </c>
      <c r="C31" s="57" t="s">
        <v>879</v>
      </c>
      <c r="D31" s="57" t="s">
        <v>880</v>
      </c>
      <c r="E31" s="56"/>
      <c r="F31" s="56" t="s">
        <v>867</v>
      </c>
      <c r="G31" s="56" t="str">
        <f t="shared" si="3"/>
        <v>text</v>
      </c>
      <c r="H31" s="59"/>
      <c r="I31" s="60"/>
      <c r="J31" s="64" t="s">
        <v>884</v>
      </c>
      <c r="N31" s="78"/>
      <c r="O31" s="78"/>
      <c r="P31" s="78" t="str">
        <f t="shared" si="4"/>
        <v>,nyuin_heizonsho_name</v>
      </c>
      <c r="Q31" s="78" t="str">
        <f t="shared" si="0"/>
        <v>TEXT</v>
      </c>
      <c r="R31" s="78" t="str">
        <f t="shared" si="1"/>
        <v/>
      </c>
      <c r="S31" s="78" t="str">
        <f t="shared" si="5"/>
        <v/>
      </c>
      <c r="T31" s="78" t="str">
        <f t="shared" si="6"/>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ENT_01_C1-08</v>
      </c>
      <c r="E6" s="251"/>
      <c r="F6" s="251"/>
      <c r="G6" s="251"/>
      <c r="H6" s="251"/>
      <c r="I6" s="251"/>
      <c r="J6" s="252"/>
    </row>
    <row r="7" spans="1:45">
      <c r="B7" s="240" t="s">
        <v>115</v>
      </c>
      <c r="C7" s="241"/>
      <c r="D7" s="242" t="s">
        <v>315</v>
      </c>
      <c r="E7" s="243"/>
      <c r="F7" s="243"/>
      <c r="G7" s="243"/>
      <c r="H7" s="243"/>
      <c r="I7" s="243"/>
      <c r="J7" s="244"/>
    </row>
    <row r="8" spans="1:45">
      <c r="B8" s="240" t="s">
        <v>116</v>
      </c>
      <c r="C8" s="241"/>
      <c r="D8" s="242" t="str">
        <f>エンティティ一覧!AE2&amp;"_"&amp;D5&amp;"_merge_dpc_ff1_a006050"</f>
        <v>sny_202310_backup_merge_dpc_ff1_a006050</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milscm_2023_009.sny_202310_backup_merge_dpc_ff1_a006050;</v>
      </c>
      <c r="O10" s="78"/>
      <c r="P10" s="78"/>
      <c r="Q10" s="78"/>
      <c r="R10" s="78"/>
      <c r="S10" s="78"/>
      <c r="T10" s="78"/>
      <c r="AJ10" s="78" t="str">
        <f>"ALTER TABLE ONLY "&amp;エンティティ一覧!$O$2&amp;"."&amp;D$8</f>
        <v>ALTER TABLE ONLY milscm_2023_009.sny_202310_backup_merge_dpc_ff1_a006050</v>
      </c>
      <c r="AS10" s="78" t="str">
        <f>"ALTER TABLE "&amp;エンティティ一覧!$O$2&amp;"."&amp;D$8&amp;" OWNER TO pgmisgrp1;"</f>
        <v>ALTER TABLE milscm_2023_009.sny_202310_backup_merge_dpc_ff1_a006050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milscm_2023_009.sny_202310_backup_merge_dpc_ff1_a006050</v>
      </c>
      <c r="O11" s="78"/>
      <c r="P11" s="78"/>
      <c r="Q11" s="78"/>
      <c r="R11" s="78"/>
      <c r="S11" s="78"/>
      <c r="T11" s="78"/>
      <c r="AJ11" s="78" t="str">
        <f>"ADD CONSTRAINT "&amp;D$8&amp;"_pkey PRIMARY KEY"</f>
        <v>ADD CONSTRAINT sny_202310_backup_merge_dpc_ff1_a006050_pkey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milscm_2023_009.sny_202310_backup_merge_dpc_ff1_a006050.mil_karute_id IS '千年カルテID';</v>
      </c>
    </row>
    <row r="15" spans="1:45" s="25" customFormat="1" ht="34.799999999999997">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milscm_2023_009.sny_202310_backup_merge_dpc_ff1_a006050.facility_id IS '施設ID';</v>
      </c>
    </row>
    <row r="16" spans="1:45" s="25" customFormat="1" ht="87">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milscm_2023_009.sny_202310_backup_merge_dpc_ff1_a006050.shushoku_code4 IS '修飾語コード4';</v>
      </c>
    </row>
    <row r="31" spans="1:52" s="25" customFormat="1" ht="18" thickBot="1">
      <c r="A31" s="4"/>
      <c r="B31" s="27">
        <f>ROW()-12</f>
        <v>19</v>
      </c>
      <c r="C31" s="57" t="s">
        <v>890</v>
      </c>
      <c r="D31" s="57" t="s">
        <v>891</v>
      </c>
      <c r="E31" s="56"/>
      <c r="F31" s="56" t="s">
        <v>867</v>
      </c>
      <c r="G31" s="56" t="str">
        <f t="shared" si="3"/>
        <v>text</v>
      </c>
      <c r="H31" s="59"/>
      <c r="I31" s="60"/>
      <c r="J31" s="61" t="s">
        <v>895</v>
      </c>
      <c r="N31" s="78"/>
      <c r="O31" s="78"/>
      <c r="P31" s="78" t="str">
        <f t="shared" si="4"/>
        <v>,nyuin_shikkan_name</v>
      </c>
      <c r="Q31" s="78" t="str">
        <f t="shared" si="0"/>
        <v>TEXT</v>
      </c>
      <c r="R31" s="78" t="str">
        <f t="shared" si="1"/>
        <v/>
      </c>
      <c r="S31" s="78" t="str">
        <f t="shared" si="5"/>
        <v/>
      </c>
      <c r="T31" s="78" t="str">
        <f t="shared" si="6"/>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ENT_01_C2-01</v>
      </c>
      <c r="E6" s="251"/>
      <c r="F6" s="251"/>
      <c r="G6" s="251"/>
      <c r="H6" s="251"/>
      <c r="I6" s="251"/>
      <c r="J6" s="252"/>
    </row>
    <row r="7" spans="1:45">
      <c r="B7" s="240" t="s">
        <v>115</v>
      </c>
      <c r="C7" s="241"/>
      <c r="D7" s="242" t="s">
        <v>923</v>
      </c>
      <c r="E7" s="243"/>
      <c r="F7" s="243"/>
      <c r="G7" s="243"/>
      <c r="H7" s="243"/>
      <c r="I7" s="243"/>
      <c r="J7" s="244"/>
    </row>
    <row r="8" spans="1:45">
      <c r="B8" s="240" t="s">
        <v>116</v>
      </c>
      <c r="C8" s="241"/>
      <c r="D8" s="242" t="str">
        <f>エンティティ一覧!AE2&amp;"_"&amp;D5&amp;"_merge_receiptc_ir"</f>
        <v>sny_202310_backup_merge_receiptc_ir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milscm_2023_009.sny_202310_backup_merge_receiptc_ir;</v>
      </c>
      <c r="O10" s="78"/>
      <c r="P10" s="78"/>
      <c r="Q10" s="78"/>
      <c r="R10" s="78"/>
      <c r="S10" s="78"/>
      <c r="T10" s="78"/>
      <c r="AJ10" s="78" t="str">
        <f>"ALTER TABLE ONLY "&amp;エンティティ一覧!$O$2&amp;"."&amp;D$8</f>
        <v>ALTER TABLE ONLY milscm_2023_009.sny_202310_backup_merge_receiptc_ir</v>
      </c>
      <c r="AS10" s="78" t="str">
        <f>"ALTER TABLE "&amp;エンティティ一覧!$O$2&amp;"."&amp;D$8&amp;" OWNER TO pgmisgrp1;"</f>
        <v>ALTER TABLE milscm_2023_009.sny_202310_backup_merge_receiptc_ir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milscm_2023_009.sny_202310_backup_merge_receiptc_ir</v>
      </c>
      <c r="O11" s="78"/>
      <c r="P11" s="78"/>
      <c r="Q11" s="78"/>
      <c r="R11" s="78"/>
      <c r="S11" s="78"/>
      <c r="T11" s="78"/>
      <c r="AJ11" s="78" t="str">
        <f>"ADD CONSTRAINT "&amp;D$8&amp;"_pkey PRIMARY KEY"</f>
        <v>ADD CONSTRAINT sny_202310_backup_merge_receiptc_ir_pkey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milscm_2023_009.sny_202310_backup_merge_receiptc_ir.facility_id IS '施設ID';</v>
      </c>
    </row>
    <row r="16" spans="1:45" s="25" customFormat="1" ht="52.2">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0" si="5">IF(I16="○","NOT NULL","")</f>
        <v>NOT NULL</v>
      </c>
      <c r="T16" s="78" t="str">
        <f t="shared" ref="T16:T30"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milscm_2023_009.sny_202310_backup_merge_receiptc_ir.seikyu_ym IS '請求年月';</v>
      </c>
    </row>
    <row r="17" spans="1:52" s="25" customFormat="1" ht="69.599999999999994">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867</v>
      </c>
      <c r="G18" s="7" t="str">
        <f t="shared" si="3"/>
        <v>text</v>
      </c>
      <c r="H18" s="26" t="s">
        <v>952</v>
      </c>
      <c r="I18" s="10" t="s">
        <v>127</v>
      </c>
      <c r="J18" s="11"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928</v>
      </c>
      <c r="D20" s="6" t="s">
        <v>929</v>
      </c>
      <c r="E20" s="8"/>
      <c r="F20" s="7" t="s">
        <v>867</v>
      </c>
      <c r="G20" s="7" t="str">
        <f t="shared" si="3"/>
        <v>text</v>
      </c>
      <c r="H20" s="26" t="s">
        <v>954</v>
      </c>
      <c r="I20" s="10" t="s">
        <v>127</v>
      </c>
      <c r="J20" s="11"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932</v>
      </c>
      <c r="D22" s="6" t="s">
        <v>933</v>
      </c>
      <c r="E22" s="8" t="s">
        <v>127</v>
      </c>
      <c r="F22" s="7" t="s">
        <v>204</v>
      </c>
      <c r="G22" s="7" t="str">
        <f t="shared" si="3"/>
        <v>integer</v>
      </c>
      <c r="H22" s="26">
        <v>0</v>
      </c>
      <c r="I22" s="10" t="s">
        <v>127</v>
      </c>
      <c r="J22" s="11"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milscm_2023_009.sny_202310_backup_merge_receiptc_ir.gyo_no IS '行番号';</v>
      </c>
    </row>
    <row r="23" spans="1:52" s="25" customFormat="1">
      <c r="A23" s="4"/>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936</v>
      </c>
      <c r="D24" s="6" t="s">
        <v>937</v>
      </c>
      <c r="E24" s="8"/>
      <c r="F24" s="7" t="s">
        <v>867</v>
      </c>
      <c r="G24" s="7" t="str">
        <f t="shared" si="3"/>
        <v>text</v>
      </c>
      <c r="H24" s="26"/>
      <c r="I24" s="10"/>
      <c r="J24" s="11"/>
      <c r="N24" s="78"/>
      <c r="O24" s="78"/>
      <c r="P24" s="78" t="str">
        <f t="shared" si="4"/>
        <v>,prefecture</v>
      </c>
      <c r="Q24" s="78" t="str">
        <f t="shared" si="0"/>
        <v>TEXT</v>
      </c>
      <c r="R24" s="78" t="str">
        <f t="shared" si="1"/>
        <v/>
      </c>
      <c r="S24" s="78" t="str">
        <f t="shared" si="5"/>
        <v/>
      </c>
      <c r="T24" s="78" t="str">
        <f t="shared" si="6"/>
        <v>-- 都道府県</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938</v>
      </c>
      <c r="D25" s="13" t="s">
        <v>939</v>
      </c>
      <c r="E25" s="7"/>
      <c r="F25" s="7" t="s">
        <v>867</v>
      </c>
      <c r="G25" s="7" t="str">
        <f t="shared" si="3"/>
        <v>text</v>
      </c>
      <c r="H25" s="58"/>
      <c r="I25" s="23"/>
      <c r="J25" s="24"/>
      <c r="N25" s="78"/>
      <c r="O25" s="78"/>
      <c r="P25" s="78" t="str">
        <f t="shared" si="4"/>
        <v>,tensuhyo</v>
      </c>
      <c r="Q25" s="78" t="str">
        <f t="shared" si="0"/>
        <v>TEXT</v>
      </c>
      <c r="R25" s="78" t="str">
        <f t="shared" si="1"/>
        <v/>
      </c>
      <c r="S25" s="78" t="str">
        <f t="shared" si="5"/>
        <v/>
      </c>
      <c r="T25" s="78" t="str">
        <f t="shared" si="6"/>
        <v>-- 点数表</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milscm_2023_009.sny_202310_backup_merge_receiptc_ir.tensuhyo IS '点数表';</v>
      </c>
    </row>
    <row r="26" spans="1:52" s="25" customFormat="1">
      <c r="A26" s="4"/>
      <c r="B26" s="21">
        <f t="shared" si="2"/>
        <v>14</v>
      </c>
      <c r="C26" s="6" t="s">
        <v>940</v>
      </c>
      <c r="D26" s="6" t="s">
        <v>941</v>
      </c>
      <c r="E26" s="8"/>
      <c r="F26" s="7" t="s">
        <v>867</v>
      </c>
      <c r="G26" s="7" t="str">
        <f t="shared" si="3"/>
        <v>text</v>
      </c>
      <c r="H26" s="26"/>
      <c r="I26" s="10"/>
      <c r="J26" s="11"/>
      <c r="N26" s="78"/>
      <c r="O26" s="78"/>
      <c r="P26" s="78" t="str">
        <f t="shared" si="4"/>
        <v>,hospital_code</v>
      </c>
      <c r="Q26" s="78" t="str">
        <f t="shared" si="0"/>
        <v>TEXT</v>
      </c>
      <c r="R26" s="78" t="str">
        <f t="shared" si="1"/>
        <v/>
      </c>
      <c r="S26" s="78" t="str">
        <f t="shared" si="5"/>
        <v/>
      </c>
      <c r="T26" s="78" t="str">
        <f t="shared" si="6"/>
        <v>-- 医療機関コード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942</v>
      </c>
      <c r="D27" s="6" t="s">
        <v>943</v>
      </c>
      <c r="E27" s="8"/>
      <c r="F27" s="7" t="s">
        <v>867</v>
      </c>
      <c r="G27" s="7" t="str">
        <f t="shared" si="3"/>
        <v>text</v>
      </c>
      <c r="H27" s="26"/>
      <c r="I27" s="10"/>
      <c r="J27" s="11"/>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milscm_2023_009.sny_202310_backup_merge_receiptc_ir.reserve1 IS '予備1';</v>
      </c>
    </row>
    <row r="28" spans="1:52" s="25" customFormat="1">
      <c r="A28" s="4"/>
      <c r="B28" s="21">
        <f t="shared" si="2"/>
        <v>16</v>
      </c>
      <c r="C28" s="13" t="s">
        <v>944</v>
      </c>
      <c r="D28" s="13" t="s">
        <v>945</v>
      </c>
      <c r="E28" s="7"/>
      <c r="F28" s="7" t="s">
        <v>867</v>
      </c>
      <c r="G28" s="7" t="str">
        <f t="shared" si="3"/>
        <v>text</v>
      </c>
      <c r="H28" s="58"/>
      <c r="I28" s="23"/>
      <c r="J28" s="24"/>
      <c r="N28" s="78"/>
      <c r="O28" s="78"/>
      <c r="P28" s="78" t="str">
        <f t="shared" si="4"/>
        <v>,hospital_name</v>
      </c>
      <c r="Q28" s="78" t="str">
        <f t="shared" si="0"/>
        <v>TEXT</v>
      </c>
      <c r="R28" s="78" t="str">
        <f t="shared" si="1"/>
        <v/>
      </c>
      <c r="S28" s="78" t="str">
        <f t="shared" si="5"/>
        <v/>
      </c>
      <c r="T28" s="78" t="str">
        <f t="shared" si="6"/>
        <v>-- 医療機関名称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946</v>
      </c>
      <c r="D29" s="13" t="s">
        <v>947</v>
      </c>
      <c r="E29" s="7"/>
      <c r="F29" s="7" t="s">
        <v>867</v>
      </c>
      <c r="G29" s="7" t="str">
        <f t="shared" si="3"/>
        <v>text</v>
      </c>
      <c r="H29" s="58"/>
      <c r="I29" s="23"/>
      <c r="J29" s="24"/>
      <c r="N29" s="78"/>
      <c r="O29" s="78"/>
      <c r="P29" s="78" t="str">
        <f t="shared" si="4"/>
        <v>,multi_volume_shikibetsu</v>
      </c>
      <c r="Q29" s="78" t="str">
        <f t="shared" si="0"/>
        <v>TEXT</v>
      </c>
      <c r="R29" s="78" t="str">
        <f t="shared" si="1"/>
        <v/>
      </c>
      <c r="S29" s="78" t="str">
        <f t="shared" si="5"/>
        <v/>
      </c>
      <c r="T29" s="78" t="str">
        <f t="shared" si="6"/>
        <v>-- マルチボリューム識別情報</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milscm_2023_009.sny_202310_backup_merge_receiptc_ir.multi_volume_shikibetsu IS 'マルチボリューム識別情報';</v>
      </c>
    </row>
    <row r="30" spans="1:52" s="25" customFormat="1" ht="18" thickBot="1">
      <c r="A30" s="4"/>
      <c r="B30" s="27">
        <f>ROW()-12</f>
        <v>18</v>
      </c>
      <c r="C30" s="57" t="s">
        <v>948</v>
      </c>
      <c r="D30" s="57" t="s">
        <v>949</v>
      </c>
      <c r="E30" s="56"/>
      <c r="F30" s="56" t="s">
        <v>867</v>
      </c>
      <c r="G30" s="56" t="str">
        <f t="shared" si="3"/>
        <v>text</v>
      </c>
      <c r="H30" s="59"/>
      <c r="I30" s="60"/>
      <c r="J30" s="64"/>
      <c r="N30" s="78"/>
      <c r="O30" s="78"/>
      <c r="P30" s="78" t="str">
        <f t="shared" si="4"/>
        <v>,phone_no</v>
      </c>
      <c r="Q30" s="78" t="str">
        <f t="shared" si="0"/>
        <v>TEXT</v>
      </c>
      <c r="R30" s="78" t="str">
        <f t="shared" si="1"/>
        <v/>
      </c>
      <c r="S30" s="78" t="str">
        <f t="shared" si="5"/>
        <v/>
      </c>
      <c r="T30" s="78" t="str">
        <f t="shared" si="6"/>
        <v>-- 電話番号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milscm_2023_009.sny_202310_backup_merge_receiptc_ir.phone_no IS '電話番号';</v>
      </c>
    </row>
    <row r="31" spans="1:52">
      <c r="L31" s="25"/>
      <c r="M31" s="25"/>
      <c r="N31" s="78" t="s">
        <v>142</v>
      </c>
      <c r="O31" s="78"/>
      <c r="P31" s="78"/>
      <c r="Q31" s="78"/>
      <c r="R31" s="78"/>
      <c r="S31" s="78"/>
      <c r="T31" s="78"/>
      <c r="V31" s="25"/>
      <c r="W31" s="25"/>
      <c r="X31" s="25"/>
      <c r="Y31" s="25"/>
      <c r="Z31" s="25"/>
      <c r="AJ31" s="78"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ENT_01_C2-02</v>
      </c>
      <c r="E6" s="251"/>
      <c r="F6" s="251"/>
      <c r="G6" s="251"/>
      <c r="H6" s="251"/>
      <c r="I6" s="251"/>
      <c r="J6" s="252"/>
    </row>
    <row r="7" spans="1:45">
      <c r="B7" s="240" t="s">
        <v>115</v>
      </c>
      <c r="C7" s="241"/>
      <c r="D7" s="242" t="s">
        <v>959</v>
      </c>
      <c r="E7" s="243"/>
      <c r="F7" s="243"/>
      <c r="G7" s="243"/>
      <c r="H7" s="243"/>
      <c r="I7" s="243"/>
      <c r="J7" s="244"/>
    </row>
    <row r="8" spans="1:45">
      <c r="B8" s="240" t="s">
        <v>116</v>
      </c>
      <c r="C8" s="241"/>
      <c r="D8" s="242" t="str">
        <f>エンティティ一覧!AE2&amp;"_"&amp;D5&amp;"_merge_receiptc_re"</f>
        <v>sny_202310_backup_merge_receiptc_re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milscm_2023_009.sny_202310_backup_merge_receiptc_re;</v>
      </c>
      <c r="O10" s="78"/>
      <c r="P10" s="78"/>
      <c r="Q10" s="78"/>
      <c r="R10" s="78"/>
      <c r="S10" s="78"/>
      <c r="T10" s="78"/>
      <c r="AJ10" s="78" t="str">
        <f>"ALTER TABLE ONLY "&amp;エンティティ一覧!$O$2&amp;"."&amp;D$8</f>
        <v>ALTER TABLE ONLY milscm_2023_009.sny_202310_backup_merge_receiptc_re</v>
      </c>
      <c r="AS10" s="78" t="str">
        <f>"ALTER TABLE "&amp;エンティティ一覧!$O$2&amp;"."&amp;D$8&amp;" OWNER TO pgmisgrp1;"</f>
        <v>ALTER TABLE milscm_2023_009.sny_202310_backup_merge_receiptc_re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milscm_2023_009.sny_202310_backup_merge_receiptc_re</v>
      </c>
      <c r="O11" s="78"/>
      <c r="P11" s="78"/>
      <c r="Q11" s="78"/>
      <c r="R11" s="78"/>
      <c r="S11" s="78"/>
      <c r="T11" s="78"/>
      <c r="AJ11" s="78" t="str">
        <f>"ADD CONSTRAINT "&amp;D$8&amp;"_pkey PRIMARY KEY"</f>
        <v>ADD CONSTRAINT sny_202310_backup_merge_receiptc_re_pkey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83" si="0">UPPER(G13)</f>
        <v>TEXT</v>
      </c>
      <c r="R13" s="78" t="str">
        <f t="shared" ref="R13:R8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8"/>
      <c r="O14" s="78"/>
      <c r="P14" s="78" t="str">
        <f t="shared" ref="P14:P8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milscm_2023_009.sny_202310_backup_merge_receiptc_re.mil_karute_id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milscm_2023_009.sny_202310_backup_merge_receiptc_re.facility_id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83" si="5">IF(I16="○","NOT NULL","")</f>
        <v>NOT NULL</v>
      </c>
      <c r="T16" s="78" t="str">
        <f t="shared" ref="T16:T83"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milscm_2023_009.sny_202310_backup_merge_receiptc_re.seikyu_ym IS '請求年月';</v>
      </c>
    </row>
    <row r="17" spans="2:45" s="25" customFormat="1" ht="69.599999999999994">
      <c r="B17" s="21">
        <f t="shared" si="2"/>
        <v>5</v>
      </c>
      <c r="C17" s="13" t="s">
        <v>868</v>
      </c>
      <c r="D17" s="13" t="s">
        <v>206</v>
      </c>
      <c r="E17" s="7" t="s">
        <v>127</v>
      </c>
      <c r="F17" s="7" t="s">
        <v>867</v>
      </c>
      <c r="G17" s="7" t="str">
        <f t="shared" ref="G17:G80" si="7">IF(F17="フラグ","boolean",IF(F17="文字列","text",IF(F17="整数","integer",IF(F17="実数","numeric",""))))</f>
        <v>text</v>
      </c>
      <c r="H17" s="58"/>
      <c r="I17" s="23" t="s">
        <v>127</v>
      </c>
      <c r="J17" s="24" t="s">
        <v>1076</v>
      </c>
      <c r="N17" s="78"/>
      <c r="O17" s="78"/>
      <c r="P17" s="78" t="str">
        <f t="shared" ref="P17:P80" si="8">IF(B17&lt;&gt;1,","&amp;D17,D17)</f>
        <v>,shinryo_ym</v>
      </c>
      <c r="Q17" s="78" t="str">
        <f t="shared" ref="Q17:Q80" si="9">UPPER(G17)</f>
        <v>TEXT</v>
      </c>
      <c r="R17" s="78" t="str">
        <f t="shared" ref="R17:R80" si="10">IF(H17&lt;&gt;"","default "&amp;IF(G17="text","'"&amp;H17&amp;"'",H17),"")</f>
        <v/>
      </c>
      <c r="S17" s="78" t="str">
        <f t="shared" ref="S17:S80" si="11">IF(I17="○","NOT NULL","")</f>
        <v>NOT NULL</v>
      </c>
      <c r="T17" s="78" t="str">
        <f t="shared" ref="T17:T80" si="12">"-- "&amp;C17</f>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867</v>
      </c>
      <c r="G18" s="7" t="str">
        <f t="shared" si="7"/>
        <v>text</v>
      </c>
      <c r="H18" s="58" t="s">
        <v>952</v>
      </c>
      <c r="I18" s="23" t="s">
        <v>127</v>
      </c>
      <c r="J18" s="24" t="s">
        <v>953</v>
      </c>
      <c r="N18" s="78"/>
      <c r="O18" s="78"/>
      <c r="P18" s="78" t="str">
        <f t="shared" si="8"/>
        <v>,data_type</v>
      </c>
      <c r="Q18" s="78" t="str">
        <f t="shared" si="9"/>
        <v>TEXT</v>
      </c>
      <c r="R18" s="78" t="str">
        <f t="shared" si="10"/>
        <v>default 'RCP'</v>
      </c>
      <c r="S18" s="78" t="str">
        <f t="shared" si="11"/>
        <v>NOT NULL</v>
      </c>
      <c r="T18" s="78" t="str">
        <f t="shared" si="12"/>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milscm_2023_009.sny_202310_backup_merge_receiptc_re.data_type IS 'データ種別';</v>
      </c>
    </row>
    <row r="19" spans="2:45" s="25" customFormat="1">
      <c r="B19" s="21">
        <f t="shared" si="2"/>
        <v>7</v>
      </c>
      <c r="C19" s="13" t="s">
        <v>926</v>
      </c>
      <c r="D19" s="13" t="s">
        <v>927</v>
      </c>
      <c r="E19" s="7" t="s">
        <v>127</v>
      </c>
      <c r="F19" s="7" t="s">
        <v>867</v>
      </c>
      <c r="G19" s="7" t="str">
        <f t="shared" si="7"/>
        <v>text</v>
      </c>
      <c r="H19" s="58"/>
      <c r="I19" s="23" t="s">
        <v>127</v>
      </c>
      <c r="J19" s="24" t="s">
        <v>1077</v>
      </c>
      <c r="N19" s="78"/>
      <c r="O19" s="78"/>
      <c r="P19" s="78" t="str">
        <f t="shared" si="8"/>
        <v>,shinsa_kikan</v>
      </c>
      <c r="Q19" s="78" t="str">
        <f t="shared" si="9"/>
        <v>TEXT</v>
      </c>
      <c r="R19" s="78" t="str">
        <f t="shared" si="10"/>
        <v/>
      </c>
      <c r="S19" s="78" t="str">
        <f t="shared" si="11"/>
        <v>NOT NULL</v>
      </c>
      <c r="T19" s="78" t="str">
        <f t="shared" si="12"/>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928</v>
      </c>
      <c r="D20" s="13" t="s">
        <v>929</v>
      </c>
      <c r="E20" s="7"/>
      <c r="F20" s="7" t="s">
        <v>867</v>
      </c>
      <c r="G20" s="7" t="str">
        <f t="shared" si="7"/>
        <v>text</v>
      </c>
      <c r="H20" s="58" t="s">
        <v>1078</v>
      </c>
      <c r="I20" s="23" t="s">
        <v>127</v>
      </c>
      <c r="J20" s="24" t="s">
        <v>1079</v>
      </c>
      <c r="N20" s="78"/>
      <c r="O20" s="78"/>
      <c r="P20" s="78" t="str">
        <f t="shared" si="8"/>
        <v>,record_shikibetsu</v>
      </c>
      <c r="Q20" s="78" t="str">
        <f t="shared" si="9"/>
        <v>TEXT</v>
      </c>
      <c r="R20" s="78" t="str">
        <f t="shared" si="10"/>
        <v>default 'RE'</v>
      </c>
      <c r="S20" s="78" t="str">
        <f t="shared" si="11"/>
        <v>NOT NULL</v>
      </c>
      <c r="T20" s="78" t="str">
        <f t="shared" si="12"/>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930</v>
      </c>
      <c r="D21" s="13" t="s">
        <v>931</v>
      </c>
      <c r="E21" s="7" t="s">
        <v>127</v>
      </c>
      <c r="F21" s="7" t="s">
        <v>204</v>
      </c>
      <c r="G21" s="7" t="str">
        <f t="shared" si="7"/>
        <v>integer</v>
      </c>
      <c r="H21" s="58"/>
      <c r="I21" s="23" t="s">
        <v>127</v>
      </c>
      <c r="J21" s="24" t="s">
        <v>1080</v>
      </c>
      <c r="N21" s="78"/>
      <c r="O21" s="78"/>
      <c r="P21" s="78" t="str">
        <f t="shared" si="8"/>
        <v>,receipt_no</v>
      </c>
      <c r="Q21" s="78" t="str">
        <f t="shared" si="9"/>
        <v>INTEGER</v>
      </c>
      <c r="R21" s="78" t="str">
        <f t="shared" si="10"/>
        <v/>
      </c>
      <c r="S21" s="78" t="str">
        <f t="shared" si="11"/>
        <v>NOT NULL</v>
      </c>
      <c r="T21" s="78" t="str">
        <f t="shared" si="12"/>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milscm_2023_009.sny_202310_backup_merge_receiptc_re.receipt_no IS 'レセプト番号';</v>
      </c>
    </row>
    <row r="22" spans="2:45" s="25" customFormat="1" ht="34.799999999999997">
      <c r="B22" s="21">
        <f t="shared" si="2"/>
        <v>10</v>
      </c>
      <c r="C22" s="13" t="s">
        <v>932</v>
      </c>
      <c r="D22" s="13" t="s">
        <v>933</v>
      </c>
      <c r="E22" s="7" t="s">
        <v>127</v>
      </c>
      <c r="F22" s="7" t="s">
        <v>204</v>
      </c>
      <c r="G22" s="7" t="str">
        <f t="shared" si="7"/>
        <v>integer</v>
      </c>
      <c r="H22" s="58"/>
      <c r="I22" s="23" t="s">
        <v>127</v>
      </c>
      <c r="J22" s="24" t="s">
        <v>1081</v>
      </c>
      <c r="N22" s="78"/>
      <c r="O22" s="78"/>
      <c r="P22" s="78" t="str">
        <f t="shared" si="8"/>
        <v>,gyo_no</v>
      </c>
      <c r="Q22" s="78" t="str">
        <f t="shared" si="9"/>
        <v>INTEGER</v>
      </c>
      <c r="R22" s="78" t="str">
        <f t="shared" si="10"/>
        <v/>
      </c>
      <c r="S22" s="78" t="str">
        <f t="shared" si="11"/>
        <v>NOT NULL</v>
      </c>
      <c r="T22" s="78" t="str">
        <f t="shared" si="12"/>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milscm_2023_009.sny_202310_backup_merge_receiptc_re.gyo_no IS '行番号';</v>
      </c>
    </row>
    <row r="23" spans="2:45" s="25" customFormat="1">
      <c r="B23" s="21">
        <f t="shared" si="2"/>
        <v>11</v>
      </c>
      <c r="C23" s="13" t="s">
        <v>934</v>
      </c>
      <c r="D23" s="13" t="s">
        <v>935</v>
      </c>
      <c r="E23" s="7"/>
      <c r="F23" s="7" t="s">
        <v>867</v>
      </c>
      <c r="G23" s="7" t="str">
        <f t="shared" si="7"/>
        <v>text</v>
      </c>
      <c r="H23" s="58"/>
      <c r="I23" s="23"/>
      <c r="J23" s="24" t="s">
        <v>1082</v>
      </c>
      <c r="N23" s="78"/>
      <c r="O23" s="78"/>
      <c r="P23" s="78" t="str">
        <f t="shared" si="8"/>
        <v>,karute_no</v>
      </c>
      <c r="Q23" s="78" t="str">
        <f t="shared" si="9"/>
        <v>TEXT</v>
      </c>
      <c r="R23" s="78" t="str">
        <f t="shared" si="10"/>
        <v/>
      </c>
      <c r="S23" s="78" t="str">
        <f t="shared" si="11"/>
        <v/>
      </c>
      <c r="T23" s="78" t="str">
        <f t="shared" si="12"/>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960</v>
      </c>
      <c r="D24" s="13" t="s">
        <v>961</v>
      </c>
      <c r="E24" s="7"/>
      <c r="F24" s="7" t="s">
        <v>867</v>
      </c>
      <c r="G24" s="7" t="str">
        <f t="shared" si="7"/>
        <v>text</v>
      </c>
      <c r="H24" s="58"/>
      <c r="I24" s="23"/>
      <c r="J24" s="24"/>
      <c r="N24" s="78"/>
      <c r="O24" s="78"/>
      <c r="P24" s="78" t="str">
        <f t="shared" si="8"/>
        <v>,receipt_type</v>
      </c>
      <c r="Q24" s="78" t="str">
        <f t="shared" si="9"/>
        <v>TEXT</v>
      </c>
      <c r="R24" s="78" t="str">
        <f t="shared" si="10"/>
        <v/>
      </c>
      <c r="S24" s="78" t="str">
        <f t="shared" si="11"/>
        <v/>
      </c>
      <c r="T24" s="78" t="str">
        <f t="shared" si="12"/>
        <v>-- レセプト種別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962</v>
      </c>
      <c r="D25" s="13" t="s">
        <v>963</v>
      </c>
      <c r="E25" s="7"/>
      <c r="F25" s="7" t="s">
        <v>867</v>
      </c>
      <c r="G25" s="7" t="str">
        <f t="shared" si="7"/>
        <v>text</v>
      </c>
      <c r="H25" s="58"/>
      <c r="I25" s="23"/>
      <c r="J25" s="24" t="s">
        <v>1083</v>
      </c>
      <c r="N25" s="78"/>
      <c r="O25" s="78"/>
      <c r="P25" s="78" t="str">
        <f t="shared" si="8"/>
        <v>,name</v>
      </c>
      <c r="Q25" s="78" t="str">
        <f t="shared" si="9"/>
        <v>TEXT</v>
      </c>
      <c r="R25" s="78" t="str">
        <f t="shared" si="10"/>
        <v/>
      </c>
      <c r="S25" s="78" t="str">
        <f t="shared" si="11"/>
        <v/>
      </c>
      <c r="T25" s="78" t="str">
        <f t="shared" si="12"/>
        <v>-- 氏名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milscm_2023_009.sny_202310_backup_merge_receiptc_re.name IS '氏名';</v>
      </c>
    </row>
    <row r="26" spans="2:45" s="25" customFormat="1">
      <c r="B26" s="21">
        <f t="shared" si="2"/>
        <v>14</v>
      </c>
      <c r="C26" s="13" t="s">
        <v>964</v>
      </c>
      <c r="D26" s="13" t="s">
        <v>965</v>
      </c>
      <c r="E26" s="7"/>
      <c r="F26" s="7" t="s">
        <v>867</v>
      </c>
      <c r="G26" s="7" t="str">
        <f t="shared" si="7"/>
        <v>text</v>
      </c>
      <c r="H26" s="58"/>
      <c r="I26" s="23"/>
      <c r="J26" s="24" t="s">
        <v>1084</v>
      </c>
      <c r="N26" s="78"/>
      <c r="O26" s="78"/>
      <c r="P26" s="78" t="str">
        <f t="shared" si="8"/>
        <v>,sex_kubun</v>
      </c>
      <c r="Q26" s="78" t="str">
        <f t="shared" si="9"/>
        <v>TEXT</v>
      </c>
      <c r="R26" s="78" t="str">
        <f t="shared" si="10"/>
        <v/>
      </c>
      <c r="S26" s="78" t="str">
        <f t="shared" si="11"/>
        <v/>
      </c>
      <c r="T26" s="78" t="str">
        <f t="shared" si="12"/>
        <v>-- 男女区分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milscm_2023_009.sny_202310_backup_merge_receiptc_re.sex_kubun IS '男女区分';</v>
      </c>
    </row>
    <row r="27" spans="2:45" s="25" customFormat="1" ht="87">
      <c r="B27" s="21">
        <f t="shared" si="2"/>
        <v>15</v>
      </c>
      <c r="C27" s="13" t="s">
        <v>966</v>
      </c>
      <c r="D27" s="13" t="s">
        <v>322</v>
      </c>
      <c r="E27" s="7"/>
      <c r="F27" s="7" t="s">
        <v>867</v>
      </c>
      <c r="G27" s="7" t="str">
        <f t="shared" si="7"/>
        <v>text</v>
      </c>
      <c r="H27" s="58"/>
      <c r="I27" s="23"/>
      <c r="J27" s="24" t="s">
        <v>1085</v>
      </c>
      <c r="N27" s="78"/>
      <c r="O27" s="78"/>
      <c r="P27" s="78" t="str">
        <f t="shared" si="8"/>
        <v>,birthday</v>
      </c>
      <c r="Q27" s="78" t="str">
        <f t="shared" si="9"/>
        <v>TEXT</v>
      </c>
      <c r="R27" s="78" t="str">
        <f t="shared" si="10"/>
        <v/>
      </c>
      <c r="S27" s="78" t="str">
        <f t="shared" si="11"/>
        <v/>
      </c>
      <c r="T27" s="78" t="str">
        <f t="shared" si="12"/>
        <v>-- 生年月日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milscm_2023_009.sny_202310_backup_merge_receiptc_re.birthday IS '生年月日';</v>
      </c>
    </row>
    <row r="28" spans="2:45" s="25" customFormat="1">
      <c r="B28" s="21">
        <f t="shared" si="2"/>
        <v>16</v>
      </c>
      <c r="C28" s="13" t="s">
        <v>967</v>
      </c>
      <c r="D28" s="13" t="s">
        <v>968</v>
      </c>
      <c r="E28" s="7"/>
      <c r="F28" s="7" t="s">
        <v>204</v>
      </c>
      <c r="G28" s="7" t="str">
        <f t="shared" si="7"/>
        <v>integer</v>
      </c>
      <c r="H28" s="58"/>
      <c r="I28" s="23"/>
      <c r="J28" s="24"/>
      <c r="N28" s="78"/>
      <c r="O28" s="78"/>
      <c r="P28" s="78" t="str">
        <f t="shared" si="8"/>
        <v>,kyufu_wariai</v>
      </c>
      <c r="Q28" s="78" t="str">
        <f t="shared" si="9"/>
        <v>INTEGER</v>
      </c>
      <c r="R28" s="78" t="str">
        <f t="shared" si="10"/>
        <v/>
      </c>
      <c r="S28" s="78" t="str">
        <f t="shared" si="11"/>
        <v/>
      </c>
      <c r="T28" s="78" t="str">
        <f t="shared" si="12"/>
        <v>-- 給付割合</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milscm_2023_009.sny_202310_backup_merge_receiptc_re.kyufu_wariai IS '給付割合';</v>
      </c>
    </row>
    <row r="29" spans="2:45" s="25" customFormat="1" ht="69.599999999999994">
      <c r="B29" s="21">
        <f t="shared" si="2"/>
        <v>17</v>
      </c>
      <c r="C29" s="13" t="s">
        <v>870</v>
      </c>
      <c r="D29" s="13" t="s">
        <v>156</v>
      </c>
      <c r="E29" s="7"/>
      <c r="F29" s="7" t="s">
        <v>867</v>
      </c>
      <c r="G29" s="7" t="str">
        <f t="shared" si="7"/>
        <v>text</v>
      </c>
      <c r="H29" s="58"/>
      <c r="I29" s="23"/>
      <c r="J29" s="24" t="s">
        <v>1086</v>
      </c>
      <c r="N29" s="78"/>
      <c r="O29" s="78"/>
      <c r="P29" s="78" t="str">
        <f t="shared" si="8"/>
        <v>,nyuin_ymd</v>
      </c>
      <c r="Q29" s="78" t="str">
        <f t="shared" si="9"/>
        <v>TEXT</v>
      </c>
      <c r="R29" s="78" t="str">
        <f t="shared" si="10"/>
        <v/>
      </c>
      <c r="S29" s="78" t="str">
        <f t="shared" si="11"/>
        <v/>
      </c>
      <c r="T29" s="78" t="str">
        <f t="shared" si="12"/>
        <v>-- 入院年月日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milscm_2023_009.sny_202310_backup_merge_receiptc_re.nyuin_ymd IS '入院年月日';</v>
      </c>
    </row>
    <row r="30" spans="2:45" s="25" customFormat="1">
      <c r="B30" s="21">
        <f t="shared" si="2"/>
        <v>18</v>
      </c>
      <c r="C30" s="13" t="s">
        <v>969</v>
      </c>
      <c r="D30" s="13" t="s">
        <v>970</v>
      </c>
      <c r="E30" s="7"/>
      <c r="F30" s="7" t="s">
        <v>867</v>
      </c>
      <c r="G30" s="7" t="str">
        <f t="shared" si="7"/>
        <v>text</v>
      </c>
      <c r="H30" s="58"/>
      <c r="I30" s="23"/>
      <c r="J30" s="24" t="s">
        <v>1087</v>
      </c>
      <c r="N30" s="78"/>
      <c r="O30" s="78"/>
      <c r="P30" s="78" t="str">
        <f t="shared" si="8"/>
        <v>,ward_kubun1</v>
      </c>
      <c r="Q30" s="78" t="str">
        <f t="shared" si="9"/>
        <v>TEXT</v>
      </c>
      <c r="R30" s="78" t="str">
        <f t="shared" si="10"/>
        <v/>
      </c>
      <c r="S30" s="78" t="str">
        <f t="shared" si="11"/>
        <v/>
      </c>
      <c r="T30" s="78" t="str">
        <f t="shared" si="12"/>
        <v>-- 病棟区分1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milscm_2023_009.sny_202310_backup_merge_receiptc_re.ward_kubun1 IS '病棟区分1';</v>
      </c>
    </row>
    <row r="31" spans="2:45" s="25" customFormat="1">
      <c r="B31" s="21">
        <f t="shared" si="2"/>
        <v>19</v>
      </c>
      <c r="C31" s="13" t="s">
        <v>971</v>
      </c>
      <c r="D31" s="13" t="s">
        <v>972</v>
      </c>
      <c r="E31" s="7"/>
      <c r="F31" s="7" t="s">
        <v>867</v>
      </c>
      <c r="G31" s="7" t="str">
        <f t="shared" si="7"/>
        <v>text</v>
      </c>
      <c r="H31" s="58"/>
      <c r="I31" s="23"/>
      <c r="J31" s="24"/>
      <c r="N31" s="78"/>
      <c r="O31" s="78"/>
      <c r="P31" s="78" t="str">
        <f t="shared" si="8"/>
        <v>,ward_kubun2</v>
      </c>
      <c r="Q31" s="78" t="str">
        <f t="shared" si="9"/>
        <v>TEXT</v>
      </c>
      <c r="R31" s="78" t="str">
        <f t="shared" si="10"/>
        <v/>
      </c>
      <c r="S31" s="78" t="str">
        <f t="shared" si="11"/>
        <v/>
      </c>
      <c r="T31" s="78" t="str">
        <f t="shared" si="12"/>
        <v>-- 病棟区分2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milscm_2023_009.sny_202310_backup_merge_receiptc_re.ward_kubun2 IS '病棟区分2';</v>
      </c>
    </row>
    <row r="32" spans="2:45" s="25" customFormat="1">
      <c r="B32" s="21">
        <f t="shared" si="2"/>
        <v>20</v>
      </c>
      <c r="C32" s="13" t="s">
        <v>973</v>
      </c>
      <c r="D32" s="13" t="s">
        <v>974</v>
      </c>
      <c r="E32" s="7"/>
      <c r="F32" s="7" t="s">
        <v>867</v>
      </c>
      <c r="G32" s="7" t="str">
        <f t="shared" si="7"/>
        <v>text</v>
      </c>
      <c r="H32" s="58"/>
      <c r="I32" s="23"/>
      <c r="J32" s="24"/>
      <c r="N32" s="78"/>
      <c r="O32" s="78"/>
      <c r="P32" s="78" t="str">
        <f t="shared" si="8"/>
        <v>,ward_kubun3</v>
      </c>
      <c r="Q32" s="78" t="str">
        <f t="shared" si="9"/>
        <v>TEXT</v>
      </c>
      <c r="R32" s="78" t="str">
        <f t="shared" si="10"/>
        <v/>
      </c>
      <c r="S32" s="78" t="str">
        <f t="shared" si="11"/>
        <v/>
      </c>
      <c r="T32" s="78" t="str">
        <f t="shared" si="12"/>
        <v>-- 病棟区分3</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milscm_2023_009.sny_202310_backup_merge_receiptc_re.ward_kubun3 IS '病棟区分3';</v>
      </c>
    </row>
    <row r="33" spans="2:45" s="25" customFormat="1">
      <c r="B33" s="21">
        <f t="shared" si="2"/>
        <v>21</v>
      </c>
      <c r="C33" s="13" t="s">
        <v>975</v>
      </c>
      <c r="D33" s="13" t="s">
        <v>976</v>
      </c>
      <c r="E33" s="7"/>
      <c r="F33" s="7" t="s">
        <v>867</v>
      </c>
      <c r="G33" s="7" t="str">
        <f t="shared" si="7"/>
        <v>text</v>
      </c>
      <c r="H33" s="58"/>
      <c r="I33" s="23"/>
      <c r="J33" s="24"/>
      <c r="N33" s="78"/>
      <c r="O33" s="78"/>
      <c r="P33" s="78" t="str">
        <f t="shared" si="8"/>
        <v>,ward_kubun4</v>
      </c>
      <c r="Q33" s="78" t="str">
        <f t="shared" si="9"/>
        <v>TEXT</v>
      </c>
      <c r="R33" s="78" t="str">
        <f t="shared" si="10"/>
        <v/>
      </c>
      <c r="S33" s="78" t="str">
        <f t="shared" si="11"/>
        <v/>
      </c>
      <c r="T33" s="78" t="str">
        <f t="shared" si="12"/>
        <v>-- 病棟区分4</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milscm_2023_009.sny_202310_backup_merge_receiptc_re.ward_kubun4 IS '病棟区分4';</v>
      </c>
    </row>
    <row r="34" spans="2:45" s="25" customFormat="1" ht="30">
      <c r="B34" s="21">
        <f t="shared" si="2"/>
        <v>22</v>
      </c>
      <c r="C34" s="13" t="s">
        <v>977</v>
      </c>
      <c r="D34" s="13" t="s">
        <v>978</v>
      </c>
      <c r="E34" s="7"/>
      <c r="F34" s="7" t="s">
        <v>867</v>
      </c>
      <c r="G34" s="7" t="str">
        <f t="shared" si="7"/>
        <v>text</v>
      </c>
      <c r="H34" s="58"/>
      <c r="I34" s="23"/>
      <c r="J34" s="24"/>
      <c r="N34" s="78"/>
      <c r="O34" s="78"/>
      <c r="P34" s="78" t="str">
        <f t="shared" si="8"/>
        <v>,ichibu_futankin_kubun</v>
      </c>
      <c r="Q34" s="78" t="str">
        <f t="shared" si="9"/>
        <v>TEXT</v>
      </c>
      <c r="R34" s="78" t="str">
        <f t="shared" si="10"/>
        <v/>
      </c>
      <c r="S34" s="78" t="str">
        <f t="shared" si="11"/>
        <v/>
      </c>
      <c r="T34" s="78" t="str">
        <f t="shared" si="12"/>
        <v>-- 一部負担金・食事療養費・生活療養費標準負担額区分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979</v>
      </c>
      <c r="D35" s="13" t="s">
        <v>980</v>
      </c>
      <c r="E35" s="7"/>
      <c r="F35" s="7" t="s">
        <v>867</v>
      </c>
      <c r="G35" s="7" t="str">
        <f t="shared" si="7"/>
        <v>text</v>
      </c>
      <c r="H35" s="58"/>
      <c r="I35" s="23"/>
      <c r="J35" s="24" t="s">
        <v>1088</v>
      </c>
      <c r="N35" s="78"/>
      <c r="O35" s="78"/>
      <c r="P35" s="78" t="str">
        <f t="shared" si="8"/>
        <v>,receipt_tokki_code1</v>
      </c>
      <c r="Q35" s="78" t="str">
        <f t="shared" si="9"/>
        <v>TEXT</v>
      </c>
      <c r="R35" s="78" t="str">
        <f t="shared" si="10"/>
        <v/>
      </c>
      <c r="S35" s="78" t="str">
        <f t="shared" si="11"/>
        <v/>
      </c>
      <c r="T35" s="78" t="str">
        <f t="shared" si="12"/>
        <v>-- レセプト特記事項1</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981</v>
      </c>
      <c r="D36" s="13" t="s">
        <v>982</v>
      </c>
      <c r="E36" s="7"/>
      <c r="F36" s="7" t="s">
        <v>867</v>
      </c>
      <c r="G36" s="7" t="str">
        <f t="shared" si="7"/>
        <v>text</v>
      </c>
      <c r="H36" s="58"/>
      <c r="I36" s="23"/>
      <c r="J36" s="24"/>
      <c r="N36" s="78"/>
      <c r="O36" s="78"/>
      <c r="P36" s="78" t="str">
        <f t="shared" si="8"/>
        <v>,receipt_tokki_code2</v>
      </c>
      <c r="Q36" s="78" t="str">
        <f t="shared" si="9"/>
        <v>TEXT</v>
      </c>
      <c r="R36" s="78" t="str">
        <f t="shared" si="10"/>
        <v/>
      </c>
      <c r="S36" s="78" t="str">
        <f t="shared" si="11"/>
        <v/>
      </c>
      <c r="T36" s="78" t="str">
        <f t="shared" si="12"/>
        <v>-- レセプト特記事項2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983</v>
      </c>
      <c r="D37" s="13" t="s">
        <v>984</v>
      </c>
      <c r="E37" s="7"/>
      <c r="F37" s="7" t="s">
        <v>867</v>
      </c>
      <c r="G37" s="7" t="str">
        <f t="shared" si="7"/>
        <v>text</v>
      </c>
      <c r="H37" s="58"/>
      <c r="I37" s="23"/>
      <c r="J37" s="24"/>
      <c r="N37" s="78"/>
      <c r="O37" s="78"/>
      <c r="P37" s="78" t="str">
        <f t="shared" si="8"/>
        <v>,receipt_tokki_code3</v>
      </c>
      <c r="Q37" s="78" t="str">
        <f t="shared" si="9"/>
        <v>TEXT</v>
      </c>
      <c r="R37" s="78" t="str">
        <f t="shared" si="10"/>
        <v/>
      </c>
      <c r="S37" s="78" t="str">
        <f t="shared" si="11"/>
        <v/>
      </c>
      <c r="T37" s="78" t="str">
        <f t="shared" si="12"/>
        <v>-- レセプト特記事項3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985</v>
      </c>
      <c r="D38" s="13" t="s">
        <v>986</v>
      </c>
      <c r="E38" s="7"/>
      <c r="F38" s="7" t="s">
        <v>867</v>
      </c>
      <c r="G38" s="7" t="str">
        <f t="shared" si="7"/>
        <v>text</v>
      </c>
      <c r="H38" s="58"/>
      <c r="I38" s="23"/>
      <c r="J38" s="24"/>
      <c r="N38" s="78"/>
      <c r="O38" s="78"/>
      <c r="P38" s="78" t="str">
        <f t="shared" si="8"/>
        <v>,receipt_tokki_code4</v>
      </c>
      <c r="Q38" s="78" t="str">
        <f t="shared" si="9"/>
        <v>TEXT</v>
      </c>
      <c r="R38" s="78" t="str">
        <f t="shared" si="10"/>
        <v/>
      </c>
      <c r="S38" s="78" t="str">
        <f t="shared" si="11"/>
        <v/>
      </c>
      <c r="T38" s="78" t="str">
        <f t="shared" si="12"/>
        <v>-- レセプト特記事項4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987</v>
      </c>
      <c r="D39" s="13" t="s">
        <v>988</v>
      </c>
      <c r="E39" s="7"/>
      <c r="F39" s="7" t="s">
        <v>867</v>
      </c>
      <c r="G39" s="7" t="str">
        <f t="shared" si="7"/>
        <v>text</v>
      </c>
      <c r="H39" s="58"/>
      <c r="I39" s="23"/>
      <c r="J39" s="24"/>
      <c r="N39" s="78"/>
      <c r="O39" s="78"/>
      <c r="P39" s="78" t="str">
        <f t="shared" si="8"/>
        <v>,receipt_tokki_code5</v>
      </c>
      <c r="Q39" s="78" t="str">
        <f t="shared" si="9"/>
        <v>TEXT</v>
      </c>
      <c r="R39" s="78" t="str">
        <f t="shared" si="10"/>
        <v/>
      </c>
      <c r="S39" s="78" t="str">
        <f t="shared" si="11"/>
        <v/>
      </c>
      <c r="T39" s="78" t="str">
        <f t="shared" si="12"/>
        <v>-- レセプト特記事項5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989</v>
      </c>
      <c r="D40" s="13" t="s">
        <v>990</v>
      </c>
      <c r="E40" s="7"/>
      <c r="F40" s="7" t="s">
        <v>204</v>
      </c>
      <c r="G40" s="7" t="str">
        <f t="shared" si="7"/>
        <v>integer</v>
      </c>
      <c r="H40" s="58"/>
      <c r="I40" s="23"/>
      <c r="J40" s="24"/>
      <c r="N40" s="78"/>
      <c r="O40" s="78"/>
      <c r="P40" s="78" t="str">
        <f t="shared" si="8"/>
        <v>,bed_su</v>
      </c>
      <c r="Q40" s="78" t="str">
        <f t="shared" si="9"/>
        <v>INTEGER</v>
      </c>
      <c r="R40" s="78" t="str">
        <f t="shared" si="10"/>
        <v/>
      </c>
      <c r="S40" s="78" t="str">
        <f t="shared" si="11"/>
        <v/>
      </c>
      <c r="T40" s="78" t="str">
        <f t="shared" si="12"/>
        <v>-- 病床数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milscm_2023_009.sny_202310_backup_merge_receiptc_re.bed_su IS '病床数';</v>
      </c>
    </row>
    <row r="41" spans="2:45" s="25" customFormat="1">
      <c r="B41" s="21">
        <f t="shared" si="2"/>
        <v>29</v>
      </c>
      <c r="C41" s="13" t="s">
        <v>991</v>
      </c>
      <c r="D41" s="13" t="s">
        <v>992</v>
      </c>
      <c r="E41" s="7"/>
      <c r="F41" s="7" t="s">
        <v>204</v>
      </c>
      <c r="G41" s="7" t="str">
        <f t="shared" si="7"/>
        <v>integer</v>
      </c>
      <c r="H41" s="58"/>
      <c r="I41" s="23"/>
      <c r="J41" s="24"/>
      <c r="N41" s="78"/>
      <c r="O41" s="78"/>
      <c r="P41" s="78" t="str">
        <f t="shared" si="8"/>
        <v>,waribiki_tensu</v>
      </c>
      <c r="Q41" s="78" t="str">
        <f t="shared" si="9"/>
        <v>INTEGER</v>
      </c>
      <c r="R41" s="78" t="str">
        <f t="shared" si="10"/>
        <v/>
      </c>
      <c r="S41" s="78" t="str">
        <f t="shared" si="11"/>
        <v/>
      </c>
      <c r="T41" s="78" t="str">
        <f t="shared" si="12"/>
        <v>-- 割引点数単価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942</v>
      </c>
      <c r="D42" s="13" t="s">
        <v>943</v>
      </c>
      <c r="E42" s="7"/>
      <c r="F42" s="7" t="s">
        <v>867</v>
      </c>
      <c r="G42" s="7" t="str">
        <f t="shared" si="7"/>
        <v>text</v>
      </c>
      <c r="H42" s="58"/>
      <c r="I42" s="23"/>
      <c r="J42" s="24"/>
      <c r="N42" s="78"/>
      <c r="O42" s="78"/>
      <c r="P42" s="78" t="str">
        <f t="shared" si="8"/>
        <v>,reserve1</v>
      </c>
      <c r="Q42" s="78" t="str">
        <f t="shared" si="9"/>
        <v>TEXT</v>
      </c>
      <c r="R42" s="78" t="str">
        <f t="shared" si="10"/>
        <v/>
      </c>
      <c r="S42" s="78" t="str">
        <f t="shared" si="11"/>
        <v/>
      </c>
      <c r="T42" s="78" t="str">
        <f t="shared" si="12"/>
        <v>-- 予備1</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milscm_2023_009.sny_202310_backup_merge_receiptc_re.reserve1 IS '予備1';</v>
      </c>
    </row>
    <row r="43" spans="2:45" s="25" customFormat="1">
      <c r="B43" s="21">
        <f t="shared" si="2"/>
        <v>31</v>
      </c>
      <c r="C43" s="13" t="s">
        <v>993</v>
      </c>
      <c r="D43" s="13" t="s">
        <v>994</v>
      </c>
      <c r="E43" s="7"/>
      <c r="F43" s="7" t="s">
        <v>867</v>
      </c>
      <c r="G43" s="7" t="str">
        <f t="shared" si="7"/>
        <v>text</v>
      </c>
      <c r="H43" s="58"/>
      <c r="I43" s="23"/>
      <c r="J43" s="24"/>
      <c r="N43" s="78"/>
      <c r="O43" s="78"/>
      <c r="P43" s="78" t="str">
        <f t="shared" si="8"/>
        <v>,reserve2</v>
      </c>
      <c r="Q43" s="78" t="str">
        <f t="shared" si="9"/>
        <v>TEXT</v>
      </c>
      <c r="R43" s="78" t="str">
        <f t="shared" si="10"/>
        <v/>
      </c>
      <c r="S43" s="78" t="str">
        <f t="shared" si="11"/>
        <v/>
      </c>
      <c r="T43" s="78" t="str">
        <f t="shared" si="12"/>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milscm_2023_009.sny_202310_backup_merge_receiptc_re.reserve2 IS '予備2';</v>
      </c>
    </row>
    <row r="44" spans="2:45" s="25" customFormat="1">
      <c r="B44" s="21">
        <f t="shared" si="2"/>
        <v>32</v>
      </c>
      <c r="C44" s="13" t="s">
        <v>995</v>
      </c>
      <c r="D44" s="13" t="s">
        <v>996</v>
      </c>
      <c r="E44" s="7"/>
      <c r="F44" s="7" t="s">
        <v>867</v>
      </c>
      <c r="G44" s="7" t="str">
        <f t="shared" si="7"/>
        <v>text</v>
      </c>
      <c r="H44" s="58"/>
      <c r="I44" s="23"/>
      <c r="J44" s="24"/>
      <c r="N44" s="78"/>
      <c r="O44" s="78"/>
      <c r="P44" s="78" t="str">
        <f t="shared" si="8"/>
        <v>,reserve3</v>
      </c>
      <c r="Q44" s="78" t="str">
        <f t="shared" si="9"/>
        <v>TEXT</v>
      </c>
      <c r="R44" s="78" t="str">
        <f t="shared" si="10"/>
        <v/>
      </c>
      <c r="S44" s="78" t="str">
        <f t="shared" si="11"/>
        <v/>
      </c>
      <c r="T44" s="78" t="str">
        <f t="shared" si="12"/>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milscm_2023_009.sny_202310_backup_merge_receiptc_re.reserve3 IS '予備3';</v>
      </c>
    </row>
    <row r="45" spans="2:45" s="25" customFormat="1">
      <c r="B45" s="21">
        <f t="shared" si="2"/>
        <v>33</v>
      </c>
      <c r="C45" s="13" t="s">
        <v>997</v>
      </c>
      <c r="D45" s="13" t="s">
        <v>998</v>
      </c>
      <c r="E45" s="7"/>
      <c r="F45" s="7" t="s">
        <v>867</v>
      </c>
      <c r="G45" s="7" t="str">
        <f t="shared" si="7"/>
        <v>text</v>
      </c>
      <c r="H45" s="58"/>
      <c r="I45" s="23"/>
      <c r="J45" s="24"/>
      <c r="N45" s="78"/>
      <c r="O45" s="78"/>
      <c r="P45" s="78" t="str">
        <f t="shared" si="8"/>
        <v>,kensaku_no</v>
      </c>
      <c r="Q45" s="78" t="str">
        <f t="shared" si="9"/>
        <v>TEXT</v>
      </c>
      <c r="R45" s="78" t="str">
        <f t="shared" si="10"/>
        <v/>
      </c>
      <c r="S45" s="78" t="str">
        <f t="shared" si="11"/>
        <v/>
      </c>
      <c r="T45" s="78" t="str">
        <f t="shared" si="12"/>
        <v>-- 検索番号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milscm_2023_009.sny_202310_backup_merge_receiptc_re.kensaku_no IS '検索番号';</v>
      </c>
    </row>
    <row r="46" spans="2:45" s="25" customFormat="1" ht="52.2">
      <c r="B46" s="21">
        <f t="shared" si="2"/>
        <v>34</v>
      </c>
      <c r="C46" s="13" t="s">
        <v>999</v>
      </c>
      <c r="D46" s="13" t="s">
        <v>1000</v>
      </c>
      <c r="E46" s="7"/>
      <c r="F46" s="7" t="s">
        <v>867</v>
      </c>
      <c r="G46" s="7" t="str">
        <f t="shared" si="7"/>
        <v>text</v>
      </c>
      <c r="H46" s="58"/>
      <c r="I46" s="23"/>
      <c r="J46" s="24" t="s">
        <v>951</v>
      </c>
      <c r="N46" s="78"/>
      <c r="O46" s="78"/>
      <c r="P46" s="78" t="str">
        <f t="shared" si="8"/>
        <v>,kiroku_ym</v>
      </c>
      <c r="Q46" s="78" t="str">
        <f t="shared" si="9"/>
        <v>TEXT</v>
      </c>
      <c r="R46" s="78" t="str">
        <f t="shared" si="10"/>
        <v/>
      </c>
      <c r="S46" s="78" t="str">
        <f t="shared" si="11"/>
        <v/>
      </c>
      <c r="T46" s="78" t="str">
        <f t="shared" si="12"/>
        <v>-- 記録条件仕様年月情報</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1001</v>
      </c>
      <c r="D47" s="13" t="s">
        <v>1002</v>
      </c>
      <c r="E47" s="7"/>
      <c r="F47" s="7" t="s">
        <v>867</v>
      </c>
      <c r="G47" s="7" t="str">
        <f t="shared" si="7"/>
        <v>text</v>
      </c>
      <c r="H47" s="58"/>
      <c r="I47" s="23"/>
      <c r="J47" s="24"/>
      <c r="N47" s="78"/>
      <c r="O47" s="78"/>
      <c r="P47" s="78" t="str">
        <f t="shared" si="8"/>
        <v>,seikyu_info</v>
      </c>
      <c r="Q47" s="78" t="str">
        <f t="shared" si="9"/>
        <v>TEXT</v>
      </c>
      <c r="R47" s="78" t="str">
        <f t="shared" si="10"/>
        <v/>
      </c>
      <c r="S47" s="78" t="str">
        <f t="shared" si="11"/>
        <v/>
      </c>
      <c r="T47" s="78" t="str">
        <f t="shared" si="12"/>
        <v>-- 請求情報</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milscm_2023_009.sny_202310_backup_merge_receiptc_re.seikyu_info IS '請求情報';</v>
      </c>
    </row>
    <row r="48" spans="2:45" s="25" customFormat="1">
      <c r="B48" s="21">
        <f t="shared" si="2"/>
        <v>36</v>
      </c>
      <c r="C48" s="13" t="s">
        <v>1003</v>
      </c>
      <c r="D48" s="13" t="s">
        <v>1004</v>
      </c>
      <c r="E48" s="7"/>
      <c r="F48" s="7" t="s">
        <v>867</v>
      </c>
      <c r="G48" s="7" t="str">
        <f t="shared" si="7"/>
        <v>text</v>
      </c>
      <c r="H48" s="58"/>
      <c r="I48" s="23"/>
      <c r="J48" s="24"/>
      <c r="N48" s="78"/>
      <c r="O48" s="78"/>
      <c r="P48" s="78" t="str">
        <f t="shared" si="8"/>
        <v>,department1_name</v>
      </c>
      <c r="Q48" s="78" t="str">
        <f t="shared" si="9"/>
        <v>TEXT</v>
      </c>
      <c r="R48" s="78" t="str">
        <f t="shared" si="10"/>
        <v/>
      </c>
      <c r="S48" s="78" t="str">
        <f t="shared" si="11"/>
        <v/>
      </c>
      <c r="T48" s="78" t="str">
        <f t="shared" si="12"/>
        <v>-- 診療科1診療科名</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1005</v>
      </c>
      <c r="D49" s="13" t="s">
        <v>1006</v>
      </c>
      <c r="E49" s="7"/>
      <c r="F49" s="7" t="s">
        <v>867</v>
      </c>
      <c r="G49" s="7" t="str">
        <f t="shared" si="7"/>
        <v>text</v>
      </c>
      <c r="H49" s="58"/>
      <c r="I49" s="23"/>
      <c r="J49" s="24"/>
      <c r="N49" s="78"/>
      <c r="O49" s="78"/>
      <c r="P49" s="78" t="str">
        <f t="shared" si="8"/>
        <v>,department1_jintai</v>
      </c>
      <c r="Q49" s="78" t="str">
        <f t="shared" si="9"/>
        <v>TEXT</v>
      </c>
      <c r="R49" s="78" t="str">
        <f t="shared" si="10"/>
        <v/>
      </c>
      <c r="S49" s="78" t="str">
        <f t="shared" si="11"/>
        <v/>
      </c>
      <c r="T49" s="78" t="str">
        <f t="shared" si="12"/>
        <v>-- 診療科1人体の部位等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1007</v>
      </c>
      <c r="D50" s="13" t="s">
        <v>1008</v>
      </c>
      <c r="E50" s="7"/>
      <c r="F50" s="7" t="s">
        <v>867</v>
      </c>
      <c r="G50" s="7" t="str">
        <f t="shared" si="7"/>
        <v>text</v>
      </c>
      <c r="H50" s="58"/>
      <c r="I50" s="23"/>
      <c r="J50" s="24"/>
      <c r="N50" s="78"/>
      <c r="O50" s="78"/>
      <c r="P50" s="78" t="str">
        <f t="shared" si="8"/>
        <v>,department1_sex</v>
      </c>
      <c r="Q50" s="78" t="str">
        <f t="shared" si="9"/>
        <v>TEXT</v>
      </c>
      <c r="R50" s="78" t="str">
        <f t="shared" si="10"/>
        <v/>
      </c>
      <c r="S50" s="78" t="str">
        <f t="shared" si="11"/>
        <v/>
      </c>
      <c r="T50" s="78" t="str">
        <f t="shared" si="12"/>
        <v>-- 診療科1性別等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1009</v>
      </c>
      <c r="D51" s="13" t="s">
        <v>1010</v>
      </c>
      <c r="E51" s="7"/>
      <c r="F51" s="7" t="s">
        <v>867</v>
      </c>
      <c r="G51" s="7" t="str">
        <f t="shared" si="7"/>
        <v>text</v>
      </c>
      <c r="H51" s="58"/>
      <c r="I51" s="23"/>
      <c r="J51" s="24"/>
      <c r="N51" s="78"/>
      <c r="O51" s="78"/>
      <c r="P51" s="78" t="str">
        <f t="shared" si="8"/>
        <v>,department1_igaku</v>
      </c>
      <c r="Q51" s="78" t="str">
        <f t="shared" si="9"/>
        <v>TEXT</v>
      </c>
      <c r="R51" s="78" t="str">
        <f t="shared" si="10"/>
        <v/>
      </c>
      <c r="S51" s="78" t="str">
        <f t="shared" si="11"/>
        <v/>
      </c>
      <c r="T51" s="78" t="str">
        <f t="shared" si="12"/>
        <v>-- 診療科1医学的処置</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1011</v>
      </c>
      <c r="D52" s="13" t="s">
        <v>1012</v>
      </c>
      <c r="E52" s="7"/>
      <c r="F52" s="7" t="s">
        <v>867</v>
      </c>
      <c r="G52" s="7" t="str">
        <f t="shared" si="7"/>
        <v>text</v>
      </c>
      <c r="H52" s="58"/>
      <c r="I52" s="23"/>
      <c r="J52" s="24"/>
      <c r="N52" s="78"/>
      <c r="O52" s="78"/>
      <c r="P52" s="78" t="str">
        <f t="shared" si="8"/>
        <v>,department1_shippei</v>
      </c>
      <c r="Q52" s="78" t="str">
        <f t="shared" si="9"/>
        <v>TEXT</v>
      </c>
      <c r="R52" s="78" t="str">
        <f t="shared" si="10"/>
        <v/>
      </c>
      <c r="S52" s="78" t="str">
        <f t="shared" si="11"/>
        <v/>
      </c>
      <c r="T52" s="78" t="str">
        <f t="shared" si="12"/>
        <v>-- 診療科1特定疾病</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1013</v>
      </c>
      <c r="D53" s="13" t="s">
        <v>1014</v>
      </c>
      <c r="E53" s="7"/>
      <c r="F53" s="7" t="s">
        <v>867</v>
      </c>
      <c r="G53" s="7" t="str">
        <f t="shared" si="7"/>
        <v>text</v>
      </c>
      <c r="H53" s="58"/>
      <c r="I53" s="23"/>
      <c r="J53" s="24"/>
      <c r="N53" s="78"/>
      <c r="O53" s="78"/>
      <c r="P53" s="78" t="str">
        <f t="shared" si="8"/>
        <v>,department2_name</v>
      </c>
      <c r="Q53" s="78" t="str">
        <f t="shared" si="9"/>
        <v>TEXT</v>
      </c>
      <c r="R53" s="78" t="str">
        <f t="shared" si="10"/>
        <v/>
      </c>
      <c r="S53" s="78" t="str">
        <f t="shared" si="11"/>
        <v/>
      </c>
      <c r="T53" s="78" t="str">
        <f t="shared" si="12"/>
        <v>-- 診療科2診療科名</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1015</v>
      </c>
      <c r="D54" s="13" t="s">
        <v>1016</v>
      </c>
      <c r="E54" s="7"/>
      <c r="F54" s="7" t="s">
        <v>867</v>
      </c>
      <c r="G54" s="7" t="str">
        <f t="shared" si="7"/>
        <v>text</v>
      </c>
      <c r="H54" s="58"/>
      <c r="I54" s="23"/>
      <c r="J54" s="24"/>
      <c r="N54" s="78"/>
      <c r="O54" s="78"/>
      <c r="P54" s="78" t="str">
        <f t="shared" si="8"/>
        <v>,department2_jintai</v>
      </c>
      <c r="Q54" s="78" t="str">
        <f t="shared" si="9"/>
        <v>TEXT</v>
      </c>
      <c r="R54" s="78" t="str">
        <f t="shared" si="10"/>
        <v/>
      </c>
      <c r="S54" s="78" t="str">
        <f t="shared" si="11"/>
        <v/>
      </c>
      <c r="T54" s="78" t="str">
        <f t="shared" si="12"/>
        <v>-- 診療科2人体の部位等</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1017</v>
      </c>
      <c r="D55" s="13" t="s">
        <v>1018</v>
      </c>
      <c r="E55" s="7"/>
      <c r="F55" s="7" t="s">
        <v>867</v>
      </c>
      <c r="G55" s="7" t="str">
        <f t="shared" si="7"/>
        <v>text</v>
      </c>
      <c r="H55" s="58"/>
      <c r="I55" s="23"/>
      <c r="J55" s="24"/>
      <c r="N55" s="78"/>
      <c r="O55" s="78"/>
      <c r="P55" s="78" t="str">
        <f t="shared" si="8"/>
        <v>,department2_sex</v>
      </c>
      <c r="Q55" s="78" t="str">
        <f t="shared" si="9"/>
        <v>TEXT</v>
      </c>
      <c r="R55" s="78" t="str">
        <f t="shared" si="10"/>
        <v/>
      </c>
      <c r="S55" s="78" t="str">
        <f t="shared" si="11"/>
        <v/>
      </c>
      <c r="T55" s="78" t="str">
        <f t="shared" si="12"/>
        <v>-- 診療科2性別等</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1019</v>
      </c>
      <c r="D56" s="13" t="s">
        <v>1020</v>
      </c>
      <c r="E56" s="7"/>
      <c r="F56" s="7" t="s">
        <v>867</v>
      </c>
      <c r="G56" s="7" t="str">
        <f t="shared" si="7"/>
        <v>text</v>
      </c>
      <c r="H56" s="58"/>
      <c r="I56" s="23"/>
      <c r="J56" s="24"/>
      <c r="N56" s="78"/>
      <c r="O56" s="78"/>
      <c r="P56" s="78" t="str">
        <f t="shared" si="8"/>
        <v>,department2_igaku</v>
      </c>
      <c r="Q56" s="78" t="str">
        <f t="shared" si="9"/>
        <v>TEXT</v>
      </c>
      <c r="R56" s="78" t="str">
        <f t="shared" si="10"/>
        <v/>
      </c>
      <c r="S56" s="78" t="str">
        <f t="shared" si="11"/>
        <v/>
      </c>
      <c r="T56" s="78" t="str">
        <f t="shared" si="12"/>
        <v>-- 診療科2医学的処置</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1021</v>
      </c>
      <c r="D57" s="13" t="s">
        <v>1022</v>
      </c>
      <c r="E57" s="7"/>
      <c r="F57" s="7" t="s">
        <v>867</v>
      </c>
      <c r="G57" s="7" t="str">
        <f t="shared" si="7"/>
        <v>text</v>
      </c>
      <c r="H57" s="58"/>
      <c r="I57" s="23"/>
      <c r="J57" s="24"/>
      <c r="N57" s="78"/>
      <c r="O57" s="78"/>
      <c r="P57" s="78" t="str">
        <f t="shared" si="8"/>
        <v>,department2_shippei</v>
      </c>
      <c r="Q57" s="78" t="str">
        <f t="shared" si="9"/>
        <v>TEXT</v>
      </c>
      <c r="R57" s="78" t="str">
        <f t="shared" si="10"/>
        <v/>
      </c>
      <c r="S57" s="78" t="str">
        <f t="shared" si="11"/>
        <v/>
      </c>
      <c r="T57" s="78" t="str">
        <f t="shared" si="12"/>
        <v>-- 診療科2特定疾病</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1023</v>
      </c>
      <c r="D58" s="13" t="s">
        <v>1024</v>
      </c>
      <c r="E58" s="7"/>
      <c r="F58" s="7" t="s">
        <v>867</v>
      </c>
      <c r="G58" s="7" t="str">
        <f t="shared" si="7"/>
        <v>text</v>
      </c>
      <c r="H58" s="58"/>
      <c r="I58" s="23"/>
      <c r="J58" s="24"/>
      <c r="N58" s="78"/>
      <c r="O58" s="78"/>
      <c r="P58" s="78" t="str">
        <f t="shared" si="8"/>
        <v>,department3_name</v>
      </c>
      <c r="Q58" s="78" t="str">
        <f t="shared" si="9"/>
        <v>TEXT</v>
      </c>
      <c r="R58" s="78" t="str">
        <f t="shared" si="10"/>
        <v/>
      </c>
      <c r="S58" s="78" t="str">
        <f t="shared" si="11"/>
        <v/>
      </c>
      <c r="T58" s="78" t="str">
        <f t="shared" si="12"/>
        <v>-- 診療科3診療科名</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1025</v>
      </c>
      <c r="D59" s="13" t="s">
        <v>1026</v>
      </c>
      <c r="E59" s="7"/>
      <c r="F59" s="7" t="s">
        <v>867</v>
      </c>
      <c r="G59" s="7" t="str">
        <f t="shared" si="7"/>
        <v>text</v>
      </c>
      <c r="H59" s="58"/>
      <c r="I59" s="23"/>
      <c r="J59" s="24"/>
      <c r="N59" s="78"/>
      <c r="O59" s="78"/>
      <c r="P59" s="78" t="str">
        <f t="shared" si="8"/>
        <v>,department3_jintai</v>
      </c>
      <c r="Q59" s="78" t="str">
        <f t="shared" si="9"/>
        <v>TEXT</v>
      </c>
      <c r="R59" s="78" t="str">
        <f t="shared" si="10"/>
        <v/>
      </c>
      <c r="S59" s="78" t="str">
        <f t="shared" si="11"/>
        <v/>
      </c>
      <c r="T59" s="78" t="str">
        <f t="shared" si="12"/>
        <v>-- 診療科3人体の部位等</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1027</v>
      </c>
      <c r="D60" s="13" t="s">
        <v>1028</v>
      </c>
      <c r="E60" s="7"/>
      <c r="F60" s="7" t="s">
        <v>867</v>
      </c>
      <c r="G60" s="7" t="str">
        <f t="shared" si="7"/>
        <v>text</v>
      </c>
      <c r="H60" s="58"/>
      <c r="I60" s="23"/>
      <c r="J60" s="24"/>
      <c r="N60" s="78"/>
      <c r="O60" s="78"/>
      <c r="P60" s="78" t="str">
        <f t="shared" si="8"/>
        <v>,department3_sex</v>
      </c>
      <c r="Q60" s="78" t="str">
        <f t="shared" si="9"/>
        <v>TEXT</v>
      </c>
      <c r="R60" s="78" t="str">
        <f t="shared" si="10"/>
        <v/>
      </c>
      <c r="S60" s="78" t="str">
        <f t="shared" si="11"/>
        <v/>
      </c>
      <c r="T60" s="78" t="str">
        <f t="shared" si="12"/>
        <v>-- 診療科3性別等</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1029</v>
      </c>
      <c r="D61" s="13" t="s">
        <v>1030</v>
      </c>
      <c r="E61" s="7"/>
      <c r="F61" s="7" t="s">
        <v>867</v>
      </c>
      <c r="G61" s="7" t="str">
        <f t="shared" si="7"/>
        <v>text</v>
      </c>
      <c r="H61" s="58"/>
      <c r="I61" s="23"/>
      <c r="J61" s="24"/>
      <c r="N61" s="78"/>
      <c r="O61" s="78"/>
      <c r="P61" s="78" t="str">
        <f t="shared" si="8"/>
        <v>,department3_igaku</v>
      </c>
      <c r="Q61" s="78" t="str">
        <f t="shared" si="9"/>
        <v>TEXT</v>
      </c>
      <c r="R61" s="78" t="str">
        <f t="shared" si="10"/>
        <v/>
      </c>
      <c r="S61" s="78" t="str">
        <f t="shared" si="11"/>
        <v/>
      </c>
      <c r="T61" s="78" t="str">
        <f t="shared" si="12"/>
        <v>-- 診療科3医学的処置</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1031</v>
      </c>
      <c r="D62" s="13" t="s">
        <v>1032</v>
      </c>
      <c r="E62" s="7"/>
      <c r="F62" s="7" t="s">
        <v>867</v>
      </c>
      <c r="G62" s="7" t="str">
        <f t="shared" si="7"/>
        <v>text</v>
      </c>
      <c r="H62" s="58"/>
      <c r="I62" s="23"/>
      <c r="J62" s="24"/>
      <c r="N62" s="78"/>
      <c r="O62" s="78"/>
      <c r="P62" s="78" t="str">
        <f t="shared" si="8"/>
        <v>,department3_shippei</v>
      </c>
      <c r="Q62" s="78" t="str">
        <f t="shared" si="9"/>
        <v>TEXT</v>
      </c>
      <c r="R62" s="78" t="str">
        <f t="shared" si="10"/>
        <v/>
      </c>
      <c r="S62" s="78" t="str">
        <f t="shared" si="11"/>
        <v/>
      </c>
      <c r="T62" s="78" t="str">
        <f t="shared" si="12"/>
        <v>-- 診療科3特定疾病</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1033</v>
      </c>
      <c r="D63" s="13" t="s">
        <v>1034</v>
      </c>
      <c r="E63" s="7"/>
      <c r="F63" s="7" t="s">
        <v>867</v>
      </c>
      <c r="G63" s="7" t="str">
        <f t="shared" si="7"/>
        <v>text</v>
      </c>
      <c r="H63" s="58"/>
      <c r="I63" s="23"/>
      <c r="J63" s="24" t="s">
        <v>1083</v>
      </c>
      <c r="N63" s="78"/>
      <c r="O63" s="78"/>
      <c r="P63" s="78" t="str">
        <f t="shared" si="8"/>
        <v>,kana_name</v>
      </c>
      <c r="Q63" s="78" t="str">
        <f t="shared" si="9"/>
        <v>TEXT</v>
      </c>
      <c r="R63" s="78" t="str">
        <f t="shared" si="10"/>
        <v/>
      </c>
      <c r="S63" s="78" t="str">
        <f t="shared" si="11"/>
        <v/>
      </c>
      <c r="T63" s="78" t="str">
        <f t="shared" si="12"/>
        <v>-- カタカナ（氏名）</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1035</v>
      </c>
      <c r="D64" s="13" t="s">
        <v>1036</v>
      </c>
      <c r="E64" s="7"/>
      <c r="F64" s="7" t="s">
        <v>867</v>
      </c>
      <c r="G64" s="7" t="str">
        <f t="shared" si="7"/>
        <v>text</v>
      </c>
      <c r="H64" s="58"/>
      <c r="I64" s="23"/>
      <c r="J64" s="24" t="s">
        <v>1089</v>
      </c>
      <c r="N64" s="78"/>
      <c r="O64" s="78"/>
      <c r="P64" s="78" t="str">
        <f t="shared" si="8"/>
        <v>,patient_state1</v>
      </c>
      <c r="Q64" s="78" t="str">
        <f t="shared" si="9"/>
        <v>TEXT</v>
      </c>
      <c r="R64" s="78" t="str">
        <f t="shared" si="10"/>
        <v/>
      </c>
      <c r="S64" s="78" t="str">
        <f t="shared" si="11"/>
        <v/>
      </c>
      <c r="T64" s="78" t="str">
        <f t="shared" si="12"/>
        <v>-- 患者の状態1</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1037</v>
      </c>
      <c r="D65" s="13" t="s">
        <v>1038</v>
      </c>
      <c r="E65" s="7"/>
      <c r="F65" s="7" t="s">
        <v>867</v>
      </c>
      <c r="G65" s="7" t="str">
        <f t="shared" si="7"/>
        <v>text</v>
      </c>
      <c r="H65" s="58"/>
      <c r="I65" s="23"/>
      <c r="J65" s="24"/>
      <c r="N65" s="78"/>
      <c r="O65" s="78"/>
      <c r="P65" s="78" t="str">
        <f t="shared" si="8"/>
        <v>,patient_state2</v>
      </c>
      <c r="Q65" s="78" t="str">
        <f t="shared" si="9"/>
        <v>TEXT</v>
      </c>
      <c r="R65" s="78" t="str">
        <f t="shared" si="10"/>
        <v/>
      </c>
      <c r="S65" s="78" t="str">
        <f t="shared" si="11"/>
        <v/>
      </c>
      <c r="T65" s="78" t="str">
        <f t="shared" si="12"/>
        <v>-- 患者の状態2</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1039</v>
      </c>
      <c r="D66" s="13" t="s">
        <v>1040</v>
      </c>
      <c r="E66" s="7"/>
      <c r="F66" s="7" t="s">
        <v>867</v>
      </c>
      <c r="G66" s="7" t="str">
        <f t="shared" si="7"/>
        <v>text</v>
      </c>
      <c r="H66" s="58"/>
      <c r="I66" s="23"/>
      <c r="J66" s="24"/>
      <c r="N66" s="78"/>
      <c r="O66" s="78"/>
      <c r="P66" s="78" t="str">
        <f t="shared" si="8"/>
        <v>,patient_state3</v>
      </c>
      <c r="Q66" s="78" t="str">
        <f t="shared" si="9"/>
        <v>TEXT</v>
      </c>
      <c r="R66" s="78" t="str">
        <f t="shared" si="10"/>
        <v/>
      </c>
      <c r="S66" s="78" t="str">
        <f t="shared" si="11"/>
        <v/>
      </c>
      <c r="T66" s="78" t="str">
        <f t="shared" si="12"/>
        <v>-- 患者の状態3</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1041</v>
      </c>
      <c r="D67" s="13" t="s">
        <v>1042</v>
      </c>
      <c r="E67" s="7"/>
      <c r="F67" s="7" t="s">
        <v>867</v>
      </c>
      <c r="G67" s="7" t="str">
        <f t="shared" si="7"/>
        <v>text</v>
      </c>
      <c r="H67" s="58"/>
      <c r="I67" s="23"/>
      <c r="J67" s="24"/>
      <c r="N67" s="78"/>
      <c r="O67" s="78"/>
      <c r="P67" s="78" t="str">
        <f t="shared" si="8"/>
        <v>,patient_state4</v>
      </c>
      <c r="Q67" s="78" t="str">
        <f t="shared" si="9"/>
        <v>TEXT</v>
      </c>
      <c r="R67" s="78" t="str">
        <f t="shared" si="10"/>
        <v/>
      </c>
      <c r="S67" s="78" t="str">
        <f t="shared" si="11"/>
        <v/>
      </c>
      <c r="T67" s="78" t="str">
        <f t="shared" si="12"/>
        <v>-- 患者の状態4</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1043</v>
      </c>
      <c r="D68" s="13" t="s">
        <v>1044</v>
      </c>
      <c r="E68" s="7"/>
      <c r="F68" s="7" t="s">
        <v>867</v>
      </c>
      <c r="G68" s="7" t="str">
        <f t="shared" si="7"/>
        <v>text</v>
      </c>
      <c r="H68" s="58"/>
      <c r="I68" s="23"/>
      <c r="J68" s="24"/>
      <c r="N68" s="78"/>
      <c r="O68" s="78"/>
      <c r="P68" s="78" t="str">
        <f t="shared" si="8"/>
        <v>,patient_state5</v>
      </c>
      <c r="Q68" s="78" t="str">
        <f t="shared" si="9"/>
        <v>TEXT</v>
      </c>
      <c r="R68" s="78" t="str">
        <f t="shared" si="10"/>
        <v/>
      </c>
      <c r="S68" s="78" t="str">
        <f t="shared" si="11"/>
        <v/>
      </c>
      <c r="T68" s="78" t="str">
        <f t="shared" si="12"/>
        <v>-- 患者の状態5</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1045</v>
      </c>
      <c r="D69" s="13" t="s">
        <v>1046</v>
      </c>
      <c r="E69" s="7"/>
      <c r="F69" s="7" t="s">
        <v>867</v>
      </c>
      <c r="G69" s="7" t="str">
        <f t="shared" si="7"/>
        <v>text</v>
      </c>
      <c r="H69" s="58"/>
      <c r="I69" s="23"/>
      <c r="J69" s="24"/>
      <c r="N69" s="78"/>
      <c r="O69" s="78"/>
      <c r="P69" s="78" t="str">
        <f t="shared" si="8"/>
        <v>,patient_state6</v>
      </c>
      <c r="Q69" s="78" t="str">
        <f t="shared" si="9"/>
        <v>TEXT</v>
      </c>
      <c r="R69" s="78" t="str">
        <f t="shared" si="10"/>
        <v/>
      </c>
      <c r="S69" s="78" t="str">
        <f t="shared" si="11"/>
        <v/>
      </c>
      <c r="T69" s="78" t="str">
        <f t="shared" si="12"/>
        <v>-- 患者の状態6</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1047</v>
      </c>
      <c r="D70" s="13" t="s">
        <v>1048</v>
      </c>
      <c r="E70" s="7"/>
      <c r="F70" s="7" t="s">
        <v>867</v>
      </c>
      <c r="G70" s="7" t="str">
        <f t="shared" si="7"/>
        <v>text</v>
      </c>
      <c r="H70" s="58"/>
      <c r="I70" s="23"/>
      <c r="J70" s="24"/>
      <c r="N70" s="78"/>
      <c r="O70" s="78"/>
      <c r="P70" s="78" t="str">
        <f t="shared" si="8"/>
        <v>,patient_state7</v>
      </c>
      <c r="Q70" s="78" t="str">
        <f t="shared" si="9"/>
        <v>TEXT</v>
      </c>
      <c r="R70" s="78" t="str">
        <f t="shared" si="10"/>
        <v/>
      </c>
      <c r="S70" s="78" t="str">
        <f t="shared" si="11"/>
        <v/>
      </c>
      <c r="T70" s="78" t="str">
        <f t="shared" si="12"/>
        <v>-- 患者の状態7</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1049</v>
      </c>
      <c r="D71" s="13" t="s">
        <v>1050</v>
      </c>
      <c r="E71" s="7"/>
      <c r="F71" s="7" t="s">
        <v>867</v>
      </c>
      <c r="G71" s="7" t="str">
        <f t="shared" si="7"/>
        <v>text</v>
      </c>
      <c r="H71" s="58"/>
      <c r="I71" s="23"/>
      <c r="J71" s="24"/>
      <c r="N71" s="78"/>
      <c r="O71" s="78"/>
      <c r="P71" s="78" t="str">
        <f t="shared" si="8"/>
        <v>,patient_state8</v>
      </c>
      <c r="Q71" s="78" t="str">
        <f t="shared" si="9"/>
        <v>TEXT</v>
      </c>
      <c r="R71" s="78" t="str">
        <f t="shared" si="10"/>
        <v/>
      </c>
      <c r="S71" s="78" t="str">
        <f t="shared" si="11"/>
        <v/>
      </c>
      <c r="T71" s="78" t="str">
        <f t="shared" si="12"/>
        <v>-- 患者の状態8</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1051</v>
      </c>
      <c r="D72" s="13" t="s">
        <v>1052</v>
      </c>
      <c r="E72" s="7"/>
      <c r="F72" s="7" t="s">
        <v>867</v>
      </c>
      <c r="G72" s="7" t="str">
        <f t="shared" si="7"/>
        <v>text</v>
      </c>
      <c r="H72" s="58"/>
      <c r="I72" s="23"/>
      <c r="J72" s="24"/>
      <c r="N72" s="78"/>
      <c r="O72" s="78"/>
      <c r="P72" s="78" t="str">
        <f t="shared" si="8"/>
        <v>,patient_state9</v>
      </c>
      <c r="Q72" s="78" t="str">
        <f t="shared" si="9"/>
        <v>TEXT</v>
      </c>
      <c r="R72" s="78" t="str">
        <f t="shared" si="10"/>
        <v/>
      </c>
      <c r="S72" s="78" t="str">
        <f t="shared" si="11"/>
        <v/>
      </c>
      <c r="T72" s="78" t="str">
        <f t="shared" si="12"/>
        <v>-- 患者の状態9</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1053</v>
      </c>
      <c r="D73" s="13" t="s">
        <v>1054</v>
      </c>
      <c r="E73" s="7"/>
      <c r="F73" s="7" t="s">
        <v>867</v>
      </c>
      <c r="G73" s="7" t="str">
        <f t="shared" si="7"/>
        <v>text</v>
      </c>
      <c r="H73" s="58"/>
      <c r="I73" s="23"/>
      <c r="J73" s="24"/>
      <c r="N73" s="78"/>
      <c r="O73" s="78"/>
      <c r="P73" s="78" t="str">
        <f t="shared" si="8"/>
        <v>,patient_state10</v>
      </c>
      <c r="Q73" s="78" t="str">
        <f t="shared" si="9"/>
        <v>TEXT</v>
      </c>
      <c r="R73" s="78" t="str">
        <f t="shared" si="10"/>
        <v/>
      </c>
      <c r="S73" s="78" t="str">
        <f t="shared" si="11"/>
        <v/>
      </c>
      <c r="T73" s="78" t="str">
        <f t="shared" si="12"/>
        <v>-- 患者の状態10</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1055</v>
      </c>
      <c r="D74" s="13" t="s">
        <v>1056</v>
      </c>
      <c r="E74" s="7"/>
      <c r="F74" s="7" t="s">
        <v>867</v>
      </c>
      <c r="G74" s="7" t="str">
        <f t="shared" si="7"/>
        <v>text</v>
      </c>
      <c r="H74" s="58"/>
      <c r="I74" s="23"/>
      <c r="J74" s="24"/>
      <c r="N74" s="78"/>
      <c r="O74" s="78"/>
      <c r="P74" s="78" t="str">
        <f t="shared" si="8"/>
        <v>,patient_state11</v>
      </c>
      <c r="Q74" s="78" t="str">
        <f t="shared" si="9"/>
        <v>TEXT</v>
      </c>
      <c r="R74" s="78" t="str">
        <f t="shared" si="10"/>
        <v/>
      </c>
      <c r="S74" s="78" t="str">
        <f t="shared" si="11"/>
        <v/>
      </c>
      <c r="T74" s="78" t="str">
        <f t="shared" si="12"/>
        <v>-- 患者の状態11</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1057</v>
      </c>
      <c r="D75" s="13" t="s">
        <v>1058</v>
      </c>
      <c r="E75" s="7"/>
      <c r="F75" s="7" t="s">
        <v>867</v>
      </c>
      <c r="G75" s="7" t="str">
        <f t="shared" si="7"/>
        <v>text</v>
      </c>
      <c r="H75" s="58"/>
      <c r="I75" s="23"/>
      <c r="J75" s="24"/>
      <c r="N75" s="78"/>
      <c r="O75" s="78"/>
      <c r="P75" s="78" t="str">
        <f t="shared" si="8"/>
        <v>,patient_state12</v>
      </c>
      <c r="Q75" s="78" t="str">
        <f t="shared" si="9"/>
        <v>TEXT</v>
      </c>
      <c r="R75" s="78" t="str">
        <f t="shared" si="10"/>
        <v/>
      </c>
      <c r="S75" s="78" t="str">
        <f t="shared" si="11"/>
        <v/>
      </c>
      <c r="T75" s="78" t="str">
        <f t="shared" si="12"/>
        <v>-- 患者の状態12</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1059</v>
      </c>
      <c r="D76" s="13" t="s">
        <v>1060</v>
      </c>
      <c r="E76" s="7"/>
      <c r="F76" s="7" t="s">
        <v>867</v>
      </c>
      <c r="G76" s="7" t="str">
        <f t="shared" si="7"/>
        <v>text</v>
      </c>
      <c r="H76" s="58"/>
      <c r="I76" s="23"/>
      <c r="J76" s="24"/>
      <c r="N76" s="78"/>
      <c r="O76" s="78"/>
      <c r="P76" s="78" t="str">
        <f t="shared" si="8"/>
        <v>,patient_state13</v>
      </c>
      <c r="Q76" s="78" t="str">
        <f t="shared" si="9"/>
        <v>TEXT</v>
      </c>
      <c r="R76" s="78" t="str">
        <f t="shared" si="10"/>
        <v/>
      </c>
      <c r="S76" s="78" t="str">
        <f t="shared" si="11"/>
        <v/>
      </c>
      <c r="T76" s="78" t="str">
        <f t="shared" si="12"/>
        <v>-- 患者の状態13</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1061</v>
      </c>
      <c r="D77" s="13" t="s">
        <v>1062</v>
      </c>
      <c r="E77" s="7"/>
      <c r="F77" s="7" t="s">
        <v>867</v>
      </c>
      <c r="G77" s="7" t="str">
        <f t="shared" si="7"/>
        <v>text</v>
      </c>
      <c r="H77" s="58"/>
      <c r="I77" s="23"/>
      <c r="J77" s="24"/>
      <c r="N77" s="78"/>
      <c r="O77" s="78"/>
      <c r="P77" s="78" t="str">
        <f t="shared" si="8"/>
        <v>,patient_state14</v>
      </c>
      <c r="Q77" s="78" t="str">
        <f t="shared" si="9"/>
        <v>TEXT</v>
      </c>
      <c r="R77" s="78" t="str">
        <f t="shared" si="10"/>
        <v/>
      </c>
      <c r="S77" s="78" t="str">
        <f t="shared" si="11"/>
        <v/>
      </c>
      <c r="T77" s="78" t="str">
        <f t="shared" si="12"/>
        <v>-- 患者の状態14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1063</v>
      </c>
      <c r="D78" s="13" t="s">
        <v>1064</v>
      </c>
      <c r="E78" s="7"/>
      <c r="F78" s="7" t="s">
        <v>867</v>
      </c>
      <c r="G78" s="7" t="str">
        <f t="shared" si="7"/>
        <v>text</v>
      </c>
      <c r="H78" s="58"/>
      <c r="I78" s="23"/>
      <c r="J78" s="24"/>
      <c r="N78" s="78"/>
      <c r="O78" s="78"/>
      <c r="P78" s="78" t="str">
        <f t="shared" si="8"/>
        <v>,patient_state15</v>
      </c>
      <c r="Q78" s="78" t="str">
        <f t="shared" si="9"/>
        <v>TEXT</v>
      </c>
      <c r="R78" s="78" t="str">
        <f t="shared" si="10"/>
        <v/>
      </c>
      <c r="S78" s="78" t="str">
        <f t="shared" si="11"/>
        <v/>
      </c>
      <c r="T78" s="78" t="str">
        <f t="shared" si="12"/>
        <v>-- 患者の状態15</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1065</v>
      </c>
      <c r="D79" s="13" t="s">
        <v>1066</v>
      </c>
      <c r="E79" s="7"/>
      <c r="F79" s="7" t="s">
        <v>867</v>
      </c>
      <c r="G79" s="7" t="str">
        <f t="shared" si="7"/>
        <v>text</v>
      </c>
      <c r="H79" s="58"/>
      <c r="I79" s="23"/>
      <c r="J79" s="24"/>
      <c r="N79" s="78"/>
      <c r="O79" s="78"/>
      <c r="P79" s="78" t="str">
        <f t="shared" si="8"/>
        <v>,patient_state16</v>
      </c>
      <c r="Q79" s="78" t="str">
        <f t="shared" si="9"/>
        <v>TEXT</v>
      </c>
      <c r="R79" s="78" t="str">
        <f t="shared" si="10"/>
        <v/>
      </c>
      <c r="S79" s="78" t="str">
        <f t="shared" si="11"/>
        <v/>
      </c>
      <c r="T79" s="78" t="str">
        <f t="shared" si="12"/>
        <v>-- 患者の状態16</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1067</v>
      </c>
      <c r="D80" s="13" t="s">
        <v>1068</v>
      </c>
      <c r="E80" s="7"/>
      <c r="F80" s="7" t="s">
        <v>867</v>
      </c>
      <c r="G80" s="7" t="str">
        <f t="shared" si="7"/>
        <v>text</v>
      </c>
      <c r="H80" s="58"/>
      <c r="I80" s="23"/>
      <c r="J80" s="24"/>
      <c r="N80" s="78"/>
      <c r="O80" s="78"/>
      <c r="P80" s="78" t="str">
        <f t="shared" si="8"/>
        <v>,patient_state17</v>
      </c>
      <c r="Q80" s="78" t="str">
        <f t="shared" si="9"/>
        <v>TEXT</v>
      </c>
      <c r="R80" s="78" t="str">
        <f t="shared" si="10"/>
        <v/>
      </c>
      <c r="S80" s="78" t="str">
        <f t="shared" si="11"/>
        <v/>
      </c>
      <c r="T80" s="78" t="str">
        <f t="shared" si="12"/>
        <v>-- 患者の状態17</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1069</v>
      </c>
      <c r="D81" s="13" t="s">
        <v>1070</v>
      </c>
      <c r="E81" s="7"/>
      <c r="F81" s="7" t="s">
        <v>867</v>
      </c>
      <c r="G81" s="7" t="str">
        <f t="shared" ref="G81:G82" si="13">IF(F81="フラグ","boolean",IF(F81="文字列","text",IF(F81="整数","integer",IF(F81="実数","numeric",""))))</f>
        <v>text</v>
      </c>
      <c r="H81" s="58"/>
      <c r="I81" s="23"/>
      <c r="J81" s="24"/>
      <c r="N81" s="78"/>
      <c r="O81" s="78"/>
      <c r="P81" s="78" t="str">
        <f t="shared" ref="P81:P82" si="14">IF(B81&lt;&gt;1,","&amp;D81,D81)</f>
        <v>,patient_state18</v>
      </c>
      <c r="Q81" s="78" t="str">
        <f t="shared" ref="Q81:Q82" si="15">UPPER(G81)</f>
        <v>TEXT</v>
      </c>
      <c r="R81" s="78" t="str">
        <f t="shared" ref="R81:R82" si="16">IF(H81&lt;&gt;"","default "&amp;IF(G81="text","'"&amp;H81&amp;"'",H81),"")</f>
        <v/>
      </c>
      <c r="S81" s="78" t="str">
        <f t="shared" ref="S81:S82" si="17">IF(I81="○","NOT NULL","")</f>
        <v/>
      </c>
      <c r="T81" s="78" t="str">
        <f t="shared" ref="T81:T82" si="18">"-- "&amp;C81</f>
        <v>-- 患者の状態18</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1071</v>
      </c>
      <c r="D82" s="13" t="s">
        <v>1072</v>
      </c>
      <c r="E82" s="7"/>
      <c r="F82" s="7" t="s">
        <v>867</v>
      </c>
      <c r="G82" s="7" t="str">
        <f t="shared" si="13"/>
        <v>text</v>
      </c>
      <c r="H82" s="58"/>
      <c r="I82" s="23"/>
      <c r="J82" s="24"/>
      <c r="N82" s="78"/>
      <c r="O82" s="78"/>
      <c r="P82" s="78" t="str">
        <f t="shared" si="14"/>
        <v>,patient_state19</v>
      </c>
      <c r="Q82" s="78" t="str">
        <f t="shared" si="15"/>
        <v>TEXT</v>
      </c>
      <c r="R82" s="78" t="str">
        <f t="shared" si="16"/>
        <v/>
      </c>
      <c r="S82" s="78" t="str">
        <f t="shared" si="17"/>
        <v/>
      </c>
      <c r="T82" s="78" t="str">
        <f t="shared" si="18"/>
        <v>-- 患者の状態19</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milscm_2023_009.sny_202310_backup_merge_receiptc_re.patient_state19 IS '患者の状態19';</v>
      </c>
    </row>
    <row r="83" spans="1:52" s="25" customFormat="1" ht="18" thickBot="1">
      <c r="A83" s="4"/>
      <c r="B83" s="27">
        <f>ROW()-12</f>
        <v>71</v>
      </c>
      <c r="C83" s="57" t="s">
        <v>1073</v>
      </c>
      <c r="D83" s="57" t="s">
        <v>1074</v>
      </c>
      <c r="E83" s="56"/>
      <c r="F83" s="56" t="s">
        <v>867</v>
      </c>
      <c r="G83" s="56" t="str">
        <f t="shared" si="3"/>
        <v>text</v>
      </c>
      <c r="H83" s="59"/>
      <c r="I83" s="60"/>
      <c r="J83" s="64"/>
      <c r="N83" s="78"/>
      <c r="O83" s="78"/>
      <c r="P83" s="78" t="str">
        <f t="shared" si="4"/>
        <v>,patient_state20</v>
      </c>
      <c r="Q83" s="78" t="str">
        <f t="shared" si="0"/>
        <v>TEXT</v>
      </c>
      <c r="R83" s="78" t="str">
        <f t="shared" si="1"/>
        <v/>
      </c>
      <c r="S83" s="78" t="str">
        <f t="shared" si="5"/>
        <v/>
      </c>
      <c r="T83" s="78" t="str">
        <f t="shared" si="6"/>
        <v>-- 患者の状態20</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milscm_2023_009.sny_202310_backup_merge_receiptc_re.patient_state20 IS '患者の状態20';</v>
      </c>
    </row>
    <row r="84" spans="1:52">
      <c r="L84" s="25"/>
      <c r="M84" s="25"/>
      <c r="N84" s="78" t="s">
        <v>142</v>
      </c>
      <c r="O84" s="78"/>
      <c r="P84" s="78"/>
      <c r="Q84" s="78"/>
      <c r="R84" s="78"/>
      <c r="S84" s="78"/>
      <c r="T84" s="78"/>
      <c r="V84" s="25"/>
      <c r="W84" s="25"/>
      <c r="X84" s="25"/>
      <c r="Y84" s="25"/>
      <c r="Z84" s="25"/>
      <c r="AJ84" s="78"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ENT_01_C2-06</v>
      </c>
      <c r="E6" s="251"/>
      <c r="F6" s="251"/>
      <c r="G6" s="251"/>
      <c r="H6" s="251"/>
      <c r="I6" s="251"/>
      <c r="J6" s="252"/>
    </row>
    <row r="7" spans="1:45">
      <c r="B7" s="240" t="s">
        <v>115</v>
      </c>
      <c r="C7" s="241"/>
      <c r="D7" s="242" t="s">
        <v>1091</v>
      </c>
      <c r="E7" s="243"/>
      <c r="F7" s="243"/>
      <c r="G7" s="243"/>
      <c r="H7" s="243"/>
      <c r="I7" s="243"/>
      <c r="J7" s="244"/>
    </row>
    <row r="8" spans="1:45">
      <c r="B8" s="240" t="s">
        <v>116</v>
      </c>
      <c r="C8" s="241"/>
      <c r="D8" s="242" t="str">
        <f>エンティティ一覧!AE2&amp;"_"&amp;D5&amp;"_merge_receiptc_sy"</f>
        <v>sny_202310_backup_merge_receiptc_sy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milscm_2023_009.sny_202310_backup_merge_receiptc_sy;</v>
      </c>
      <c r="O10" s="78"/>
      <c r="P10" s="78"/>
      <c r="Q10" s="78"/>
      <c r="R10" s="78"/>
      <c r="S10" s="78"/>
      <c r="T10" s="78"/>
      <c r="AJ10" s="78" t="str">
        <f>"ALTER TABLE ONLY "&amp;エンティティ一覧!$O$2&amp;"."&amp;D$8</f>
        <v>ALTER TABLE ONLY milscm_2023_009.sny_202310_backup_merge_receiptc_sy</v>
      </c>
      <c r="AS10" s="78" t="str">
        <f>"ALTER TABLE "&amp;エンティティ一覧!$O$2&amp;"."&amp;D$8&amp;" OWNER TO pgmisgrp1;"</f>
        <v>ALTER TABLE milscm_2023_009.sny_202310_backup_merge_receiptc_sy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milscm_2023_009.sny_202310_backup_merge_receiptc_sy</v>
      </c>
      <c r="O11" s="78"/>
      <c r="P11" s="78"/>
      <c r="Q11" s="78"/>
      <c r="R11" s="78"/>
      <c r="S11" s="78"/>
      <c r="T11" s="78"/>
      <c r="AJ11" s="78" t="str">
        <f>"ADD CONSTRAINT "&amp;D$8&amp;"_pkey PRIMARY KEY"</f>
        <v>ADD CONSTRAINT sny_202310_backup_merge_receiptc_sy_pkey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9" si="0">UPPER(G13)</f>
        <v>TEXT</v>
      </c>
      <c r="R13" s="78" t="str">
        <f t="shared" ref="R13:R4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8"/>
      <c r="O14" s="78"/>
      <c r="P14" s="78" t="str">
        <f t="shared" ref="P14:P4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9" si="5">IF(I16="○","NOT NULL","")</f>
        <v>NOT NULL</v>
      </c>
      <c r="T16" s="78" t="str">
        <f t="shared" ref="T16:T4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928</v>
      </c>
      <c r="D20" s="13" t="s">
        <v>929</v>
      </c>
      <c r="E20" s="7"/>
      <c r="F20" s="7" t="s">
        <v>867</v>
      </c>
      <c r="G20" s="7" t="str">
        <f t="shared" si="3"/>
        <v>text</v>
      </c>
      <c r="H20" s="58" t="s">
        <v>1135</v>
      </c>
      <c r="I20" s="23" t="s">
        <v>127</v>
      </c>
      <c r="J20" s="24" t="s">
        <v>1136</v>
      </c>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milscm_2023_009.sny_202310_backup_merge_receiptc_sy.receipt_no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667</v>
      </c>
      <c r="D24" s="13" t="s">
        <v>874</v>
      </c>
      <c r="E24" s="7"/>
      <c r="F24" s="7" t="s">
        <v>867</v>
      </c>
      <c r="G24" s="7" t="str">
        <f t="shared" si="3"/>
        <v>text</v>
      </c>
      <c r="H24" s="58"/>
      <c r="I24" s="23"/>
      <c r="J24" s="24"/>
      <c r="N24" s="78"/>
      <c r="O24" s="78"/>
      <c r="P24" s="78" t="str">
        <f t="shared" si="4"/>
        <v>,shobyo_code</v>
      </c>
      <c r="Q24" s="78" t="str">
        <f t="shared" si="0"/>
        <v>TEXT</v>
      </c>
      <c r="R24" s="78" t="str">
        <f t="shared" si="1"/>
        <v/>
      </c>
      <c r="S24" s="78" t="str">
        <f t="shared" si="5"/>
        <v/>
      </c>
      <c r="T24" s="78" t="str">
        <f t="shared" si="6"/>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milscm_2023_009.sny_202310_backup_merge_receiptc_sy.shobyo_code IS '傷病名コード';</v>
      </c>
    </row>
    <row r="25" spans="2:45" s="25" customFormat="1" ht="69.599999999999994">
      <c r="B25" s="21">
        <f t="shared" si="2"/>
        <v>13</v>
      </c>
      <c r="C25" s="13" t="s">
        <v>1092</v>
      </c>
      <c r="D25" s="13" t="s">
        <v>1093</v>
      </c>
      <c r="E25" s="7"/>
      <c r="F25" s="7" t="s">
        <v>867</v>
      </c>
      <c r="G25" s="7" t="str">
        <f t="shared" si="3"/>
        <v>text</v>
      </c>
      <c r="H25" s="58"/>
      <c r="I25" s="23"/>
      <c r="J25" s="24" t="s">
        <v>1086</v>
      </c>
      <c r="N25" s="78"/>
      <c r="O25" s="78"/>
      <c r="P25" s="78" t="str">
        <f t="shared" si="4"/>
        <v>,shinryo_start_date</v>
      </c>
      <c r="Q25" s="78" t="str">
        <f t="shared" si="0"/>
        <v>TEXT</v>
      </c>
      <c r="R25" s="78" t="str">
        <f t="shared" si="1"/>
        <v/>
      </c>
      <c r="S25" s="78" t="str">
        <f t="shared" si="5"/>
        <v/>
      </c>
      <c r="T25" s="78" t="str">
        <f t="shared" si="6"/>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1094</v>
      </c>
      <c r="D26" s="13" t="s">
        <v>1095</v>
      </c>
      <c r="E26" s="7"/>
      <c r="F26" s="7" t="s">
        <v>867</v>
      </c>
      <c r="G26" s="7" t="str">
        <f t="shared" si="3"/>
        <v>text</v>
      </c>
      <c r="H26" s="58"/>
      <c r="I26" s="23"/>
      <c r="J26" s="24"/>
      <c r="N26" s="78"/>
      <c r="O26" s="78"/>
      <c r="P26" s="78" t="str">
        <f t="shared" si="4"/>
        <v>,tenki_kubun</v>
      </c>
      <c r="Q26" s="78" t="str">
        <f t="shared" si="0"/>
        <v>TEXT</v>
      </c>
      <c r="R26" s="78" t="str">
        <f t="shared" si="1"/>
        <v/>
      </c>
      <c r="S26" s="78" t="str">
        <f t="shared" si="5"/>
        <v/>
      </c>
      <c r="T26" s="78" t="str">
        <f t="shared" si="6"/>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milscm_2023_009.sny_202310_backup_merge_receiptc_sy.tenki_kubun IS '転帰区分';</v>
      </c>
    </row>
    <row r="27" spans="2:45" s="25" customFormat="1">
      <c r="B27" s="21">
        <f t="shared" si="2"/>
        <v>15</v>
      </c>
      <c r="C27" s="13" t="s">
        <v>669</v>
      </c>
      <c r="D27" s="13" t="s">
        <v>875</v>
      </c>
      <c r="E27" s="7"/>
      <c r="F27" s="7" t="s">
        <v>867</v>
      </c>
      <c r="G27" s="7" t="str">
        <f t="shared" si="3"/>
        <v>text</v>
      </c>
      <c r="H27" s="58"/>
      <c r="I27" s="23"/>
      <c r="J27" s="24" t="s">
        <v>1138</v>
      </c>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673</v>
      </c>
      <c r="D29" s="13" t="s">
        <v>877</v>
      </c>
      <c r="E29" s="7"/>
      <c r="F29" s="7" t="s">
        <v>867</v>
      </c>
      <c r="G29" s="7" t="str">
        <f t="shared" si="3"/>
        <v>text</v>
      </c>
      <c r="H29" s="58"/>
      <c r="I29" s="23"/>
      <c r="J29" s="24"/>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1096</v>
      </c>
      <c r="D31" s="13" t="s">
        <v>1097</v>
      </c>
      <c r="E31" s="7"/>
      <c r="F31" s="7" t="s">
        <v>867</v>
      </c>
      <c r="G31" s="7" t="str">
        <f t="shared" si="3"/>
        <v>text</v>
      </c>
      <c r="H31" s="58"/>
      <c r="I31" s="23"/>
      <c r="J31" s="24"/>
      <c r="N31" s="78"/>
      <c r="O31" s="78"/>
      <c r="P31" s="78" t="str">
        <f t="shared" si="4"/>
        <v>,shushoku_code5</v>
      </c>
      <c r="Q31" s="78" t="str">
        <f t="shared" si="0"/>
        <v>TEXT</v>
      </c>
      <c r="R31" s="78" t="str">
        <f t="shared" si="1"/>
        <v/>
      </c>
      <c r="S31" s="78" t="str">
        <f t="shared" si="5"/>
        <v/>
      </c>
      <c r="T31" s="78" t="str">
        <f t="shared" si="6"/>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1098</v>
      </c>
      <c r="D32" s="13" t="s">
        <v>1099</v>
      </c>
      <c r="E32" s="7"/>
      <c r="F32" s="7" t="s">
        <v>867</v>
      </c>
      <c r="G32" s="7" t="str">
        <f t="shared" si="3"/>
        <v>text</v>
      </c>
      <c r="H32" s="58"/>
      <c r="I32" s="23"/>
      <c r="J32" s="24"/>
      <c r="N32" s="78"/>
      <c r="O32" s="78"/>
      <c r="P32" s="78" t="str">
        <f t="shared" si="4"/>
        <v>,shushoku_code6</v>
      </c>
      <c r="Q32" s="78" t="str">
        <f t="shared" si="0"/>
        <v>TEXT</v>
      </c>
      <c r="R32" s="78" t="str">
        <f t="shared" si="1"/>
        <v/>
      </c>
      <c r="S32" s="78" t="str">
        <f t="shared" si="5"/>
        <v/>
      </c>
      <c r="T32" s="78" t="str">
        <f t="shared" si="6"/>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1100</v>
      </c>
      <c r="D33" s="13" t="s">
        <v>1101</v>
      </c>
      <c r="E33" s="7"/>
      <c r="F33" s="7" t="s">
        <v>867</v>
      </c>
      <c r="G33" s="7" t="str">
        <f t="shared" si="3"/>
        <v>text</v>
      </c>
      <c r="H33" s="58"/>
      <c r="I33" s="23"/>
      <c r="J33" s="24"/>
      <c r="N33" s="78"/>
      <c r="O33" s="78"/>
      <c r="P33" s="78" t="str">
        <f t="shared" si="4"/>
        <v>,shushoku_code7</v>
      </c>
      <c r="Q33" s="78" t="str">
        <f t="shared" si="0"/>
        <v>TEXT</v>
      </c>
      <c r="R33" s="78" t="str">
        <f t="shared" si="1"/>
        <v/>
      </c>
      <c r="S33" s="78" t="str">
        <f t="shared" si="5"/>
        <v/>
      </c>
      <c r="T33" s="78" t="str">
        <f t="shared" si="6"/>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1102</v>
      </c>
      <c r="D34" s="13" t="s">
        <v>1103</v>
      </c>
      <c r="E34" s="7"/>
      <c r="F34" s="7" t="s">
        <v>867</v>
      </c>
      <c r="G34" s="7" t="str">
        <f t="shared" si="3"/>
        <v>text</v>
      </c>
      <c r="H34" s="58"/>
      <c r="I34" s="23"/>
      <c r="J34" s="24"/>
      <c r="N34" s="78"/>
      <c r="O34" s="78"/>
      <c r="P34" s="78" t="str">
        <f t="shared" si="4"/>
        <v>,shushoku_code8</v>
      </c>
      <c r="Q34" s="78" t="str">
        <f t="shared" si="0"/>
        <v>TEXT</v>
      </c>
      <c r="R34" s="78" t="str">
        <f t="shared" si="1"/>
        <v/>
      </c>
      <c r="S34" s="78" t="str">
        <f t="shared" si="5"/>
        <v/>
      </c>
      <c r="T34" s="78" t="str">
        <f t="shared" si="6"/>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1104</v>
      </c>
      <c r="D35" s="13" t="s">
        <v>1105</v>
      </c>
      <c r="E35" s="7"/>
      <c r="F35" s="7" t="s">
        <v>867</v>
      </c>
      <c r="G35" s="7" t="str">
        <f t="shared" si="3"/>
        <v>text</v>
      </c>
      <c r="H35" s="58"/>
      <c r="I35" s="23"/>
      <c r="J35" s="24"/>
      <c r="N35" s="78"/>
      <c r="O35" s="78"/>
      <c r="P35" s="78" t="str">
        <f t="shared" si="4"/>
        <v>,shushoku_code9</v>
      </c>
      <c r="Q35" s="78" t="str">
        <f t="shared" si="0"/>
        <v>TEXT</v>
      </c>
      <c r="R35" s="78" t="str">
        <f t="shared" si="1"/>
        <v/>
      </c>
      <c r="S35" s="78" t="str">
        <f t="shared" si="5"/>
        <v/>
      </c>
      <c r="T35" s="78" t="str">
        <f t="shared" si="6"/>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1106</v>
      </c>
      <c r="D36" s="13" t="s">
        <v>1107</v>
      </c>
      <c r="E36" s="7"/>
      <c r="F36" s="7" t="s">
        <v>867</v>
      </c>
      <c r="G36" s="7" t="str">
        <f t="shared" si="3"/>
        <v>text</v>
      </c>
      <c r="H36" s="58"/>
      <c r="I36" s="23"/>
      <c r="J36" s="24"/>
      <c r="N36" s="78"/>
      <c r="O36" s="78"/>
      <c r="P36" s="78" t="str">
        <f t="shared" si="4"/>
        <v>,shushoku_code10</v>
      </c>
      <c r="Q36" s="78" t="str">
        <f t="shared" si="0"/>
        <v>TEXT</v>
      </c>
      <c r="R36" s="78" t="str">
        <f t="shared" si="1"/>
        <v/>
      </c>
      <c r="S36" s="78" t="str">
        <f t="shared" si="5"/>
        <v/>
      </c>
      <c r="T36" s="78" t="str">
        <f t="shared" si="6"/>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1108</v>
      </c>
      <c r="D37" s="13" t="s">
        <v>1109</v>
      </c>
      <c r="E37" s="7"/>
      <c r="F37" s="7" t="s">
        <v>867</v>
      </c>
      <c r="G37" s="7" t="str">
        <f t="shared" si="3"/>
        <v>text</v>
      </c>
      <c r="H37" s="58"/>
      <c r="I37" s="23"/>
      <c r="J37" s="24"/>
      <c r="N37" s="78"/>
      <c r="O37" s="78"/>
      <c r="P37" s="78" t="str">
        <f t="shared" si="4"/>
        <v>,shushoku_code11</v>
      </c>
      <c r="Q37" s="78" t="str">
        <f t="shared" si="0"/>
        <v>TEXT</v>
      </c>
      <c r="R37" s="78" t="str">
        <f t="shared" si="1"/>
        <v/>
      </c>
      <c r="S37" s="78" t="str">
        <f t="shared" si="5"/>
        <v/>
      </c>
      <c r="T37" s="78" t="str">
        <f t="shared" si="6"/>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1110</v>
      </c>
      <c r="D38" s="13" t="s">
        <v>1111</v>
      </c>
      <c r="E38" s="7"/>
      <c r="F38" s="7" t="s">
        <v>867</v>
      </c>
      <c r="G38" s="7" t="str">
        <f t="shared" si="3"/>
        <v>text</v>
      </c>
      <c r="H38" s="58"/>
      <c r="I38" s="23"/>
      <c r="J38" s="24"/>
      <c r="N38" s="78"/>
      <c r="O38" s="78"/>
      <c r="P38" s="78" t="str">
        <f t="shared" si="4"/>
        <v>,shushoku_code12</v>
      </c>
      <c r="Q38" s="78" t="str">
        <f t="shared" si="0"/>
        <v>TEXT</v>
      </c>
      <c r="R38" s="78" t="str">
        <f t="shared" si="1"/>
        <v/>
      </c>
      <c r="S38" s="78" t="str">
        <f t="shared" si="5"/>
        <v/>
      </c>
      <c r="T38" s="78" t="str">
        <f t="shared" si="6"/>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1112</v>
      </c>
      <c r="D39" s="13" t="s">
        <v>1113</v>
      </c>
      <c r="E39" s="7"/>
      <c r="F39" s="7" t="s">
        <v>867</v>
      </c>
      <c r="G39" s="7" t="str">
        <f t="shared" si="3"/>
        <v>text</v>
      </c>
      <c r="H39" s="58"/>
      <c r="I39" s="23"/>
      <c r="J39" s="24"/>
      <c r="N39" s="78"/>
      <c r="O39" s="78"/>
      <c r="P39" s="78" t="str">
        <f t="shared" si="4"/>
        <v>,shushoku_code13</v>
      </c>
      <c r="Q39" s="78" t="str">
        <f t="shared" si="0"/>
        <v>TEXT</v>
      </c>
      <c r="R39" s="78" t="str">
        <f t="shared" si="1"/>
        <v/>
      </c>
      <c r="S39" s="78" t="str">
        <f t="shared" si="5"/>
        <v/>
      </c>
      <c r="T39" s="78" t="str">
        <f t="shared" si="6"/>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1114</v>
      </c>
      <c r="D40" s="13" t="s">
        <v>1115</v>
      </c>
      <c r="E40" s="7"/>
      <c r="F40" s="7" t="s">
        <v>867</v>
      </c>
      <c r="G40" s="7" t="str">
        <f t="shared" si="3"/>
        <v>text</v>
      </c>
      <c r="H40" s="58"/>
      <c r="I40" s="23"/>
      <c r="J40" s="24"/>
      <c r="N40" s="78"/>
      <c r="O40" s="78"/>
      <c r="P40" s="78" t="str">
        <f t="shared" si="4"/>
        <v>,shushoku_code14</v>
      </c>
      <c r="Q40" s="78" t="str">
        <f t="shared" si="0"/>
        <v>TEXT</v>
      </c>
      <c r="R40" s="78" t="str">
        <f t="shared" si="1"/>
        <v/>
      </c>
      <c r="S40" s="78" t="str">
        <f t="shared" si="5"/>
        <v/>
      </c>
      <c r="T40" s="78" t="str">
        <f t="shared" si="6"/>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1116</v>
      </c>
      <c r="D41" s="13" t="s">
        <v>1117</v>
      </c>
      <c r="E41" s="7"/>
      <c r="F41" s="7" t="s">
        <v>867</v>
      </c>
      <c r="G41" s="7" t="str">
        <f t="shared" si="3"/>
        <v>text</v>
      </c>
      <c r="H41" s="58"/>
      <c r="I41" s="23"/>
      <c r="J41" s="2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1118</v>
      </c>
      <c r="D42" s="13" t="s">
        <v>1119</v>
      </c>
      <c r="E42" s="7"/>
      <c r="F42" s="7" t="s">
        <v>867</v>
      </c>
      <c r="G42" s="7" t="str">
        <f t="shared" ref="G42:G47" si="7">IF(F42="フラグ","boolean",IF(F42="文字列","text",IF(F42="整数","integer",IF(F42="実数","numeric",""))))</f>
        <v>text</v>
      </c>
      <c r="H42" s="58"/>
      <c r="I42" s="23"/>
      <c r="J42" s="24"/>
      <c r="N42" s="78"/>
      <c r="O42" s="78"/>
      <c r="P42" s="78" t="str">
        <f t="shared" ref="P42:P47" si="8">IF(B42&lt;&gt;1,","&amp;D42,D42)</f>
        <v>,shushoku_code16</v>
      </c>
      <c r="Q42" s="78" t="str">
        <f t="shared" ref="Q42:Q47" si="9">UPPER(G42)</f>
        <v>TEXT</v>
      </c>
      <c r="R42" s="78" t="str">
        <f t="shared" ref="R42:R47" si="10">IF(H42&lt;&gt;"","default "&amp;IF(G42="text","'"&amp;H42&amp;"'",H42),"")</f>
        <v/>
      </c>
      <c r="S42" s="78" t="str">
        <f t="shared" ref="S42:S47" si="11">IF(I42="○","NOT NULL","")</f>
        <v/>
      </c>
      <c r="T42" s="78" t="str">
        <f t="shared" ref="T42:T47" si="12">"-- "&amp;C42</f>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1120</v>
      </c>
      <c r="D43" s="13" t="s">
        <v>1121</v>
      </c>
      <c r="E43" s="7"/>
      <c r="F43" s="7" t="s">
        <v>867</v>
      </c>
      <c r="G43" s="7" t="str">
        <f t="shared" si="7"/>
        <v>text</v>
      </c>
      <c r="H43" s="58"/>
      <c r="I43" s="23"/>
      <c r="J43" s="24"/>
      <c r="N43" s="78"/>
      <c r="O43" s="78"/>
      <c r="P43" s="78" t="str">
        <f t="shared" si="8"/>
        <v>,shushoku_code17</v>
      </c>
      <c r="Q43" s="78" t="str">
        <f t="shared" si="9"/>
        <v>TEXT</v>
      </c>
      <c r="R43" s="78" t="str">
        <f t="shared" si="10"/>
        <v/>
      </c>
      <c r="S43" s="78" t="str">
        <f t="shared" si="11"/>
        <v/>
      </c>
      <c r="T43" s="78" t="str">
        <f t="shared" si="12"/>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1122</v>
      </c>
      <c r="D44" s="13" t="s">
        <v>1123</v>
      </c>
      <c r="E44" s="7"/>
      <c r="F44" s="7" t="s">
        <v>867</v>
      </c>
      <c r="G44" s="7" t="str">
        <f t="shared" si="7"/>
        <v>text</v>
      </c>
      <c r="H44" s="58"/>
      <c r="I44" s="23"/>
      <c r="J44" s="24"/>
      <c r="N44" s="78"/>
      <c r="O44" s="78"/>
      <c r="P44" s="78" t="str">
        <f t="shared" si="8"/>
        <v>,shushoku_code18</v>
      </c>
      <c r="Q44" s="78" t="str">
        <f t="shared" si="9"/>
        <v>TEXT</v>
      </c>
      <c r="R44" s="78" t="str">
        <f t="shared" si="10"/>
        <v/>
      </c>
      <c r="S44" s="78" t="str">
        <f t="shared" si="11"/>
        <v/>
      </c>
      <c r="T44" s="78" t="str">
        <f t="shared" si="12"/>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1124</v>
      </c>
      <c r="D45" s="13" t="s">
        <v>1125</v>
      </c>
      <c r="E45" s="7"/>
      <c r="F45" s="7" t="s">
        <v>867</v>
      </c>
      <c r="G45" s="7" t="str">
        <f t="shared" si="7"/>
        <v>text</v>
      </c>
      <c r="H45" s="58"/>
      <c r="I45" s="23"/>
      <c r="J45" s="24"/>
      <c r="N45" s="78"/>
      <c r="O45" s="78"/>
      <c r="P45" s="78" t="str">
        <f t="shared" si="8"/>
        <v>,shushoku_code19</v>
      </c>
      <c r="Q45" s="78" t="str">
        <f t="shared" si="9"/>
        <v>TEXT</v>
      </c>
      <c r="R45" s="78" t="str">
        <f t="shared" si="10"/>
        <v/>
      </c>
      <c r="S45" s="78" t="str">
        <f t="shared" si="11"/>
        <v/>
      </c>
      <c r="T45" s="78" t="str">
        <f t="shared" si="12"/>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1126</v>
      </c>
      <c r="D46" s="13" t="s">
        <v>1127</v>
      </c>
      <c r="E46" s="7"/>
      <c r="F46" s="7" t="s">
        <v>867</v>
      </c>
      <c r="G46" s="7" t="str">
        <f t="shared" si="7"/>
        <v>text</v>
      </c>
      <c r="H46" s="58"/>
      <c r="I46" s="23"/>
      <c r="J46" s="24"/>
      <c r="N46" s="78"/>
      <c r="O46" s="78"/>
      <c r="P46" s="78" t="str">
        <f t="shared" si="8"/>
        <v>,shushoku_code20</v>
      </c>
      <c r="Q46" s="78" t="str">
        <f t="shared" si="9"/>
        <v>TEXT</v>
      </c>
      <c r="R46" s="78" t="str">
        <f t="shared" si="10"/>
        <v/>
      </c>
      <c r="S46" s="78" t="str">
        <f t="shared" si="11"/>
        <v/>
      </c>
      <c r="T46" s="78" t="str">
        <f t="shared" si="12"/>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1128</v>
      </c>
      <c r="D47" s="13" t="s">
        <v>1129</v>
      </c>
      <c r="E47" s="7"/>
      <c r="F47" s="7" t="s">
        <v>867</v>
      </c>
      <c r="G47" s="7" t="str">
        <f t="shared" si="7"/>
        <v>text</v>
      </c>
      <c r="H47" s="58"/>
      <c r="I47" s="23"/>
      <c r="J47" s="24"/>
      <c r="N47" s="78"/>
      <c r="O47" s="78"/>
      <c r="P47" s="78" t="str">
        <f t="shared" si="8"/>
        <v>,shobyo_name</v>
      </c>
      <c r="Q47" s="78" t="str">
        <f t="shared" si="9"/>
        <v>TEXT</v>
      </c>
      <c r="R47" s="78" t="str">
        <f t="shared" si="10"/>
        <v/>
      </c>
      <c r="S47" s="78" t="str">
        <f t="shared" si="11"/>
        <v/>
      </c>
      <c r="T47" s="78" t="str">
        <f t="shared" si="12"/>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milscm_2023_009.sny_202310_backup_merge_receiptc_sy.shobyo_name IS '傷病名称';</v>
      </c>
    </row>
    <row r="48" spans="2:45" s="25" customFormat="1">
      <c r="B48" s="21">
        <f t="shared" si="2"/>
        <v>36</v>
      </c>
      <c r="C48" s="13" t="s">
        <v>1130</v>
      </c>
      <c r="D48" s="13" t="s">
        <v>1131</v>
      </c>
      <c r="E48" s="7"/>
      <c r="F48" s="7" t="s">
        <v>867</v>
      </c>
      <c r="G48" s="7" t="str">
        <f t="shared" si="3"/>
        <v>text</v>
      </c>
      <c r="H48" s="58"/>
      <c r="I48" s="23"/>
      <c r="J48" s="2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milscm_2023_009.sny_202310_backup_merge_receiptc_sy.main_shobyo_code IS '主傷病';</v>
      </c>
    </row>
    <row r="49" spans="1:52" s="25" customFormat="1" ht="18" thickBot="1">
      <c r="A49" s="4"/>
      <c r="B49" s="27">
        <f>ROW()-12</f>
        <v>37</v>
      </c>
      <c r="C49" s="57" t="s">
        <v>1132</v>
      </c>
      <c r="D49" s="57" t="s">
        <v>1133</v>
      </c>
      <c r="E49" s="56"/>
      <c r="F49" s="56" t="s">
        <v>867</v>
      </c>
      <c r="G49" s="56" t="str">
        <f t="shared" si="3"/>
        <v>text</v>
      </c>
      <c r="H49" s="59"/>
      <c r="I49" s="60"/>
      <c r="J49" s="64"/>
      <c r="N49" s="78"/>
      <c r="O49" s="78"/>
      <c r="P49" s="78" t="str">
        <f t="shared" si="4"/>
        <v>,hosoku_comment</v>
      </c>
      <c r="Q49" s="78" t="str">
        <f t="shared" si="0"/>
        <v>TEXT</v>
      </c>
      <c r="R49" s="78" t="str">
        <f t="shared" si="1"/>
        <v/>
      </c>
      <c r="S49" s="78" t="str">
        <f t="shared" si="5"/>
        <v/>
      </c>
      <c r="T49" s="78" t="str">
        <f t="shared" si="6"/>
        <v>-- 補足コメント</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milscm_2023_009.sny_202310_backup_merge_receiptc_sy.hosoku_comment IS '補足コメント';</v>
      </c>
    </row>
    <row r="50" spans="1:52">
      <c r="L50" s="25"/>
      <c r="M50" s="25"/>
      <c r="N50" s="78" t="s">
        <v>142</v>
      </c>
      <c r="O50" s="78"/>
      <c r="P50" s="78"/>
      <c r="Q50" s="78"/>
      <c r="R50" s="78"/>
      <c r="S50" s="78"/>
      <c r="T50" s="78"/>
      <c r="V50" s="25"/>
      <c r="W50" s="25"/>
      <c r="X50" s="25"/>
      <c r="Y50" s="25"/>
      <c r="Z50" s="25"/>
      <c r="AJ50" s="78"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ENT_01_C2-07</v>
      </c>
      <c r="E6" s="251"/>
      <c r="F6" s="251"/>
      <c r="G6" s="251"/>
      <c r="H6" s="251"/>
      <c r="I6" s="251"/>
      <c r="J6" s="252"/>
    </row>
    <row r="7" spans="1:45">
      <c r="B7" s="240" t="s">
        <v>115</v>
      </c>
      <c r="C7" s="241"/>
      <c r="D7" s="242" t="s">
        <v>1140</v>
      </c>
      <c r="E7" s="243"/>
      <c r="F7" s="243"/>
      <c r="G7" s="243"/>
      <c r="H7" s="243"/>
      <c r="I7" s="243"/>
      <c r="J7" s="244"/>
    </row>
    <row r="8" spans="1:45">
      <c r="B8" s="240" t="s">
        <v>116</v>
      </c>
      <c r="C8" s="241"/>
      <c r="D8" s="242" t="str">
        <f>エンティティ一覧!AE2&amp;"_"&amp;D5&amp;"_merge_receiptc_si"</f>
        <v>sny_202310_backup_merge_receiptc_si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milscm_2023_009.sny_202310_backup_merge_receiptc_si;</v>
      </c>
      <c r="O10" s="78"/>
      <c r="P10" s="78"/>
      <c r="Q10" s="78"/>
      <c r="R10" s="78"/>
      <c r="S10" s="78"/>
      <c r="T10" s="78"/>
      <c r="AJ10" s="78" t="str">
        <f>"ALTER TABLE ONLY "&amp;エンティティ一覧!$O$2&amp;"."&amp;D$8</f>
        <v>ALTER TABLE ONLY milscm_2023_009.sny_202310_backup_merge_receiptc_si</v>
      </c>
      <c r="AS10" s="78" t="str">
        <f>"ALTER TABLE "&amp;エンティティ一覧!$O$2&amp;"."&amp;D$8&amp;" OWNER TO pgmisgrp1;"</f>
        <v>ALTER TABLE milscm_2023_009.sny_202310_backup_merge_receiptc_si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milscm_2023_009.sny_202310_backup_merge_receiptc_si</v>
      </c>
      <c r="O11" s="78"/>
      <c r="P11" s="78"/>
      <c r="Q11" s="78"/>
      <c r="R11" s="78"/>
      <c r="S11" s="78"/>
      <c r="T11" s="78"/>
      <c r="AJ11" s="78" t="str">
        <f>"ADD CONSTRAINT "&amp;D$8&amp;"_pkey PRIMARY KEY"</f>
        <v>ADD CONSTRAINT sny_202310_backup_merge_receiptc_si_pkey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milscm_2023_009.sny_202310_backup_merge_receiptc_si.futan_kubun IS '負担区分';</v>
      </c>
    </row>
    <row r="26" spans="2:45" s="25" customFormat="1">
      <c r="B26" s="21">
        <f t="shared" si="2"/>
        <v>14</v>
      </c>
      <c r="C26" s="13" t="s">
        <v>1145</v>
      </c>
      <c r="D26" s="13" t="s">
        <v>1146</v>
      </c>
      <c r="E26" s="7"/>
      <c r="F26" s="7" t="s">
        <v>867</v>
      </c>
      <c r="G26" s="7" t="str">
        <f t="shared" si="3"/>
        <v>text</v>
      </c>
      <c r="H26" s="58"/>
      <c r="I26" s="23"/>
      <c r="J26" s="24"/>
      <c r="N26" s="78"/>
      <c r="O26" s="78"/>
      <c r="P26" s="78" t="str">
        <f t="shared" si="4"/>
        <v>,shinryo_koi_code</v>
      </c>
      <c r="Q26" s="78" t="str">
        <f t="shared" si="0"/>
        <v>TEXT</v>
      </c>
      <c r="R26" s="78" t="str">
        <f t="shared" si="1"/>
        <v/>
      </c>
      <c r="S26" s="78" t="str">
        <f t="shared" si="5"/>
        <v/>
      </c>
      <c r="T26" s="78" t="str">
        <f t="shared" si="6"/>
        <v>-- 診療行為コード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1147</v>
      </c>
      <c r="D27" s="13" t="s">
        <v>1148</v>
      </c>
      <c r="E27" s="7"/>
      <c r="F27" s="7" t="s">
        <v>204</v>
      </c>
      <c r="G27" s="7" t="str">
        <f t="shared" si="3"/>
        <v>integer</v>
      </c>
      <c r="H27" s="58"/>
      <c r="I27" s="23"/>
      <c r="J27" s="24"/>
      <c r="N27" s="78"/>
      <c r="O27" s="78"/>
      <c r="P27" s="78" t="str">
        <f t="shared" si="4"/>
        <v>,suryo_data</v>
      </c>
      <c r="Q27" s="78" t="str">
        <f t="shared" si="0"/>
        <v>INTEGER</v>
      </c>
      <c r="R27" s="78" t="str">
        <f t="shared" si="1"/>
        <v/>
      </c>
      <c r="S27" s="78" t="str">
        <f t="shared" si="5"/>
        <v/>
      </c>
      <c r="T27" s="78" t="str">
        <f t="shared" si="6"/>
        <v>-- 数量データ</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milscm_2023_009.sny_202310_backup_merge_receiptc_si.suryo_data IS '数量データ';</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milscm_2023_009.sny_202310_backup_merge_receiptc_si.tensu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milscm_2023_009.sny_202310_backup_merge_receiptc_si.times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milscm_2023_009.sny_202310_backup_merge_receiptc_si.comment_code3 IS 'コメントコード3';</v>
      </c>
    </row>
    <row r="35" spans="1:52" s="25" customFormat="1" ht="18"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milscm_2023_009.sny_202310_backup_merge_receiptc_si.comment_data3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ENT_01_C2-08</v>
      </c>
      <c r="E6" s="251"/>
      <c r="F6" s="251"/>
      <c r="G6" s="251"/>
      <c r="H6" s="251"/>
      <c r="I6" s="251"/>
      <c r="J6" s="252"/>
    </row>
    <row r="7" spans="1:45">
      <c r="B7" s="240" t="s">
        <v>115</v>
      </c>
      <c r="C7" s="241"/>
      <c r="D7" s="242" t="s">
        <v>1168</v>
      </c>
      <c r="E7" s="243"/>
      <c r="F7" s="243"/>
      <c r="G7" s="243"/>
      <c r="H7" s="243"/>
      <c r="I7" s="243"/>
      <c r="J7" s="244"/>
    </row>
    <row r="8" spans="1:45">
      <c r="B8" s="240" t="s">
        <v>116</v>
      </c>
      <c r="C8" s="241"/>
      <c r="D8" s="242" t="str">
        <f>エンティティ一覧!AE2&amp;"_"&amp;D5&amp;"_merge_receiptc_si_day"</f>
        <v>sny_202310_backup_merge_receiptc_si_day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milscm_2023_009.sny_202310_backup_merge_receiptc_si_day;</v>
      </c>
      <c r="O10" s="78"/>
      <c r="P10" s="78"/>
      <c r="Q10" s="78"/>
      <c r="R10" s="78"/>
      <c r="S10" s="78"/>
      <c r="T10" s="78"/>
      <c r="AJ10" s="78" t="str">
        <f>"ALTER TABLE ONLY "&amp;エンティティ一覧!$O$2&amp;"."&amp;D$8</f>
        <v>ALTER TABLE ONLY milscm_2023_009.sny_202310_backup_merge_receiptc_si_day</v>
      </c>
      <c r="AS10" s="78" t="str">
        <f>"ALTER TABLE "&amp;エンティティ一覧!$O$2&amp;"."&amp;D$8&amp;" OWNER TO pgmisgrp1;"</f>
        <v>ALTER TABLE milscm_2023_009.sny_202310_backup_merge_receiptc_si_day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milscm_2023_009.sny_202310_backup_merge_receiptc_si_day</v>
      </c>
      <c r="O11" s="78"/>
      <c r="P11" s="78"/>
      <c r="Q11" s="78"/>
      <c r="R11" s="78"/>
      <c r="S11" s="78"/>
      <c r="T11" s="78"/>
      <c r="AJ11" s="78" t="str">
        <f>"ADD CONSTRAINT "&amp;D$8&amp;"_pkey PRIMARY KEY"</f>
        <v>ADD CONSTRAINT sny_202310_backup_merge_receiptc_si_day_pkey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milscm_2023_009.sny_202310_backup_merge_receiptc_si_day.receipt_no IS 'レセプト番号';</v>
      </c>
    </row>
    <row r="22" spans="1:52"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milscm_2023_009.sny_202310_backup_merge_receiptc_si_day.santei_ymd IS '算定日';</v>
      </c>
    </row>
    <row r="25" spans="1:52" s="25" customFormat="1" ht="18"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ENT_01_C2-09</v>
      </c>
      <c r="E6" s="251"/>
      <c r="F6" s="251"/>
      <c r="G6" s="251"/>
      <c r="H6" s="251"/>
      <c r="I6" s="251"/>
      <c r="J6" s="252"/>
    </row>
    <row r="7" spans="1:45">
      <c r="B7" s="240" t="s">
        <v>115</v>
      </c>
      <c r="C7" s="241"/>
      <c r="D7" s="242" t="s">
        <v>1176</v>
      </c>
      <c r="E7" s="243"/>
      <c r="F7" s="243"/>
      <c r="G7" s="243"/>
      <c r="H7" s="243"/>
      <c r="I7" s="243"/>
      <c r="J7" s="244"/>
    </row>
    <row r="8" spans="1:45">
      <c r="B8" s="240" t="s">
        <v>116</v>
      </c>
      <c r="C8" s="241"/>
      <c r="D8" s="242" t="str">
        <f>エンティティ一覧!AE2&amp;"_"&amp;D5&amp;"_merge_receiptc_iy"</f>
        <v>sny_202310_backup_merge_receiptc_iy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milscm_2023_009.sny_202310_backup_merge_receiptc_iy;</v>
      </c>
      <c r="O10" s="78"/>
      <c r="P10" s="78"/>
      <c r="Q10" s="78"/>
      <c r="R10" s="78"/>
      <c r="S10" s="78"/>
      <c r="T10" s="78"/>
      <c r="AJ10" s="78" t="str">
        <f>"ALTER TABLE ONLY "&amp;エンティティ一覧!$O$2&amp;"."&amp;D$8</f>
        <v>ALTER TABLE ONLY milscm_2023_009.sny_202310_backup_merge_receiptc_iy</v>
      </c>
      <c r="AS10" s="78" t="str">
        <f>"ALTER TABLE "&amp;エンティティ一覧!$O$2&amp;"."&amp;D$8&amp;" OWNER TO pgmisgrp1;"</f>
        <v>ALTER TABLE milscm_2023_009.sny_202310_backup_merge_receiptc_iy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milscm_2023_009.sny_202310_backup_merge_receiptc_iy</v>
      </c>
      <c r="O11" s="78"/>
      <c r="P11" s="78"/>
      <c r="Q11" s="78"/>
      <c r="R11" s="78"/>
      <c r="S11" s="78"/>
      <c r="T11" s="78"/>
      <c r="AJ11" s="78" t="str">
        <f>"ADD CONSTRAINT "&amp;D$8&amp;"_pkey PRIMARY KEY"</f>
        <v>ADD CONSTRAINT sny_202310_backup_merge_receiptc_iy_pkey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928</v>
      </c>
      <c r="D20" s="13" t="s">
        <v>929</v>
      </c>
      <c r="E20" s="7"/>
      <c r="F20" s="7" t="s">
        <v>867</v>
      </c>
      <c r="G20" s="7" t="str">
        <f t="shared" si="3"/>
        <v>text</v>
      </c>
      <c r="H20" s="58" t="s">
        <v>1181</v>
      </c>
      <c r="I20" s="23" t="s">
        <v>127</v>
      </c>
      <c r="J20" s="24" t="s">
        <v>1182</v>
      </c>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milscm_2023_009.sny_202310_backup_merge_receiptc_iy.futan_kubun IS '負担区分';</v>
      </c>
    </row>
    <row r="26" spans="2:45" s="25" customFormat="1">
      <c r="B26" s="21">
        <f t="shared" si="2"/>
        <v>14</v>
      </c>
      <c r="C26" s="13" t="s">
        <v>1177</v>
      </c>
      <c r="D26" s="13" t="s">
        <v>1178</v>
      </c>
      <c r="E26" s="7"/>
      <c r="F26" s="7" t="s">
        <v>867</v>
      </c>
      <c r="G26" s="7" t="str">
        <f t="shared" si="3"/>
        <v>text</v>
      </c>
      <c r="H26" s="58"/>
      <c r="I26" s="23"/>
      <c r="J26" s="24"/>
      <c r="N26" s="78"/>
      <c r="O26" s="78"/>
      <c r="P26" s="78" t="str">
        <f t="shared" si="4"/>
        <v>,iyakuhin_code</v>
      </c>
      <c r="Q26" s="78" t="str">
        <f t="shared" si="0"/>
        <v>TEXT</v>
      </c>
      <c r="R26" s="78" t="str">
        <f t="shared" si="1"/>
        <v/>
      </c>
      <c r="S26" s="78" t="str">
        <f t="shared" si="5"/>
        <v/>
      </c>
      <c r="T26" s="78" t="str">
        <f t="shared" si="6"/>
        <v>-- 医薬品コード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milscm_2023_009.sny_202310_backup_merge_receiptc_iy.iyakuhin_code IS '医薬品コード';</v>
      </c>
    </row>
    <row r="27" spans="2:45" s="25" customFormat="1" ht="34.799999999999997">
      <c r="B27" s="21">
        <f t="shared" si="2"/>
        <v>15</v>
      </c>
      <c r="C27" s="13" t="s">
        <v>1179</v>
      </c>
      <c r="D27" s="13" t="s">
        <v>129</v>
      </c>
      <c r="E27" s="7"/>
      <c r="F27" s="7" t="s">
        <v>1180</v>
      </c>
      <c r="G27" s="7" t="str">
        <f t="shared" si="3"/>
        <v>numeric</v>
      </c>
      <c r="H27" s="58"/>
      <c r="I27" s="23"/>
      <c r="J27" s="24" t="s">
        <v>1183</v>
      </c>
      <c r="N27" s="78"/>
      <c r="O27" s="78"/>
      <c r="P27" s="78" t="str">
        <f t="shared" si="4"/>
        <v>,shiyoryo</v>
      </c>
      <c r="Q27" s="78" t="str">
        <f t="shared" si="0"/>
        <v>NUMERIC</v>
      </c>
      <c r="R27" s="78" t="str">
        <f t="shared" si="1"/>
        <v/>
      </c>
      <c r="S27" s="78" t="str">
        <f t="shared" si="5"/>
        <v/>
      </c>
      <c r="T27" s="78" t="str">
        <f t="shared" si="6"/>
        <v>-- 使用量</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milscm_2023_009.sny_202310_backup_merge_receiptc_iy.shiyoryo IS '使用量';</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milscm_2023_009.sny_202310_backup_merge_receiptc_iy.tensu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milscm_2023_009.sny_202310_backup_merge_receiptc_iy.times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milscm_2023_009.sny_202310_backup_merge_receiptc_iy.comment_code3 IS 'コメントコード3';</v>
      </c>
    </row>
    <row r="35" spans="1:52" s="25" customFormat="1" ht="18"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milscm_2023_009.sny_202310_backup_merge_receiptc_iy.comment_data3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ENT_01_C2-10</v>
      </c>
      <c r="E6" s="251"/>
      <c r="F6" s="251"/>
      <c r="G6" s="251"/>
      <c r="H6" s="251"/>
      <c r="I6" s="251"/>
      <c r="J6" s="252"/>
    </row>
    <row r="7" spans="1:45">
      <c r="B7" s="240" t="s">
        <v>115</v>
      </c>
      <c r="C7" s="241"/>
      <c r="D7" s="242" t="s">
        <v>1184</v>
      </c>
      <c r="E7" s="243"/>
      <c r="F7" s="243"/>
      <c r="G7" s="243"/>
      <c r="H7" s="243"/>
      <c r="I7" s="243"/>
      <c r="J7" s="244"/>
    </row>
    <row r="8" spans="1:45">
      <c r="B8" s="240" t="s">
        <v>116</v>
      </c>
      <c r="C8" s="241"/>
      <c r="D8" s="242" t="str">
        <f>エンティティ一覧!AE2&amp;"_"&amp;D5&amp;"_merge_receiptc_iy_day"</f>
        <v>sny_202310_backup_merge_receiptc_iy_day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milscm_2023_009.sny_202310_backup_merge_receiptc_iy_day;</v>
      </c>
      <c r="O10" s="78"/>
      <c r="P10" s="78"/>
      <c r="Q10" s="78"/>
      <c r="R10" s="78"/>
      <c r="S10" s="78"/>
      <c r="T10" s="78"/>
      <c r="AJ10" s="78" t="str">
        <f>"ALTER TABLE ONLY "&amp;エンティティ一覧!$O$2&amp;"."&amp;D$8</f>
        <v>ALTER TABLE ONLY milscm_2023_009.sny_202310_backup_merge_receiptc_iy_day</v>
      </c>
      <c r="AS10" s="78" t="str">
        <f>"ALTER TABLE "&amp;エンティティ一覧!$O$2&amp;"."&amp;D$8&amp;" OWNER TO pgmisgrp1;"</f>
        <v>ALTER TABLE milscm_2023_009.sny_202310_backup_merge_receiptc_iy_day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milscm_2023_009.sny_202310_backup_merge_receiptc_iy_day</v>
      </c>
      <c r="O11" s="78"/>
      <c r="P11" s="78"/>
      <c r="Q11" s="78"/>
      <c r="R11" s="78"/>
      <c r="S11" s="78"/>
      <c r="T11" s="78"/>
      <c r="AJ11" s="78" t="str">
        <f>"ADD CONSTRAINT "&amp;D$8&amp;"_pkey PRIMARY KEY"</f>
        <v>ADD CONSTRAINT sny_202310_backup_merge_receiptc_iy_day_pkey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milscm_2023_009.sny_202310_backup_merge_receiptc_iy_day.receipt_no IS 'レセプト番号';</v>
      </c>
    </row>
    <row r="22" spans="1:52"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milscm_2023_009.sny_202310_backup_merge_receiptc_iy_day.santei_ymd IS '算定日';</v>
      </c>
    </row>
    <row r="25" spans="1:52" s="25" customFormat="1" ht="18"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ENT_01_C2-16</v>
      </c>
      <c r="E6" s="251"/>
      <c r="F6" s="251"/>
      <c r="G6" s="251"/>
      <c r="H6" s="251"/>
      <c r="I6" s="251"/>
      <c r="J6" s="252"/>
    </row>
    <row r="7" spans="1:45">
      <c r="B7" s="240" t="s">
        <v>115</v>
      </c>
      <c r="C7" s="241"/>
      <c r="D7" s="242" t="s">
        <v>1185</v>
      </c>
      <c r="E7" s="243"/>
      <c r="F7" s="243"/>
      <c r="G7" s="243"/>
      <c r="H7" s="243"/>
      <c r="I7" s="243"/>
      <c r="J7" s="244"/>
    </row>
    <row r="8" spans="1:45">
      <c r="B8" s="240" t="s">
        <v>116</v>
      </c>
      <c r="C8" s="241"/>
      <c r="D8" s="242" t="str">
        <f>エンティティ一覧!AE2&amp;"_"&amp;D5&amp;"_merge_receiptc_tr"</f>
        <v>sny_202310_backup_merge_receiptc_tr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milscm_2023_009.sny_202310_backup_merge_receiptc_tr;</v>
      </c>
      <c r="O10" s="78"/>
      <c r="P10" s="78"/>
      <c r="Q10" s="78"/>
      <c r="R10" s="78"/>
      <c r="S10" s="78"/>
      <c r="T10" s="78"/>
      <c r="AJ10" s="78" t="str">
        <f>"ALTER TABLE ONLY "&amp;エンティティ一覧!$O$2&amp;"."&amp;D$8</f>
        <v>ALTER TABLE ONLY milscm_2023_009.sny_202310_backup_merge_receiptc_tr</v>
      </c>
      <c r="AS10" s="78" t="str">
        <f>"ALTER TABLE "&amp;エンティティ一覧!$O$2&amp;"."&amp;D$8&amp;" OWNER TO pgmisgrp1;"</f>
        <v>ALTER TABLE milscm_2023_009.sny_202310_backup_merge_receiptc_tr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milscm_2023_009.sny_202310_backup_merge_receiptc_tr</v>
      </c>
      <c r="O11" s="78"/>
      <c r="P11" s="78"/>
      <c r="Q11" s="78"/>
      <c r="R11" s="78"/>
      <c r="S11" s="78"/>
      <c r="T11" s="78"/>
      <c r="AJ11" s="78" t="str">
        <f>"ADD CONSTRAINT "&amp;D$8&amp;"_pkey PRIMARY KEY"</f>
        <v>ADD CONSTRAINT sny_202310_backup_merge_receiptc_tr_pkey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milscm_2023_009.sny_202310_backup_merge_receiptc_tr.mil_karute_id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milscm_2023_009.sny_202310_backup_merge_receiptc_tr.facility_id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7" si="5">IF(I16="○","NOT NULL","")</f>
        <v>NOT NULL</v>
      </c>
      <c r="T16" s="78" t="str">
        <f t="shared" ref="T16:T47"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milscm_2023_009.sny_202310_backup_merge_receiptc_tr.seikyu_ym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milscm_2023_009.sny_202310_backup_merge_receiptc_tr.data_type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928</v>
      </c>
      <c r="D20" s="13" t="s">
        <v>929</v>
      </c>
      <c r="E20" s="7"/>
      <c r="F20" s="7" t="s">
        <v>867</v>
      </c>
      <c r="G20" s="7" t="str">
        <f t="shared" si="3"/>
        <v>text</v>
      </c>
      <c r="H20" s="58" t="s">
        <v>1213</v>
      </c>
      <c r="I20" s="23" t="s">
        <v>127</v>
      </c>
      <c r="J20" s="24" t="s">
        <v>1214</v>
      </c>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milscm_2023_009.sny_202310_backup_merge_receiptc_tr.receipt_no IS 'レセプト番号';</v>
      </c>
    </row>
    <row r="22" spans="2:45" s="25" customFormat="1" ht="34.799999999999997">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milscm_2023_009.sny_202310_backup_merge_receiptc_tr.gyo_no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milscm_2023_009.sny_202310_backup_merge_receiptc_tr.karute_no IS 'カルテ番号等';</v>
      </c>
    </row>
    <row r="24" spans="2:45" s="25" customFormat="1" ht="30">
      <c r="B24" s="21">
        <f t="shared" si="2"/>
        <v>12</v>
      </c>
      <c r="C24" s="13" t="s">
        <v>1186</v>
      </c>
      <c r="D24" s="13" t="s">
        <v>1187</v>
      </c>
      <c r="E24" s="7"/>
      <c r="F24" s="7" t="s">
        <v>204</v>
      </c>
      <c r="G24" s="7" t="str">
        <f t="shared" si="3"/>
        <v>integer</v>
      </c>
      <c r="H24" s="58"/>
      <c r="I24" s="23"/>
      <c r="J24" s="24"/>
      <c r="N24" s="78"/>
      <c r="O24" s="78"/>
      <c r="P24" s="78" t="str">
        <f t="shared" si="4"/>
        <v>,receipt_no_tr</v>
      </c>
      <c r="Q24" s="78" t="str">
        <f t="shared" si="0"/>
        <v>INTEGER</v>
      </c>
      <c r="R24" s="78" t="str">
        <f t="shared" si="1"/>
        <v/>
      </c>
      <c r="S24" s="78" t="str">
        <f t="shared" si="5"/>
        <v/>
      </c>
      <c r="T24" s="78" t="str">
        <f t="shared" si="6"/>
        <v>-- レセプト番号（臓器提供者レセプト情報）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1188</v>
      </c>
      <c r="D25" s="13" t="s">
        <v>1189</v>
      </c>
      <c r="E25" s="7"/>
      <c r="F25" s="7" t="s">
        <v>867</v>
      </c>
      <c r="G25" s="7" t="str">
        <f t="shared" si="3"/>
        <v>text</v>
      </c>
      <c r="H25" s="58"/>
      <c r="I25" s="23"/>
      <c r="J25" s="24"/>
      <c r="N25" s="78"/>
      <c r="O25" s="78"/>
      <c r="P25" s="78" t="str">
        <f t="shared" si="4"/>
        <v>,zoki_receipt_type</v>
      </c>
      <c r="Q25" s="78" t="str">
        <f t="shared" si="0"/>
        <v>TEXT</v>
      </c>
      <c r="R25" s="78" t="str">
        <f t="shared" si="1"/>
        <v/>
      </c>
      <c r="S25" s="78" t="str">
        <f t="shared" si="5"/>
        <v/>
      </c>
      <c r="T25" s="78" t="str">
        <f t="shared" si="6"/>
        <v>-- 臓器提供者レセプト種別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milscm_2023_009.sny_202310_backup_merge_receiptc_tr.zoki_receipt_type IS '臓器提供者レセプト種別';</v>
      </c>
    </row>
    <row r="26" spans="2:45" s="25" customFormat="1" ht="52.2">
      <c r="B26" s="21">
        <f t="shared" si="2"/>
        <v>14</v>
      </c>
      <c r="C26" s="13" t="s">
        <v>1190</v>
      </c>
      <c r="D26" s="13" t="s">
        <v>1191</v>
      </c>
      <c r="E26" s="7"/>
      <c r="F26" s="7" t="s">
        <v>867</v>
      </c>
      <c r="G26" s="7" t="str">
        <f t="shared" si="3"/>
        <v>text</v>
      </c>
      <c r="H26" s="58"/>
      <c r="I26" s="23"/>
      <c r="J26" s="24" t="s">
        <v>951</v>
      </c>
      <c r="N26" s="78"/>
      <c r="O26" s="78"/>
      <c r="P26" s="78" t="str">
        <f t="shared" si="4"/>
        <v>,shinryo_ym_tr</v>
      </c>
      <c r="Q26" s="78" t="str">
        <f t="shared" si="0"/>
        <v>TEXT</v>
      </c>
      <c r="R26" s="78" t="str">
        <f t="shared" si="1"/>
        <v/>
      </c>
      <c r="S26" s="78" t="str">
        <f t="shared" si="5"/>
        <v/>
      </c>
      <c r="T26" s="78" t="str">
        <f t="shared" si="6"/>
        <v>-- 診療年月（臓器提供者レセプト情報）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942</v>
      </c>
      <c r="D27" s="13" t="s">
        <v>943</v>
      </c>
      <c r="E27" s="7"/>
      <c r="F27" s="7" t="s">
        <v>867</v>
      </c>
      <c r="G27" s="7" t="str">
        <f t="shared" si="3"/>
        <v>text</v>
      </c>
      <c r="H27" s="58"/>
      <c r="I27" s="23"/>
      <c r="J27" s="24"/>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milscm_2023_009.sny_202310_backup_merge_receiptc_tr.reserve1 IS '予備1';</v>
      </c>
    </row>
    <row r="28" spans="2:45" s="25" customFormat="1">
      <c r="B28" s="21">
        <f t="shared" si="2"/>
        <v>16</v>
      </c>
      <c r="C28" s="13" t="s">
        <v>1192</v>
      </c>
      <c r="D28" s="13" t="s">
        <v>965</v>
      </c>
      <c r="E28" s="7"/>
      <c r="F28" s="7" t="s">
        <v>867</v>
      </c>
      <c r="G28" s="7" t="str">
        <f t="shared" si="3"/>
        <v>text</v>
      </c>
      <c r="H28" s="58"/>
      <c r="I28" s="23"/>
      <c r="J28" s="24" t="s">
        <v>1084</v>
      </c>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milscm_2023_009.sny_202310_backup_merge_receiptc_tr.sex_kubun IS '男女区分';</v>
      </c>
    </row>
    <row r="29" spans="2:45" s="25" customFormat="1" ht="87">
      <c r="B29" s="21">
        <f t="shared" si="2"/>
        <v>17</v>
      </c>
      <c r="C29" s="13" t="s">
        <v>569</v>
      </c>
      <c r="D29" s="13" t="s">
        <v>322</v>
      </c>
      <c r="E29" s="7"/>
      <c r="F29" s="7" t="s">
        <v>867</v>
      </c>
      <c r="G29" s="7" t="str">
        <f t="shared" si="3"/>
        <v>text</v>
      </c>
      <c r="H29" s="58"/>
      <c r="I29" s="23"/>
      <c r="J29" s="24" t="s">
        <v>1215</v>
      </c>
      <c r="N29" s="78"/>
      <c r="O29" s="78"/>
      <c r="P29" s="78" t="str">
        <f t="shared" si="4"/>
        <v>,birthday</v>
      </c>
      <c r="Q29" s="78" t="str">
        <f t="shared" si="0"/>
        <v>TEXT</v>
      </c>
      <c r="R29" s="78" t="str">
        <f t="shared" si="1"/>
        <v/>
      </c>
      <c r="S29" s="78" t="str">
        <f t="shared" si="5"/>
        <v/>
      </c>
      <c r="T29" s="78" t="str">
        <f t="shared" si="6"/>
        <v>-- 生年月日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milscm_2023_009.sny_202310_backup_merge_receiptc_tr.birthday IS '生年月日';</v>
      </c>
    </row>
    <row r="30" spans="2:45" s="25" customFormat="1">
      <c r="B30" s="21">
        <f t="shared" si="2"/>
        <v>18</v>
      </c>
      <c r="C30" s="13" t="s">
        <v>993</v>
      </c>
      <c r="D30" s="13" t="s">
        <v>994</v>
      </c>
      <c r="E30" s="7"/>
      <c r="F30" s="7" t="s">
        <v>867</v>
      </c>
      <c r="G30" s="7" t="str">
        <f t="shared" si="3"/>
        <v>text</v>
      </c>
      <c r="H30" s="58"/>
      <c r="I30" s="23"/>
      <c r="J30" s="24"/>
      <c r="N30" s="78"/>
      <c r="O30" s="78"/>
      <c r="P30" s="78" t="str">
        <f t="shared" si="4"/>
        <v>,reserve2</v>
      </c>
      <c r="Q30" s="78" t="str">
        <f t="shared" si="0"/>
        <v>TEXT</v>
      </c>
      <c r="R30" s="78" t="str">
        <f t="shared" si="1"/>
        <v/>
      </c>
      <c r="S30" s="78" t="str">
        <f t="shared" si="5"/>
        <v/>
      </c>
      <c r="T30" s="78" t="str">
        <f t="shared" si="6"/>
        <v>-- 予備2</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milscm_2023_009.sny_202310_backup_merge_receiptc_tr.reserve2 IS '予備2';</v>
      </c>
    </row>
    <row r="31" spans="2:45" s="25" customFormat="1" ht="69.599999999999994">
      <c r="B31" s="21">
        <f t="shared" si="2"/>
        <v>19</v>
      </c>
      <c r="C31" s="13" t="s">
        <v>143</v>
      </c>
      <c r="D31" s="13" t="s">
        <v>156</v>
      </c>
      <c r="E31" s="7"/>
      <c r="F31" s="7" t="s">
        <v>867</v>
      </c>
      <c r="G31" s="7" t="str">
        <f t="shared" si="3"/>
        <v>text</v>
      </c>
      <c r="H31" s="58"/>
      <c r="I31" s="23"/>
      <c r="J31" s="24" t="s">
        <v>1086</v>
      </c>
      <c r="N31" s="78"/>
      <c r="O31" s="78"/>
      <c r="P31" s="78" t="str">
        <f t="shared" si="4"/>
        <v>,nyuin_ymd</v>
      </c>
      <c r="Q31" s="78" t="str">
        <f t="shared" si="0"/>
        <v>TEXT</v>
      </c>
      <c r="R31" s="78" t="str">
        <f t="shared" si="1"/>
        <v/>
      </c>
      <c r="S31" s="78" t="str">
        <f t="shared" si="5"/>
        <v/>
      </c>
      <c r="T31" s="78" t="str">
        <f t="shared" si="6"/>
        <v>-- 入院年月日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milscm_2023_009.sny_202310_backup_merge_receiptc_tr.nyuin_ymd IS '入院年月日';</v>
      </c>
    </row>
    <row r="32" spans="2:45" s="25" customFormat="1">
      <c r="B32" s="21">
        <f t="shared" si="2"/>
        <v>20</v>
      </c>
      <c r="C32" s="13" t="s">
        <v>1193</v>
      </c>
      <c r="D32" s="13" t="s">
        <v>970</v>
      </c>
      <c r="E32" s="7"/>
      <c r="F32" s="7" t="s">
        <v>867</v>
      </c>
      <c r="G32" s="7" t="str">
        <f t="shared" si="3"/>
        <v>text</v>
      </c>
      <c r="H32" s="58"/>
      <c r="I32" s="23"/>
      <c r="J32" s="24" t="s">
        <v>1087</v>
      </c>
      <c r="N32" s="78"/>
      <c r="O32" s="78"/>
      <c r="P32" s="78" t="str">
        <f t="shared" si="4"/>
        <v>,ward_kubun1</v>
      </c>
      <c r="Q32" s="78" t="str">
        <f t="shared" si="0"/>
        <v>TEXT</v>
      </c>
      <c r="R32" s="78" t="str">
        <f t="shared" si="1"/>
        <v/>
      </c>
      <c r="S32" s="78" t="str">
        <f t="shared" si="5"/>
        <v/>
      </c>
      <c r="T32" s="78" t="str">
        <f t="shared" si="6"/>
        <v>-- 病棟区分1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milscm_2023_009.sny_202310_backup_merge_receiptc_tr.ward_kubun1 IS '病棟区分1';</v>
      </c>
    </row>
    <row r="33" spans="1:52" s="25" customFormat="1">
      <c r="B33" s="21">
        <f t="shared" si="2"/>
        <v>21</v>
      </c>
      <c r="C33" s="13" t="s">
        <v>1194</v>
      </c>
      <c r="D33" s="13" t="s">
        <v>972</v>
      </c>
      <c r="E33" s="7"/>
      <c r="F33" s="7" t="s">
        <v>867</v>
      </c>
      <c r="G33" s="7" t="str">
        <f t="shared" si="3"/>
        <v>text</v>
      </c>
      <c r="H33" s="58"/>
      <c r="I33" s="23"/>
      <c r="J33" s="24"/>
      <c r="N33" s="78"/>
      <c r="O33" s="78"/>
      <c r="P33" s="78" t="str">
        <f t="shared" si="4"/>
        <v>,ward_kubun2</v>
      </c>
      <c r="Q33" s="78" t="str">
        <f t="shared" si="0"/>
        <v>TEXT</v>
      </c>
      <c r="R33" s="78" t="str">
        <f t="shared" si="1"/>
        <v/>
      </c>
      <c r="S33" s="78" t="str">
        <f t="shared" si="5"/>
        <v/>
      </c>
      <c r="T33" s="78" t="str">
        <f t="shared" si="6"/>
        <v>-- 病棟区分2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milscm_2023_009.sny_202310_backup_merge_receiptc_tr.ward_kubun2 IS '病棟区分2';</v>
      </c>
    </row>
    <row r="34" spans="1:52" s="25" customFormat="1">
      <c r="B34" s="21">
        <f t="shared" si="2"/>
        <v>22</v>
      </c>
      <c r="C34" s="13" t="s">
        <v>1195</v>
      </c>
      <c r="D34" s="13" t="s">
        <v>974</v>
      </c>
      <c r="E34" s="7"/>
      <c r="F34" s="7" t="s">
        <v>867</v>
      </c>
      <c r="G34" s="7" t="str">
        <f t="shared" si="3"/>
        <v>text</v>
      </c>
      <c r="H34" s="58"/>
      <c r="I34" s="23"/>
      <c r="J34" s="24"/>
      <c r="N34" s="78"/>
      <c r="O34" s="78"/>
      <c r="P34" s="78" t="str">
        <f t="shared" si="4"/>
        <v>,ward_kubun3</v>
      </c>
      <c r="Q34" s="78" t="str">
        <f t="shared" si="0"/>
        <v>TEXT</v>
      </c>
      <c r="R34" s="78" t="str">
        <f t="shared" si="1"/>
        <v/>
      </c>
      <c r="S34" s="78" t="str">
        <f t="shared" si="5"/>
        <v/>
      </c>
      <c r="T34" s="78" t="str">
        <f t="shared" si="6"/>
        <v>-- 病棟区分3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milscm_2023_009.sny_202310_backup_merge_receiptc_tr.ward_kubun3 IS '病棟区分3';</v>
      </c>
    </row>
    <row r="35" spans="1:52" s="25" customFormat="1">
      <c r="B35" s="21">
        <f t="shared" si="2"/>
        <v>23</v>
      </c>
      <c r="C35" s="13" t="s">
        <v>1196</v>
      </c>
      <c r="D35" s="13" t="s">
        <v>976</v>
      </c>
      <c r="E35" s="7"/>
      <c r="F35" s="7" t="s">
        <v>867</v>
      </c>
      <c r="G35" s="7" t="str">
        <f t="shared" si="3"/>
        <v>text</v>
      </c>
      <c r="H35" s="58"/>
      <c r="I35" s="23"/>
      <c r="J35" s="24"/>
      <c r="N35" s="78"/>
      <c r="O35" s="78"/>
      <c r="P35" s="78" t="str">
        <f t="shared" si="4"/>
        <v>,ward_kubun4</v>
      </c>
      <c r="Q35" s="78" t="str">
        <f t="shared" si="0"/>
        <v>TEXT</v>
      </c>
      <c r="R35" s="78" t="str">
        <f t="shared" si="1"/>
        <v/>
      </c>
      <c r="S35" s="78" t="str">
        <f t="shared" si="5"/>
        <v/>
      </c>
      <c r="T35" s="78" t="str">
        <f t="shared" si="6"/>
        <v>-- 病棟区分4</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milscm_2023_009.sny_202310_backup_merge_receiptc_tr.ward_kubun4 IS '病棟区分4';</v>
      </c>
    </row>
    <row r="36" spans="1:52" s="25" customFormat="1">
      <c r="B36" s="21">
        <f t="shared" si="2"/>
        <v>24</v>
      </c>
      <c r="C36" s="13" t="s">
        <v>995</v>
      </c>
      <c r="D36" s="13" t="s">
        <v>996</v>
      </c>
      <c r="E36" s="7"/>
      <c r="F36" s="7" t="s">
        <v>867</v>
      </c>
      <c r="G36" s="7" t="str">
        <f t="shared" si="3"/>
        <v>text</v>
      </c>
      <c r="H36" s="58"/>
      <c r="I36" s="23"/>
      <c r="J36" s="24"/>
      <c r="N36" s="78"/>
      <c r="O36" s="78"/>
      <c r="P36" s="78" t="str">
        <f t="shared" si="4"/>
        <v>,reserve3</v>
      </c>
      <c r="Q36" s="78" t="str">
        <f t="shared" si="0"/>
        <v>TEXT</v>
      </c>
      <c r="R36" s="78" t="str">
        <f t="shared" si="1"/>
        <v/>
      </c>
      <c r="S36" s="78" t="str">
        <f t="shared" si="5"/>
        <v/>
      </c>
      <c r="T36" s="78" t="str">
        <f t="shared" si="6"/>
        <v>-- 予備3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milscm_2023_009.sny_202310_backup_merge_receiptc_tr.reserve3 IS '予備3';</v>
      </c>
    </row>
    <row r="37" spans="1:52" s="25" customFormat="1">
      <c r="B37" s="21">
        <f t="shared" si="2"/>
        <v>25</v>
      </c>
      <c r="C37" s="13" t="s">
        <v>1197</v>
      </c>
      <c r="D37" s="13" t="s">
        <v>980</v>
      </c>
      <c r="E37" s="7"/>
      <c r="F37" s="7" t="s">
        <v>867</v>
      </c>
      <c r="G37" s="7" t="str">
        <f t="shared" si="3"/>
        <v>text</v>
      </c>
      <c r="H37" s="58"/>
      <c r="I37" s="23"/>
      <c r="J37" s="24" t="s">
        <v>1088</v>
      </c>
      <c r="N37" s="78"/>
      <c r="O37" s="78"/>
      <c r="P37" s="78" t="str">
        <f t="shared" si="4"/>
        <v>,receipt_tokki_code1</v>
      </c>
      <c r="Q37" s="78" t="str">
        <f t="shared" si="0"/>
        <v>TEXT</v>
      </c>
      <c r="R37" s="78" t="str">
        <f t="shared" si="1"/>
        <v/>
      </c>
      <c r="S37" s="78" t="str">
        <f t="shared" si="5"/>
        <v/>
      </c>
      <c r="T37" s="78" t="str">
        <f t="shared" si="6"/>
        <v>-- レセプト特記事項1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1198</v>
      </c>
      <c r="D38" s="13" t="s">
        <v>982</v>
      </c>
      <c r="E38" s="7"/>
      <c r="F38" s="7" t="s">
        <v>867</v>
      </c>
      <c r="G38" s="7" t="str">
        <f t="shared" si="3"/>
        <v>text</v>
      </c>
      <c r="H38" s="58"/>
      <c r="I38" s="23"/>
      <c r="J38" s="24"/>
      <c r="N38" s="78"/>
      <c r="O38" s="78"/>
      <c r="P38" s="78" t="str">
        <f t="shared" si="4"/>
        <v>,receipt_tokki_code2</v>
      </c>
      <c r="Q38" s="78" t="str">
        <f t="shared" si="0"/>
        <v>TEXT</v>
      </c>
      <c r="R38" s="78" t="str">
        <f t="shared" si="1"/>
        <v/>
      </c>
      <c r="S38" s="78" t="str">
        <f t="shared" si="5"/>
        <v/>
      </c>
      <c r="T38" s="78" t="str">
        <f t="shared" si="6"/>
        <v>-- レセプト特記事項2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1199</v>
      </c>
      <c r="D39" s="13" t="s">
        <v>984</v>
      </c>
      <c r="E39" s="7"/>
      <c r="F39" s="7" t="s">
        <v>867</v>
      </c>
      <c r="G39" s="7" t="str">
        <f t="shared" si="3"/>
        <v>text</v>
      </c>
      <c r="H39" s="58"/>
      <c r="I39" s="23"/>
      <c r="J39" s="24"/>
      <c r="N39" s="78"/>
      <c r="O39" s="78"/>
      <c r="P39" s="78" t="str">
        <f t="shared" si="4"/>
        <v>,receipt_tokki_code3</v>
      </c>
      <c r="Q39" s="78" t="str">
        <f t="shared" si="0"/>
        <v>TEXT</v>
      </c>
      <c r="R39" s="78" t="str">
        <f t="shared" si="1"/>
        <v/>
      </c>
      <c r="S39" s="78" t="str">
        <f t="shared" si="5"/>
        <v/>
      </c>
      <c r="T39" s="78" t="str">
        <f t="shared" si="6"/>
        <v>-- レセプト特記事項3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1200</v>
      </c>
      <c r="D40" s="13" t="s">
        <v>986</v>
      </c>
      <c r="E40" s="7"/>
      <c r="F40" s="7" t="s">
        <v>867</v>
      </c>
      <c r="G40" s="7" t="str">
        <f t="shared" si="3"/>
        <v>text</v>
      </c>
      <c r="H40" s="58"/>
      <c r="I40" s="23"/>
      <c r="J40" s="24"/>
      <c r="N40" s="78"/>
      <c r="O40" s="78"/>
      <c r="P40" s="78" t="str">
        <f t="shared" si="4"/>
        <v>,receipt_tokki_code4</v>
      </c>
      <c r="Q40" s="78" t="str">
        <f t="shared" si="0"/>
        <v>TEXT</v>
      </c>
      <c r="R40" s="78" t="str">
        <f t="shared" si="1"/>
        <v/>
      </c>
      <c r="S40" s="78" t="str">
        <f t="shared" si="5"/>
        <v/>
      </c>
      <c r="T40" s="78" t="str">
        <f t="shared" si="6"/>
        <v>-- レセプト特記事項4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1201</v>
      </c>
      <c r="D41" s="13" t="s">
        <v>988</v>
      </c>
      <c r="E41" s="7"/>
      <c r="F41" s="7" t="s">
        <v>867</v>
      </c>
      <c r="G41" s="7" t="str">
        <f t="shared" si="3"/>
        <v>text</v>
      </c>
      <c r="H41" s="58"/>
      <c r="I41" s="23"/>
      <c r="J41" s="24"/>
      <c r="N41" s="78"/>
      <c r="O41" s="78"/>
      <c r="P41" s="78" t="str">
        <f t="shared" si="4"/>
        <v>,receipt_tokki_code5</v>
      </c>
      <c r="Q41" s="78" t="str">
        <f t="shared" si="0"/>
        <v>TEXT</v>
      </c>
      <c r="R41" s="78" t="str">
        <f t="shared" si="1"/>
        <v/>
      </c>
      <c r="S41" s="78" t="str">
        <f t="shared" si="5"/>
        <v/>
      </c>
      <c r="T41" s="78" t="str">
        <f t="shared" si="6"/>
        <v>-- レセプト特記事項5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1202</v>
      </c>
      <c r="D42" s="13" t="s">
        <v>1203</v>
      </c>
      <c r="E42" s="7"/>
      <c r="F42" s="7" t="s">
        <v>867</v>
      </c>
      <c r="G42" s="7" t="str">
        <f t="shared" si="3"/>
        <v>text</v>
      </c>
      <c r="H42" s="58"/>
      <c r="I42" s="23"/>
      <c r="J42" s="24"/>
      <c r="N42" s="78"/>
      <c r="O42" s="78"/>
      <c r="P42" s="78" t="str">
        <f t="shared" si="4"/>
        <v>,reserve4</v>
      </c>
      <c r="Q42" s="78" t="str">
        <f t="shared" si="0"/>
        <v>TEXT</v>
      </c>
      <c r="R42" s="78" t="str">
        <f t="shared" si="1"/>
        <v/>
      </c>
      <c r="S42" s="78" t="str">
        <f t="shared" si="5"/>
        <v/>
      </c>
      <c r="T42" s="78" t="str">
        <f t="shared" si="6"/>
        <v>-- 予備4</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milscm_2023_009.sny_202310_backup_merge_receiptc_tr.reserve4 IS '予備4';</v>
      </c>
    </row>
    <row r="43" spans="1:52" s="25" customFormat="1" ht="30">
      <c r="B43" s="21">
        <f t="shared" si="2"/>
        <v>31</v>
      </c>
      <c r="C43" s="13" t="s">
        <v>1204</v>
      </c>
      <c r="D43" s="13" t="s">
        <v>1205</v>
      </c>
      <c r="E43" s="7"/>
      <c r="F43" s="7" t="s">
        <v>867</v>
      </c>
      <c r="G43" s="7" t="str">
        <f t="shared" si="3"/>
        <v>text</v>
      </c>
      <c r="H43" s="58"/>
      <c r="I43" s="23"/>
      <c r="J43" s="24"/>
      <c r="N43" s="78"/>
      <c r="O43" s="78"/>
      <c r="P43" s="78" t="str">
        <f t="shared" si="4"/>
        <v>,karute_no_tr</v>
      </c>
      <c r="Q43" s="78" t="str">
        <f t="shared" si="0"/>
        <v>TEXT</v>
      </c>
      <c r="R43" s="78" t="str">
        <f t="shared" si="1"/>
        <v/>
      </c>
      <c r="S43" s="78" t="str">
        <f t="shared" si="5"/>
        <v/>
      </c>
      <c r="T43" s="78" t="str">
        <f t="shared" si="6"/>
        <v>-- カルテ番号等（臓器提供者レセプト情報）</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1206</v>
      </c>
      <c r="D44" s="13" t="s">
        <v>992</v>
      </c>
      <c r="E44" s="7"/>
      <c r="F44" s="7" t="s">
        <v>204</v>
      </c>
      <c r="G44" s="7" t="str">
        <f t="shared" si="3"/>
        <v>integer</v>
      </c>
      <c r="H44" s="58"/>
      <c r="I44" s="23"/>
      <c r="J44" s="24"/>
      <c r="N44" s="78"/>
      <c r="O44" s="78"/>
      <c r="P44" s="78" t="str">
        <f t="shared" si="4"/>
        <v>,waribiki_tensu</v>
      </c>
      <c r="Q44" s="78" t="str">
        <f t="shared" si="0"/>
        <v>INTEGER</v>
      </c>
      <c r="R44" s="78" t="str">
        <f t="shared" si="1"/>
        <v/>
      </c>
      <c r="S44" s="78" t="str">
        <f t="shared" si="5"/>
        <v/>
      </c>
      <c r="T44" s="78" t="str">
        <f t="shared" si="6"/>
        <v>-- 割引点数単価</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1207</v>
      </c>
      <c r="D45" s="13" t="s">
        <v>1208</v>
      </c>
      <c r="E45" s="7"/>
      <c r="F45" s="7" t="s">
        <v>867</v>
      </c>
      <c r="G45" s="7" t="str">
        <f t="shared" si="3"/>
        <v>text</v>
      </c>
      <c r="H45" s="58"/>
      <c r="I45" s="23"/>
      <c r="J45" s="24"/>
      <c r="N45" s="78"/>
      <c r="O45" s="78"/>
      <c r="P45" s="78" t="str">
        <f t="shared" si="4"/>
        <v>,reserve5</v>
      </c>
      <c r="Q45" s="78" t="str">
        <f t="shared" si="0"/>
        <v>TEXT</v>
      </c>
      <c r="R45" s="78" t="str">
        <f t="shared" si="1"/>
        <v/>
      </c>
      <c r="S45" s="78" t="str">
        <f t="shared" si="5"/>
        <v/>
      </c>
      <c r="T45" s="78" t="str">
        <f t="shared" si="6"/>
        <v>-- 予備5</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milscm_2023_009.sny_202310_backup_merge_receiptc_tr.reserve5 IS '予備5';</v>
      </c>
    </row>
    <row r="46" spans="1:52" s="25" customFormat="1">
      <c r="B46" s="21">
        <f t="shared" si="2"/>
        <v>34</v>
      </c>
      <c r="C46" s="13" t="s">
        <v>1209</v>
      </c>
      <c r="D46" s="13" t="s">
        <v>1210</v>
      </c>
      <c r="E46" s="7"/>
      <c r="F46" s="7" t="s">
        <v>867</v>
      </c>
      <c r="G46" s="7" t="str">
        <f t="shared" si="3"/>
        <v>text</v>
      </c>
      <c r="H46" s="58"/>
      <c r="I46" s="23"/>
      <c r="J46" s="24"/>
      <c r="N46" s="78"/>
      <c r="O46" s="78"/>
      <c r="P46" s="78" t="str">
        <f t="shared" si="4"/>
        <v>,reserve6</v>
      </c>
      <c r="Q46" s="78" t="str">
        <f t="shared" si="0"/>
        <v>TEXT</v>
      </c>
      <c r="R46" s="78" t="str">
        <f t="shared" si="1"/>
        <v/>
      </c>
      <c r="S46" s="78" t="str">
        <f t="shared" si="5"/>
        <v/>
      </c>
      <c r="T46" s="78" t="str">
        <f t="shared" si="6"/>
        <v>-- 予備6</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milscm_2023_009.sny_202310_backup_merge_receiptc_tr.reserve6 IS '予備6';</v>
      </c>
    </row>
    <row r="47" spans="1:52" s="25" customFormat="1" ht="18" thickBot="1">
      <c r="A47" s="4"/>
      <c r="B47" s="27">
        <f>ROW()-12</f>
        <v>35</v>
      </c>
      <c r="C47" s="57" t="s">
        <v>1211</v>
      </c>
      <c r="D47" s="57" t="s">
        <v>1212</v>
      </c>
      <c r="E47" s="56"/>
      <c r="F47" s="56" t="s">
        <v>867</v>
      </c>
      <c r="G47" s="56" t="str">
        <f t="shared" si="3"/>
        <v>text</v>
      </c>
      <c r="H47" s="59"/>
      <c r="I47" s="60"/>
      <c r="J47" s="64"/>
      <c r="N47" s="78"/>
      <c r="O47" s="78"/>
      <c r="P47" s="78" t="str">
        <f t="shared" si="4"/>
        <v>,reserve7</v>
      </c>
      <c r="Q47" s="78" t="str">
        <f t="shared" si="0"/>
        <v>TEXT</v>
      </c>
      <c r="R47" s="78" t="str">
        <f t="shared" si="1"/>
        <v/>
      </c>
      <c r="S47" s="78" t="str">
        <f t="shared" si="5"/>
        <v/>
      </c>
      <c r="T47" s="78" t="str">
        <f t="shared" si="6"/>
        <v>-- 予備7</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milscm_2023_009.sny_202310_backup_merge_receiptc_tr.reserve7 IS '予備7';</v>
      </c>
    </row>
    <row r="48" spans="1:52">
      <c r="L48" s="25"/>
      <c r="M48" s="25"/>
      <c r="N48" s="78" t="s">
        <v>142</v>
      </c>
      <c r="O48" s="78"/>
      <c r="P48" s="78"/>
      <c r="Q48" s="78"/>
      <c r="R48" s="78"/>
      <c r="S48" s="78"/>
      <c r="T48" s="78"/>
      <c r="V48" s="25"/>
      <c r="W48" s="25"/>
      <c r="X48" s="25"/>
      <c r="Y48" s="25"/>
      <c r="Z48" s="25"/>
      <c r="AJ48" s="78"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ENT_01_C3-01</v>
      </c>
      <c r="E6" s="251"/>
      <c r="F6" s="251"/>
      <c r="G6" s="251"/>
      <c r="H6" s="251"/>
      <c r="I6" s="251"/>
      <c r="J6" s="252"/>
    </row>
    <row r="7" spans="1:45">
      <c r="B7" s="240" t="s">
        <v>115</v>
      </c>
      <c r="C7" s="241"/>
      <c r="D7" s="242" t="s">
        <v>1217</v>
      </c>
      <c r="E7" s="243"/>
      <c r="F7" s="243"/>
      <c r="G7" s="243"/>
      <c r="H7" s="243"/>
      <c r="I7" s="243"/>
      <c r="J7" s="244"/>
    </row>
    <row r="8" spans="1:45">
      <c r="B8" s="240" t="s">
        <v>116</v>
      </c>
      <c r="C8" s="241"/>
      <c r="D8" s="242" t="str">
        <f>エンティティ一覧!AE2&amp;"_"&amp;D5&amp;"_merge_receiptd_ir"</f>
        <v>sny_202310_backup_merge_receiptd_ir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milscm_2023_009.sny_202310_backup_merge_receiptd_ir;</v>
      </c>
      <c r="O10" s="78"/>
      <c r="P10" s="78"/>
      <c r="Q10" s="78"/>
      <c r="R10" s="78"/>
      <c r="S10" s="78"/>
      <c r="T10" s="78"/>
      <c r="AJ10" s="78" t="str">
        <f>"ALTER TABLE ONLY "&amp;エンティティ一覧!$O$2&amp;"."&amp;D$8</f>
        <v>ALTER TABLE ONLY milscm_2023_009.sny_202310_backup_merge_receiptd_ir</v>
      </c>
      <c r="AS10" s="78" t="str">
        <f>"ALTER TABLE "&amp;エンティティ一覧!$O$2&amp;"."&amp;D$8&amp;" OWNER TO pgmisgrp1;"</f>
        <v>ALTER TABLE milscm_2023_009.sny_202310_backup_merge_receiptd_ir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milscm_2023_009.sny_202310_backup_merge_receiptd_ir</v>
      </c>
      <c r="O11" s="78"/>
      <c r="P11" s="78"/>
      <c r="Q11" s="78"/>
      <c r="R11" s="78"/>
      <c r="S11" s="78"/>
      <c r="T11" s="78"/>
      <c r="AJ11" s="78" t="str">
        <f>"ADD CONSTRAINT "&amp;D$8&amp;"_pkey PRIMARY KEY"</f>
        <v>ADD CONSTRAINT sny_202310_backup_merge_receiptd_ir_pkey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milscm_2023_009.sny_202310_backup_merge_receiptd_ir.facility_id IS '施設ID';</v>
      </c>
    </row>
    <row r="16" spans="1:45" s="25" customFormat="1" ht="52.2">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1" si="5">IF(I16="○","NOT NULL","")</f>
        <v>NOT NULL</v>
      </c>
      <c r="T16" s="78" t="str">
        <f t="shared" ref="T16:T31"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milscm_2023_009.sny_202310_backup_merge_receiptd_ir.seikyu_ym IS '請求年月';</v>
      </c>
    </row>
    <row r="17" spans="1:52" s="25" customFormat="1" ht="69.599999999999994">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928</v>
      </c>
      <c r="D20" s="13" t="s">
        <v>929</v>
      </c>
      <c r="E20" s="7"/>
      <c r="F20" s="7" t="s">
        <v>867</v>
      </c>
      <c r="G20" s="7" t="str">
        <f t="shared" si="3"/>
        <v>text</v>
      </c>
      <c r="H20" s="58" t="s">
        <v>954</v>
      </c>
      <c r="I20" s="23" t="s">
        <v>127</v>
      </c>
      <c r="J20" s="24"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932</v>
      </c>
      <c r="D22" s="13" t="s">
        <v>933</v>
      </c>
      <c r="E22" s="7" t="s">
        <v>127</v>
      </c>
      <c r="F22" s="7" t="s">
        <v>204</v>
      </c>
      <c r="G22" s="7" t="str">
        <f t="shared" si="3"/>
        <v>integer</v>
      </c>
      <c r="H22" s="58">
        <v>0</v>
      </c>
      <c r="I22" s="23" t="s">
        <v>127</v>
      </c>
      <c r="J22" s="24"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milscm_2023_009.sny_202310_backup_merge_receiptd_ir.gyo_no IS '行番号';</v>
      </c>
    </row>
    <row r="23" spans="1:52" s="25" customFormat="1">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1218</v>
      </c>
      <c r="D24" s="13" t="s">
        <v>1219</v>
      </c>
      <c r="E24" s="7"/>
      <c r="F24" s="7" t="s">
        <v>867</v>
      </c>
      <c r="G24" s="7" t="str">
        <f t="shared" si="3"/>
        <v>text</v>
      </c>
      <c r="H24" s="58"/>
      <c r="I24" s="23"/>
      <c r="J24" s="24" t="s">
        <v>865</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936</v>
      </c>
      <c r="D25" s="13" t="s">
        <v>937</v>
      </c>
      <c r="E25" s="7"/>
      <c r="F25" s="7" t="s">
        <v>867</v>
      </c>
      <c r="G25" s="7" t="str">
        <f t="shared" si="3"/>
        <v>text</v>
      </c>
      <c r="H25" s="58"/>
      <c r="I25" s="23"/>
      <c r="J25" s="24"/>
      <c r="N25" s="78"/>
      <c r="O25" s="78"/>
      <c r="P25" s="78" t="str">
        <f t="shared" si="4"/>
        <v>,prefecture</v>
      </c>
      <c r="Q25" s="78" t="str">
        <f t="shared" si="0"/>
        <v>TEXT</v>
      </c>
      <c r="R25" s="78" t="str">
        <f t="shared" si="1"/>
        <v/>
      </c>
      <c r="S25" s="78" t="str">
        <f t="shared" si="5"/>
        <v/>
      </c>
      <c r="T25" s="78" t="str">
        <f t="shared" si="6"/>
        <v>-- 都道府県</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milscm_2023_009.sny_202310_backup_merge_receiptd_ir.prefecture IS '都道府県';</v>
      </c>
    </row>
    <row r="26" spans="1:52" s="25" customFormat="1">
      <c r="B26" s="21">
        <f t="shared" si="2"/>
        <v>14</v>
      </c>
      <c r="C26" s="13" t="s">
        <v>938</v>
      </c>
      <c r="D26" s="13" t="s">
        <v>939</v>
      </c>
      <c r="E26" s="7"/>
      <c r="F26" s="7" t="s">
        <v>867</v>
      </c>
      <c r="G26" s="7" t="str">
        <f t="shared" si="3"/>
        <v>text</v>
      </c>
      <c r="H26" s="58"/>
      <c r="I26" s="23"/>
      <c r="J26" s="24"/>
      <c r="N26" s="78"/>
      <c r="O26" s="78"/>
      <c r="P26" s="78" t="str">
        <f t="shared" si="4"/>
        <v>,tensuhyo</v>
      </c>
      <c r="Q26" s="78" t="str">
        <f t="shared" si="0"/>
        <v>TEXT</v>
      </c>
      <c r="R26" s="78" t="str">
        <f t="shared" si="1"/>
        <v/>
      </c>
      <c r="S26" s="78" t="str">
        <f t="shared" si="5"/>
        <v/>
      </c>
      <c r="T26" s="78" t="str">
        <f t="shared" si="6"/>
        <v>-- 点数表</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milscm_2023_009.sny_202310_backup_merge_receiptd_ir.tensuhyo IS '点数表';</v>
      </c>
    </row>
    <row r="27" spans="1:52" s="25" customFormat="1">
      <c r="B27" s="21">
        <f t="shared" si="2"/>
        <v>15</v>
      </c>
      <c r="C27" s="13" t="s">
        <v>940</v>
      </c>
      <c r="D27" s="13" t="s">
        <v>941</v>
      </c>
      <c r="E27" s="7"/>
      <c r="F27" s="7" t="s">
        <v>867</v>
      </c>
      <c r="G27" s="7" t="str">
        <f t="shared" si="3"/>
        <v>text</v>
      </c>
      <c r="H27" s="58"/>
      <c r="I27" s="23"/>
      <c r="J27" s="24"/>
      <c r="N27" s="78"/>
      <c r="O27" s="78"/>
      <c r="P27" s="78" t="str">
        <f t="shared" si="4"/>
        <v>,hospital_code</v>
      </c>
      <c r="Q27" s="78" t="str">
        <f t="shared" si="0"/>
        <v>TEXT</v>
      </c>
      <c r="R27" s="78" t="str">
        <f t="shared" si="1"/>
        <v/>
      </c>
      <c r="S27" s="78" t="str">
        <f t="shared" si="5"/>
        <v/>
      </c>
      <c r="T27" s="78" t="str">
        <f t="shared" si="6"/>
        <v>-- 医療機関コード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942</v>
      </c>
      <c r="D28" s="13" t="s">
        <v>943</v>
      </c>
      <c r="E28" s="7"/>
      <c r="F28" s="7" t="s">
        <v>867</v>
      </c>
      <c r="G28" s="7" t="str">
        <f t="shared" si="3"/>
        <v>text</v>
      </c>
      <c r="H28" s="58"/>
      <c r="I28" s="23"/>
      <c r="J28" s="2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milscm_2023_009.sny_202310_backup_merge_receiptd_ir.reserve1 IS '予備1';</v>
      </c>
    </row>
    <row r="29" spans="1:52" s="25" customFormat="1">
      <c r="B29" s="21">
        <f t="shared" si="2"/>
        <v>17</v>
      </c>
      <c r="C29" s="13" t="s">
        <v>944</v>
      </c>
      <c r="D29" s="13" t="s">
        <v>945</v>
      </c>
      <c r="E29" s="7"/>
      <c r="F29" s="7" t="s">
        <v>867</v>
      </c>
      <c r="G29" s="7" t="str">
        <f t="shared" si="3"/>
        <v>text</v>
      </c>
      <c r="H29" s="58"/>
      <c r="I29" s="23"/>
      <c r="J29" s="24"/>
      <c r="N29" s="78"/>
      <c r="O29" s="78"/>
      <c r="P29" s="78" t="str">
        <f t="shared" si="4"/>
        <v>,hospital_name</v>
      </c>
      <c r="Q29" s="78" t="str">
        <f t="shared" si="0"/>
        <v>TEXT</v>
      </c>
      <c r="R29" s="78" t="str">
        <f t="shared" si="1"/>
        <v/>
      </c>
      <c r="S29" s="78" t="str">
        <f t="shared" si="5"/>
        <v/>
      </c>
      <c r="T29" s="78" t="str">
        <f t="shared" si="6"/>
        <v>-- 医療機関名称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946</v>
      </c>
      <c r="D30" s="13" t="s">
        <v>947</v>
      </c>
      <c r="E30" s="7"/>
      <c r="F30" s="7" t="s">
        <v>867</v>
      </c>
      <c r="G30" s="7" t="str">
        <f t="shared" si="3"/>
        <v>text</v>
      </c>
      <c r="H30" s="58"/>
      <c r="I30" s="23"/>
      <c r="J30" s="24"/>
      <c r="N30" s="78"/>
      <c r="O30" s="78"/>
      <c r="P30" s="78" t="str">
        <f t="shared" si="4"/>
        <v>,multi_volume_shikibetsu</v>
      </c>
      <c r="Q30" s="78" t="str">
        <f t="shared" si="0"/>
        <v>TEXT</v>
      </c>
      <c r="R30" s="78" t="str">
        <f t="shared" si="1"/>
        <v/>
      </c>
      <c r="S30" s="78" t="str">
        <f t="shared" si="5"/>
        <v/>
      </c>
      <c r="T30" s="78" t="str">
        <f t="shared" si="6"/>
        <v>-- マルチボリューム識別情報</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milscm_2023_009.sny_202310_backup_merge_receiptd_ir.multi_volume_shikibetsu IS 'マルチボリューム識別情報';</v>
      </c>
    </row>
    <row r="31" spans="1:52" s="25" customFormat="1" ht="18" thickBot="1">
      <c r="A31" s="4"/>
      <c r="B31" s="27">
        <f>ROW()-12</f>
        <v>19</v>
      </c>
      <c r="C31" s="57" t="s">
        <v>948</v>
      </c>
      <c r="D31" s="57" t="s">
        <v>949</v>
      </c>
      <c r="E31" s="56"/>
      <c r="F31" s="56" t="s">
        <v>867</v>
      </c>
      <c r="G31" s="56" t="str">
        <f t="shared" si="3"/>
        <v>text</v>
      </c>
      <c r="H31" s="59"/>
      <c r="I31" s="60"/>
      <c r="J31" s="64"/>
      <c r="N31" s="78"/>
      <c r="O31" s="78"/>
      <c r="P31" s="78" t="str">
        <f t="shared" si="4"/>
        <v>,phone_no</v>
      </c>
      <c r="Q31" s="78" t="str">
        <f t="shared" si="0"/>
        <v>TEXT</v>
      </c>
      <c r="R31" s="78" t="str">
        <f t="shared" si="1"/>
        <v/>
      </c>
      <c r="S31" s="78" t="str">
        <f t="shared" si="5"/>
        <v/>
      </c>
      <c r="T31" s="78" t="str">
        <f t="shared" si="6"/>
        <v>-- 電話番号</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milscm_2023_009.sny_202310_backup_merge_receiptd_ir.phone_no IS '電話番号';</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ENT_01_C3-02</v>
      </c>
      <c r="E6" s="251"/>
      <c r="F6" s="251"/>
      <c r="G6" s="251"/>
      <c r="H6" s="251"/>
      <c r="I6" s="251"/>
      <c r="J6" s="252"/>
    </row>
    <row r="7" spans="1:45">
      <c r="B7" s="240" t="s">
        <v>115</v>
      </c>
      <c r="C7" s="241"/>
      <c r="D7" s="242" t="s">
        <v>1222</v>
      </c>
      <c r="E7" s="243"/>
      <c r="F7" s="243"/>
      <c r="G7" s="243"/>
      <c r="H7" s="243"/>
      <c r="I7" s="243"/>
      <c r="J7" s="244"/>
    </row>
    <row r="8" spans="1:45">
      <c r="B8" s="240" t="s">
        <v>116</v>
      </c>
      <c r="C8" s="241"/>
      <c r="D8" s="242" t="str">
        <f>エンティティ一覧!AE2&amp;"_"&amp;D5&amp;"_merge_receiptd_re"</f>
        <v>sny_202310_backup_merge_receiptd_re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milscm_2023_009.sny_202310_backup_merge_receiptd_re;</v>
      </c>
      <c r="O10" s="78"/>
      <c r="P10" s="78"/>
      <c r="Q10" s="78"/>
      <c r="R10" s="78"/>
      <c r="S10" s="78"/>
      <c r="T10" s="78"/>
      <c r="AJ10" s="78" t="str">
        <f>"ALTER TABLE ONLY "&amp;エンティティ一覧!$O$2&amp;"."&amp;D$8</f>
        <v>ALTER TABLE ONLY milscm_2023_009.sny_202310_backup_merge_receiptd_re</v>
      </c>
      <c r="AS10" s="78" t="str">
        <f>"ALTER TABLE "&amp;エンティティ一覧!$O$2&amp;"."&amp;D$8&amp;" OWNER TO pgmisgrp1;"</f>
        <v>ALTER TABLE milscm_2023_009.sny_202310_backup_merge_receiptd_re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milscm_2023_009.sny_202310_backup_merge_receiptd_re</v>
      </c>
      <c r="O11" s="78"/>
      <c r="P11" s="78"/>
      <c r="Q11" s="78"/>
      <c r="R11" s="78"/>
      <c r="S11" s="78"/>
      <c r="T11" s="78"/>
      <c r="AJ11" s="78" t="str">
        <f>"ADD CONSTRAINT "&amp;D$8&amp;"_pkey PRIMARY KEY"</f>
        <v>ADD CONSTRAINT sny_202310_backup_merge_receiptd_re_pkey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75" si="0">UPPER(G13)</f>
        <v>TEXT</v>
      </c>
      <c r="R13" s="78" t="str">
        <f t="shared" ref="R13:R7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8"/>
      <c r="O14" s="78"/>
      <c r="P14" s="78" t="str">
        <f t="shared" ref="P14:P7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milscm_2023_009.sny_202310_backup_merge_receiptd_re.mil_karute_id IS '千年カルテID';</v>
      </c>
    </row>
    <row r="15" spans="1:45" s="25" customFormat="1" ht="34.799999999999997">
      <c r="A15" s="4"/>
      <c r="B15" s="21">
        <f t="shared" si="2"/>
        <v>3</v>
      </c>
      <c r="C15" s="13" t="s">
        <v>137</v>
      </c>
      <c r="D15" s="13" t="s">
        <v>128</v>
      </c>
      <c r="E15" s="7" t="s">
        <v>127</v>
      </c>
      <c r="F15" s="7" t="s">
        <v>867</v>
      </c>
      <c r="G15" s="7" t="str">
        <f t="shared" ref="G15:G74" si="5">IF(F15="フラグ","boolean",IF(F15="文字列","text",IF(F15="整数","integer",IF(F15="実数","numeric",""))))</f>
        <v>text</v>
      </c>
      <c r="H15" s="58"/>
      <c r="I15" s="23" t="s">
        <v>127</v>
      </c>
      <c r="J15" s="24" t="s">
        <v>1220</v>
      </c>
      <c r="M15" s="4"/>
      <c r="N15" s="78"/>
      <c r="O15" s="78"/>
      <c r="P15" s="78" t="str">
        <f t="shared" ref="P15:P74" si="6">IF(B15&lt;&gt;1,","&amp;D15,D15)</f>
        <v>,facility_id</v>
      </c>
      <c r="Q15" s="78" t="str">
        <f t="shared" ref="Q15:Q74" si="7">UPPER(G15)</f>
        <v>TEXT</v>
      </c>
      <c r="R15" s="78" t="str">
        <f t="shared" ref="R15:R74" si="8">IF(H15&lt;&gt;"","default "&amp;IF(G15="text","'"&amp;H15&amp;"'",H15),"")</f>
        <v/>
      </c>
      <c r="S15" s="78" t="str">
        <f t="shared" ref="S15:S74" si="9">IF(I15="○","NOT NULL","")</f>
        <v>NOT NULL</v>
      </c>
      <c r="T15" s="78" t="str">
        <f t="shared" ref="T15:T74" si="10">"--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924</v>
      </c>
      <c r="D16" s="13" t="s">
        <v>925</v>
      </c>
      <c r="E16" s="7" t="s">
        <v>127</v>
      </c>
      <c r="F16" s="7" t="s">
        <v>867</v>
      </c>
      <c r="G16" s="7" t="str">
        <f t="shared" si="5"/>
        <v>text</v>
      </c>
      <c r="H16" s="58"/>
      <c r="I16" s="23" t="s">
        <v>127</v>
      </c>
      <c r="J16" s="24" t="s">
        <v>1075</v>
      </c>
      <c r="M16" s="4"/>
      <c r="N16" s="78"/>
      <c r="O16" s="78"/>
      <c r="P16" s="78" t="str">
        <f t="shared" si="6"/>
        <v>,seikyu_ym</v>
      </c>
      <c r="Q16" s="78" t="str">
        <f t="shared" si="7"/>
        <v>TEXT</v>
      </c>
      <c r="R16" s="78" t="str">
        <f t="shared" si="8"/>
        <v/>
      </c>
      <c r="S16" s="78" t="str">
        <f t="shared" si="9"/>
        <v>NOT NULL</v>
      </c>
      <c r="T16" s="78" t="str">
        <f t="shared" si="10"/>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milscm_2023_009.sny_202310_backup_merge_receiptd_re.seikyu_ym IS '請求年月';</v>
      </c>
    </row>
    <row r="17" spans="1:45" s="25" customFormat="1" ht="69.599999999999994">
      <c r="A17" s="4"/>
      <c r="B17" s="21">
        <f t="shared" si="2"/>
        <v>5</v>
      </c>
      <c r="C17" s="13" t="s">
        <v>868</v>
      </c>
      <c r="D17" s="13" t="s">
        <v>206</v>
      </c>
      <c r="E17" s="7" t="s">
        <v>127</v>
      </c>
      <c r="F17" s="7" t="s">
        <v>867</v>
      </c>
      <c r="G17" s="7" t="str">
        <f t="shared" si="5"/>
        <v>text</v>
      </c>
      <c r="H17" s="58"/>
      <c r="I17" s="23" t="s">
        <v>127</v>
      </c>
      <c r="J17" s="24" t="s">
        <v>1076</v>
      </c>
      <c r="M17" s="4"/>
      <c r="N17" s="78"/>
      <c r="O17" s="78"/>
      <c r="P17" s="78" t="str">
        <f t="shared" si="6"/>
        <v>,shinryo_ym</v>
      </c>
      <c r="Q17" s="78" t="str">
        <f t="shared" si="7"/>
        <v>TEXT</v>
      </c>
      <c r="R17" s="78" t="str">
        <f t="shared" si="8"/>
        <v/>
      </c>
      <c r="S17" s="78" t="str">
        <f t="shared" si="9"/>
        <v>NOT NULL</v>
      </c>
      <c r="T17" s="78" t="str">
        <f t="shared" si="10"/>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867</v>
      </c>
      <c r="G18" s="7" t="str">
        <f t="shared" si="5"/>
        <v>text</v>
      </c>
      <c r="H18" s="58" t="s">
        <v>952</v>
      </c>
      <c r="I18" s="23" t="s">
        <v>127</v>
      </c>
      <c r="J18" s="24" t="s">
        <v>953</v>
      </c>
      <c r="M18" s="4"/>
      <c r="N18" s="78"/>
      <c r="O18" s="78"/>
      <c r="P18" s="78" t="str">
        <f t="shared" si="6"/>
        <v>,data_type</v>
      </c>
      <c r="Q18" s="78" t="str">
        <f t="shared" si="7"/>
        <v>TEXT</v>
      </c>
      <c r="R18" s="78" t="str">
        <f t="shared" si="8"/>
        <v>default 'RCP'</v>
      </c>
      <c r="S18" s="78" t="str">
        <f t="shared" si="9"/>
        <v>NOT NULL</v>
      </c>
      <c r="T18" s="78" t="str">
        <f t="shared" si="10"/>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926</v>
      </c>
      <c r="D19" s="13" t="s">
        <v>927</v>
      </c>
      <c r="E19" s="7" t="s">
        <v>127</v>
      </c>
      <c r="F19" s="7" t="s">
        <v>867</v>
      </c>
      <c r="G19" s="7" t="str">
        <f t="shared" si="5"/>
        <v>text</v>
      </c>
      <c r="H19" s="58"/>
      <c r="I19" s="23" t="s">
        <v>127</v>
      </c>
      <c r="J19" s="24" t="s">
        <v>1077</v>
      </c>
      <c r="M19" s="4"/>
      <c r="N19" s="78"/>
      <c r="O19" s="78"/>
      <c r="P19" s="78" t="str">
        <f t="shared" si="6"/>
        <v>,shinsa_kikan</v>
      </c>
      <c r="Q19" s="78" t="str">
        <f t="shared" si="7"/>
        <v>TEXT</v>
      </c>
      <c r="R19" s="78" t="str">
        <f t="shared" si="8"/>
        <v/>
      </c>
      <c r="S19" s="78" t="str">
        <f t="shared" si="9"/>
        <v>NOT NULL</v>
      </c>
      <c r="T19" s="78" t="str">
        <f t="shared" si="10"/>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928</v>
      </c>
      <c r="D20" s="13" t="s">
        <v>929</v>
      </c>
      <c r="E20" s="7"/>
      <c r="F20" s="7" t="s">
        <v>867</v>
      </c>
      <c r="G20" s="7" t="str">
        <f t="shared" si="5"/>
        <v>text</v>
      </c>
      <c r="H20" s="58" t="s">
        <v>1078</v>
      </c>
      <c r="I20" s="23" t="s">
        <v>127</v>
      </c>
      <c r="J20" s="24" t="s">
        <v>1079</v>
      </c>
      <c r="M20" s="4"/>
      <c r="N20" s="78"/>
      <c r="O20" s="78"/>
      <c r="P20" s="78" t="str">
        <f t="shared" si="6"/>
        <v>,record_shikibetsu</v>
      </c>
      <c r="Q20" s="78" t="str">
        <f t="shared" si="7"/>
        <v>TEXT</v>
      </c>
      <c r="R20" s="78" t="str">
        <f t="shared" si="8"/>
        <v>default 'RE'</v>
      </c>
      <c r="S20" s="78" t="str">
        <f t="shared" si="9"/>
        <v>NOT NULL</v>
      </c>
      <c r="T20" s="78" t="str">
        <f t="shared" si="10"/>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930</v>
      </c>
      <c r="D21" s="13" t="s">
        <v>931</v>
      </c>
      <c r="E21" s="7" t="s">
        <v>127</v>
      </c>
      <c r="F21" s="7" t="s">
        <v>204</v>
      </c>
      <c r="G21" s="7" t="str">
        <f t="shared" si="5"/>
        <v>integer</v>
      </c>
      <c r="H21" s="58"/>
      <c r="I21" s="23" t="s">
        <v>127</v>
      </c>
      <c r="J21" s="24" t="s">
        <v>1080</v>
      </c>
      <c r="M21" s="4"/>
      <c r="N21" s="78"/>
      <c r="O21" s="78"/>
      <c r="P21" s="78" t="str">
        <f t="shared" si="6"/>
        <v>,receipt_no</v>
      </c>
      <c r="Q21" s="78" t="str">
        <f t="shared" si="7"/>
        <v>INTEGER</v>
      </c>
      <c r="R21" s="78" t="str">
        <f t="shared" si="8"/>
        <v/>
      </c>
      <c r="S21" s="78" t="str">
        <f t="shared" si="9"/>
        <v>NOT NULL</v>
      </c>
      <c r="T21" s="78" t="str">
        <f t="shared" si="10"/>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932</v>
      </c>
      <c r="D22" s="13" t="s">
        <v>933</v>
      </c>
      <c r="E22" s="7" t="s">
        <v>127</v>
      </c>
      <c r="F22" s="7" t="s">
        <v>204</v>
      </c>
      <c r="G22" s="7" t="str">
        <f t="shared" si="5"/>
        <v>integer</v>
      </c>
      <c r="H22" s="58"/>
      <c r="I22" s="23" t="s">
        <v>127</v>
      </c>
      <c r="J22" s="24" t="s">
        <v>1225</v>
      </c>
      <c r="M22" s="4"/>
      <c r="N22" s="78"/>
      <c r="O22" s="78"/>
      <c r="P22" s="78" t="str">
        <f t="shared" si="6"/>
        <v>,gyo_no</v>
      </c>
      <c r="Q22" s="78" t="str">
        <f t="shared" si="7"/>
        <v>INTEGER</v>
      </c>
      <c r="R22" s="78" t="str">
        <f t="shared" si="8"/>
        <v/>
      </c>
      <c r="S22" s="78" t="str">
        <f t="shared" si="9"/>
        <v>NOT NULL</v>
      </c>
      <c r="T22" s="78" t="str">
        <f t="shared" si="10"/>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milscm_2023_009.sny_202310_backup_merge_receiptd_re.gyo_no IS '行番号';</v>
      </c>
    </row>
    <row r="23" spans="1:45" s="25" customFormat="1">
      <c r="A23" s="4"/>
      <c r="B23" s="21">
        <f t="shared" si="2"/>
        <v>11</v>
      </c>
      <c r="C23" s="13" t="s">
        <v>934</v>
      </c>
      <c r="D23" s="13" t="s">
        <v>935</v>
      </c>
      <c r="E23" s="7"/>
      <c r="F23" s="7" t="s">
        <v>867</v>
      </c>
      <c r="G23" s="7" t="str">
        <f t="shared" si="5"/>
        <v>text</v>
      </c>
      <c r="H23" s="58"/>
      <c r="I23" s="23"/>
      <c r="J23" s="24" t="s">
        <v>1082</v>
      </c>
      <c r="M23" s="4"/>
      <c r="N23" s="78"/>
      <c r="O23" s="78"/>
      <c r="P23" s="78" t="str">
        <f t="shared" si="6"/>
        <v>,karute_no</v>
      </c>
      <c r="Q23" s="78" t="str">
        <f t="shared" si="7"/>
        <v>TEXT</v>
      </c>
      <c r="R23" s="78" t="str">
        <f t="shared" si="8"/>
        <v/>
      </c>
      <c r="S23" s="78" t="str">
        <f t="shared" si="9"/>
        <v/>
      </c>
      <c r="T23" s="78" t="str">
        <f t="shared" si="10"/>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1218</v>
      </c>
      <c r="D24" s="13" t="s">
        <v>1219</v>
      </c>
      <c r="E24" s="7"/>
      <c r="F24" s="7" t="s">
        <v>867</v>
      </c>
      <c r="G24" s="7" t="str">
        <f t="shared" si="5"/>
        <v>text</v>
      </c>
      <c r="H24" s="58"/>
      <c r="I24" s="23"/>
      <c r="J24" s="24"/>
      <c r="M24" s="4"/>
      <c r="N24" s="78"/>
      <c r="O24" s="78"/>
      <c r="P24" s="78" t="str">
        <f t="shared" si="6"/>
        <v>,receipt_sokatsu_kubun</v>
      </c>
      <c r="Q24" s="78" t="str">
        <f t="shared" si="7"/>
        <v>TEXT</v>
      </c>
      <c r="R24" s="78" t="str">
        <f t="shared" si="8"/>
        <v/>
      </c>
      <c r="S24" s="78" t="str">
        <f t="shared" si="9"/>
        <v/>
      </c>
      <c r="T24" s="78" t="str">
        <f t="shared" si="10"/>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960</v>
      </c>
      <c r="D25" s="13" t="s">
        <v>961</v>
      </c>
      <c r="E25" s="7"/>
      <c r="F25" s="7" t="s">
        <v>867</v>
      </c>
      <c r="G25" s="7" t="str">
        <f t="shared" si="5"/>
        <v>text</v>
      </c>
      <c r="H25" s="58"/>
      <c r="I25" s="23"/>
      <c r="J25" s="24"/>
      <c r="M25" s="4"/>
      <c r="N25" s="78"/>
      <c r="O25" s="78"/>
      <c r="P25" s="78" t="str">
        <f t="shared" si="6"/>
        <v>,receipt_type</v>
      </c>
      <c r="Q25" s="78" t="str">
        <f t="shared" si="7"/>
        <v>TEXT</v>
      </c>
      <c r="R25" s="78" t="str">
        <f t="shared" si="8"/>
        <v/>
      </c>
      <c r="S25" s="78" t="str">
        <f t="shared" si="9"/>
        <v/>
      </c>
      <c r="T25" s="78" t="str">
        <f t="shared" si="10"/>
        <v>-- 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962</v>
      </c>
      <c r="D26" s="13" t="s">
        <v>963</v>
      </c>
      <c r="E26" s="7"/>
      <c r="F26" s="7" t="s">
        <v>867</v>
      </c>
      <c r="G26" s="7" t="str">
        <f t="shared" si="5"/>
        <v>text</v>
      </c>
      <c r="H26" s="58"/>
      <c r="I26" s="23"/>
      <c r="J26" s="24" t="s">
        <v>1083</v>
      </c>
      <c r="M26" s="4"/>
      <c r="N26" s="78"/>
      <c r="O26" s="78"/>
      <c r="P26" s="78" t="str">
        <f t="shared" si="6"/>
        <v>,name</v>
      </c>
      <c r="Q26" s="78" t="str">
        <f t="shared" si="7"/>
        <v>TEXT</v>
      </c>
      <c r="R26" s="78" t="str">
        <f t="shared" si="8"/>
        <v/>
      </c>
      <c r="S26" s="78" t="str">
        <f t="shared" si="9"/>
        <v/>
      </c>
      <c r="T26" s="78" t="str">
        <f t="shared" si="10"/>
        <v>-- 氏名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milscm_2023_009.sny_202310_backup_merge_receiptd_re.name IS '氏名';</v>
      </c>
    </row>
    <row r="27" spans="1:45" s="25" customFormat="1">
      <c r="A27" s="4"/>
      <c r="B27" s="21">
        <f t="shared" si="2"/>
        <v>15</v>
      </c>
      <c r="C27" s="13" t="s">
        <v>964</v>
      </c>
      <c r="D27" s="13" t="s">
        <v>965</v>
      </c>
      <c r="E27" s="7"/>
      <c r="F27" s="7" t="s">
        <v>867</v>
      </c>
      <c r="G27" s="7" t="str">
        <f t="shared" si="5"/>
        <v>text</v>
      </c>
      <c r="H27" s="58"/>
      <c r="I27" s="23"/>
      <c r="J27" s="24" t="s">
        <v>1084</v>
      </c>
      <c r="M27" s="4"/>
      <c r="N27" s="78"/>
      <c r="O27" s="78"/>
      <c r="P27" s="78" t="str">
        <f t="shared" si="6"/>
        <v>,sex_kubun</v>
      </c>
      <c r="Q27" s="78" t="str">
        <f t="shared" si="7"/>
        <v>TEXT</v>
      </c>
      <c r="R27" s="78" t="str">
        <f t="shared" si="8"/>
        <v/>
      </c>
      <c r="S27" s="78" t="str">
        <f t="shared" si="9"/>
        <v/>
      </c>
      <c r="T27" s="78" t="str">
        <f t="shared" si="10"/>
        <v>-- 男女区分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milscm_2023_009.sny_202310_backup_merge_receiptd_re.sex_kubun IS '男女区分';</v>
      </c>
    </row>
    <row r="28" spans="1:45" s="25" customFormat="1" ht="87">
      <c r="A28" s="4"/>
      <c r="B28" s="21">
        <f t="shared" si="2"/>
        <v>16</v>
      </c>
      <c r="C28" s="13" t="s">
        <v>966</v>
      </c>
      <c r="D28" s="13" t="s">
        <v>322</v>
      </c>
      <c r="E28" s="7"/>
      <c r="F28" s="7" t="s">
        <v>867</v>
      </c>
      <c r="G28" s="7" t="str">
        <f t="shared" si="5"/>
        <v>text</v>
      </c>
      <c r="H28" s="58"/>
      <c r="I28" s="23"/>
      <c r="J28" s="24" t="s">
        <v>1215</v>
      </c>
      <c r="M28" s="4"/>
      <c r="N28" s="78"/>
      <c r="O28" s="78"/>
      <c r="P28" s="78" t="str">
        <f t="shared" si="6"/>
        <v>,birthday</v>
      </c>
      <c r="Q28" s="78" t="str">
        <f t="shared" si="7"/>
        <v>TEXT</v>
      </c>
      <c r="R28" s="78" t="str">
        <f t="shared" si="8"/>
        <v/>
      </c>
      <c r="S28" s="78" t="str">
        <f t="shared" si="9"/>
        <v/>
      </c>
      <c r="T28" s="78" t="str">
        <f t="shared" si="10"/>
        <v>-- 生年月日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967</v>
      </c>
      <c r="D29" s="13" t="s">
        <v>968</v>
      </c>
      <c r="E29" s="7"/>
      <c r="F29" s="7" t="s">
        <v>204</v>
      </c>
      <c r="G29" s="7" t="str">
        <f t="shared" si="5"/>
        <v>integer</v>
      </c>
      <c r="H29" s="58"/>
      <c r="I29" s="23"/>
      <c r="J29" s="24"/>
      <c r="M29" s="4"/>
      <c r="N29" s="78"/>
      <c r="O29" s="78"/>
      <c r="P29" s="78" t="str">
        <f t="shared" si="6"/>
        <v>,kyufu_wariai</v>
      </c>
      <c r="Q29" s="78" t="str">
        <f t="shared" si="7"/>
        <v>INTEGER</v>
      </c>
      <c r="R29" s="78" t="str">
        <f t="shared" si="8"/>
        <v/>
      </c>
      <c r="S29" s="78" t="str">
        <f t="shared" si="9"/>
        <v/>
      </c>
      <c r="T29" s="78" t="str">
        <f t="shared" si="10"/>
        <v>-- 給付割合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milscm_2023_009.sny_202310_backup_merge_receiptd_re.kyufu_wariai IS '給付割合';</v>
      </c>
    </row>
    <row r="30" spans="1:45" s="25" customFormat="1" ht="69.599999999999994">
      <c r="A30" s="4"/>
      <c r="B30" s="21">
        <f t="shared" si="2"/>
        <v>18</v>
      </c>
      <c r="C30" s="13" t="s">
        <v>870</v>
      </c>
      <c r="D30" s="13" t="s">
        <v>156</v>
      </c>
      <c r="E30" s="7"/>
      <c r="F30" s="7" t="s">
        <v>867</v>
      </c>
      <c r="G30" s="7" t="str">
        <f t="shared" si="5"/>
        <v>text</v>
      </c>
      <c r="H30" s="58"/>
      <c r="I30" s="23"/>
      <c r="J30" s="24" t="s">
        <v>1086</v>
      </c>
      <c r="M30" s="4"/>
      <c r="N30" s="78"/>
      <c r="O30" s="78"/>
      <c r="P30" s="78" t="str">
        <f t="shared" si="6"/>
        <v>,nyuin_ymd</v>
      </c>
      <c r="Q30" s="78" t="str">
        <f t="shared" si="7"/>
        <v>TEXT</v>
      </c>
      <c r="R30" s="78" t="str">
        <f t="shared" si="8"/>
        <v/>
      </c>
      <c r="S30" s="78" t="str">
        <f t="shared" si="9"/>
        <v/>
      </c>
      <c r="T30" s="78" t="str">
        <f t="shared" si="10"/>
        <v>-- 入院年月日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969</v>
      </c>
      <c r="D31" s="13" t="s">
        <v>970</v>
      </c>
      <c r="E31" s="7"/>
      <c r="F31" s="7" t="s">
        <v>867</v>
      </c>
      <c r="G31" s="7" t="str">
        <f t="shared" si="5"/>
        <v>text</v>
      </c>
      <c r="H31" s="58"/>
      <c r="I31" s="23"/>
      <c r="J31" s="24" t="s">
        <v>1087</v>
      </c>
      <c r="M31" s="4"/>
      <c r="N31" s="78"/>
      <c r="O31" s="78"/>
      <c r="P31" s="78" t="str">
        <f t="shared" si="6"/>
        <v>,ward_kubun1</v>
      </c>
      <c r="Q31" s="78" t="str">
        <f t="shared" si="7"/>
        <v>TEXT</v>
      </c>
      <c r="R31" s="78" t="str">
        <f t="shared" si="8"/>
        <v/>
      </c>
      <c r="S31" s="78" t="str">
        <f t="shared" si="9"/>
        <v/>
      </c>
      <c r="T31" s="78" t="str">
        <f t="shared" si="10"/>
        <v>-- 病棟区分1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971</v>
      </c>
      <c r="D32" s="13" t="s">
        <v>972</v>
      </c>
      <c r="E32" s="7"/>
      <c r="F32" s="7" t="s">
        <v>867</v>
      </c>
      <c r="G32" s="7" t="str">
        <f t="shared" si="5"/>
        <v>text</v>
      </c>
      <c r="H32" s="58"/>
      <c r="I32" s="23"/>
      <c r="J32" s="24"/>
      <c r="M32" s="4"/>
      <c r="N32" s="78"/>
      <c r="O32" s="78"/>
      <c r="P32" s="78" t="str">
        <f t="shared" si="6"/>
        <v>,ward_kubun2</v>
      </c>
      <c r="Q32" s="78" t="str">
        <f t="shared" si="7"/>
        <v>TEXT</v>
      </c>
      <c r="R32" s="78" t="str">
        <f t="shared" si="8"/>
        <v/>
      </c>
      <c r="S32" s="78" t="str">
        <f t="shared" si="9"/>
        <v/>
      </c>
      <c r="T32" s="78" t="str">
        <f t="shared" si="10"/>
        <v>-- 病棟区分2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973</v>
      </c>
      <c r="D33" s="13" t="s">
        <v>974</v>
      </c>
      <c r="E33" s="7"/>
      <c r="F33" s="7" t="s">
        <v>867</v>
      </c>
      <c r="G33" s="7" t="str">
        <f t="shared" si="5"/>
        <v>text</v>
      </c>
      <c r="H33" s="58"/>
      <c r="I33" s="23"/>
      <c r="J33" s="24"/>
      <c r="M33" s="4"/>
      <c r="N33" s="78"/>
      <c r="O33" s="78"/>
      <c r="P33" s="78" t="str">
        <f t="shared" si="6"/>
        <v>,ward_kubun3</v>
      </c>
      <c r="Q33" s="78" t="str">
        <f t="shared" si="7"/>
        <v>TEXT</v>
      </c>
      <c r="R33" s="78" t="str">
        <f t="shared" si="8"/>
        <v/>
      </c>
      <c r="S33" s="78" t="str">
        <f t="shared" si="9"/>
        <v/>
      </c>
      <c r="T33" s="78" t="str">
        <f t="shared" si="10"/>
        <v>-- 病棟区分3</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975</v>
      </c>
      <c r="D34" s="13" t="s">
        <v>976</v>
      </c>
      <c r="E34" s="7"/>
      <c r="F34" s="7" t="s">
        <v>867</v>
      </c>
      <c r="G34" s="7" t="str">
        <f t="shared" si="5"/>
        <v>text</v>
      </c>
      <c r="H34" s="58"/>
      <c r="I34" s="23"/>
      <c r="J34" s="24"/>
      <c r="M34" s="4"/>
      <c r="N34" s="78"/>
      <c r="O34" s="78"/>
      <c r="P34" s="78" t="str">
        <f t="shared" si="6"/>
        <v>,ward_kubun4</v>
      </c>
      <c r="Q34" s="78" t="str">
        <f t="shared" si="7"/>
        <v>TEXT</v>
      </c>
      <c r="R34" s="78" t="str">
        <f t="shared" si="8"/>
        <v/>
      </c>
      <c r="S34" s="78" t="str">
        <f t="shared" si="9"/>
        <v/>
      </c>
      <c r="T34" s="78" t="str">
        <f t="shared" si="10"/>
        <v>-- 病棟区分4</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milscm_2023_009.sny_202310_backup_merge_receiptd_re.ward_kubun4 IS '病棟区分4';</v>
      </c>
    </row>
    <row r="35" spans="1:45" s="25" customFormat="1" ht="30">
      <c r="A35" s="4"/>
      <c r="B35" s="21">
        <f t="shared" si="2"/>
        <v>23</v>
      </c>
      <c r="C35" s="13" t="s">
        <v>977</v>
      </c>
      <c r="D35" s="13" t="s">
        <v>978</v>
      </c>
      <c r="E35" s="7"/>
      <c r="F35" s="7" t="s">
        <v>867</v>
      </c>
      <c r="G35" s="7" t="str">
        <f t="shared" si="5"/>
        <v>text</v>
      </c>
      <c r="H35" s="58"/>
      <c r="I35" s="23"/>
      <c r="J35" s="24"/>
      <c r="M35" s="4"/>
      <c r="N35" s="78"/>
      <c r="O35" s="78"/>
      <c r="P35" s="78" t="str">
        <f t="shared" si="6"/>
        <v>,ichibu_futankin_kubun</v>
      </c>
      <c r="Q35" s="78" t="str">
        <f t="shared" si="7"/>
        <v>TEXT</v>
      </c>
      <c r="R35" s="78" t="str">
        <f t="shared" si="8"/>
        <v/>
      </c>
      <c r="S35" s="78" t="str">
        <f t="shared" si="9"/>
        <v/>
      </c>
      <c r="T35" s="78" t="str">
        <f t="shared" si="10"/>
        <v>-- 一部負担金・食事療養費・生活療養費標準負担額区分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979</v>
      </c>
      <c r="D36" s="13" t="s">
        <v>980</v>
      </c>
      <c r="E36" s="7"/>
      <c r="F36" s="7" t="s">
        <v>867</v>
      </c>
      <c r="G36" s="7" t="str">
        <f t="shared" si="5"/>
        <v>text</v>
      </c>
      <c r="H36" s="58"/>
      <c r="I36" s="23"/>
      <c r="J36" s="24" t="s">
        <v>1088</v>
      </c>
      <c r="M36" s="4"/>
      <c r="N36" s="78"/>
      <c r="O36" s="78"/>
      <c r="P36" s="78" t="str">
        <f t="shared" si="6"/>
        <v>,receipt_tokki_code1</v>
      </c>
      <c r="Q36" s="78" t="str">
        <f t="shared" si="7"/>
        <v>TEXT</v>
      </c>
      <c r="R36" s="78" t="str">
        <f t="shared" si="8"/>
        <v/>
      </c>
      <c r="S36" s="78" t="str">
        <f t="shared" si="9"/>
        <v/>
      </c>
      <c r="T36" s="78" t="str">
        <f t="shared" si="10"/>
        <v>-- レセプト特記事項1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981</v>
      </c>
      <c r="D37" s="13" t="s">
        <v>982</v>
      </c>
      <c r="E37" s="7"/>
      <c r="F37" s="7" t="s">
        <v>867</v>
      </c>
      <c r="G37" s="7" t="str">
        <f t="shared" si="5"/>
        <v>text</v>
      </c>
      <c r="H37" s="58"/>
      <c r="I37" s="23"/>
      <c r="J37" s="24"/>
      <c r="M37" s="4"/>
      <c r="N37" s="78"/>
      <c r="O37" s="78"/>
      <c r="P37" s="78" t="str">
        <f t="shared" si="6"/>
        <v>,receipt_tokki_code2</v>
      </c>
      <c r="Q37" s="78" t="str">
        <f t="shared" si="7"/>
        <v>TEXT</v>
      </c>
      <c r="R37" s="78" t="str">
        <f t="shared" si="8"/>
        <v/>
      </c>
      <c r="S37" s="78" t="str">
        <f t="shared" si="9"/>
        <v/>
      </c>
      <c r="T37" s="78" t="str">
        <f t="shared" si="10"/>
        <v>-- レセプト特記事項2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983</v>
      </c>
      <c r="D38" s="13" t="s">
        <v>984</v>
      </c>
      <c r="E38" s="7"/>
      <c r="F38" s="7" t="s">
        <v>867</v>
      </c>
      <c r="G38" s="7" t="str">
        <f t="shared" si="5"/>
        <v>text</v>
      </c>
      <c r="H38" s="58"/>
      <c r="I38" s="23"/>
      <c r="J38" s="24"/>
      <c r="M38" s="4"/>
      <c r="N38" s="78"/>
      <c r="O38" s="78"/>
      <c r="P38" s="78" t="str">
        <f t="shared" si="6"/>
        <v>,receipt_tokki_code3</v>
      </c>
      <c r="Q38" s="78" t="str">
        <f t="shared" si="7"/>
        <v>TEXT</v>
      </c>
      <c r="R38" s="78" t="str">
        <f t="shared" si="8"/>
        <v/>
      </c>
      <c r="S38" s="78" t="str">
        <f t="shared" si="9"/>
        <v/>
      </c>
      <c r="T38" s="78" t="str">
        <f t="shared" si="10"/>
        <v>-- レセプト特記事項3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985</v>
      </c>
      <c r="D39" s="13" t="s">
        <v>986</v>
      </c>
      <c r="E39" s="7"/>
      <c r="F39" s="7" t="s">
        <v>867</v>
      </c>
      <c r="G39" s="7" t="str">
        <f t="shared" si="5"/>
        <v>text</v>
      </c>
      <c r="H39" s="58"/>
      <c r="I39" s="23"/>
      <c r="J39" s="24"/>
      <c r="M39" s="4"/>
      <c r="N39" s="78"/>
      <c r="O39" s="78"/>
      <c r="P39" s="78" t="str">
        <f t="shared" si="6"/>
        <v>,receipt_tokki_code4</v>
      </c>
      <c r="Q39" s="78" t="str">
        <f t="shared" si="7"/>
        <v>TEXT</v>
      </c>
      <c r="R39" s="78" t="str">
        <f t="shared" si="8"/>
        <v/>
      </c>
      <c r="S39" s="78" t="str">
        <f t="shared" si="9"/>
        <v/>
      </c>
      <c r="T39" s="78" t="str">
        <f t="shared" si="10"/>
        <v>-- レセプト特記事項4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987</v>
      </c>
      <c r="D40" s="13" t="s">
        <v>988</v>
      </c>
      <c r="E40" s="7"/>
      <c r="F40" s="7" t="s">
        <v>867</v>
      </c>
      <c r="G40" s="7" t="str">
        <f t="shared" si="5"/>
        <v>text</v>
      </c>
      <c r="H40" s="58"/>
      <c r="I40" s="23"/>
      <c r="J40" s="24"/>
      <c r="M40" s="4"/>
      <c r="N40" s="78"/>
      <c r="O40" s="78"/>
      <c r="P40" s="78" t="str">
        <f t="shared" si="6"/>
        <v>,receipt_tokki_code5</v>
      </c>
      <c r="Q40" s="78" t="str">
        <f t="shared" si="7"/>
        <v>TEXT</v>
      </c>
      <c r="R40" s="78" t="str">
        <f t="shared" si="8"/>
        <v/>
      </c>
      <c r="S40" s="78" t="str">
        <f t="shared" si="9"/>
        <v/>
      </c>
      <c r="T40" s="78" t="str">
        <f t="shared" si="10"/>
        <v>-- レセプト特記事項5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942</v>
      </c>
      <c r="D41" s="13" t="s">
        <v>943</v>
      </c>
      <c r="E41" s="7"/>
      <c r="F41" s="7" t="s">
        <v>867</v>
      </c>
      <c r="G41" s="7" t="str">
        <f t="shared" si="5"/>
        <v>text</v>
      </c>
      <c r="H41" s="58"/>
      <c r="I41" s="23"/>
      <c r="J41" s="24"/>
      <c r="M41" s="4"/>
      <c r="N41" s="78"/>
      <c r="O41" s="78"/>
      <c r="P41" s="78" t="str">
        <f t="shared" si="6"/>
        <v>,reserve1</v>
      </c>
      <c r="Q41" s="78" t="str">
        <f t="shared" si="7"/>
        <v>TEXT</v>
      </c>
      <c r="R41" s="78" t="str">
        <f t="shared" si="8"/>
        <v/>
      </c>
      <c r="S41" s="78" t="str">
        <f t="shared" si="9"/>
        <v/>
      </c>
      <c r="T41" s="78" t="str">
        <f t="shared" si="10"/>
        <v>-- 予備1</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milscm_2023_009.sny_202310_backup_merge_receiptd_re.reserve1 IS '予備1';</v>
      </c>
    </row>
    <row r="42" spans="1:45" s="25" customFormat="1">
      <c r="A42" s="4"/>
      <c r="B42" s="21">
        <f t="shared" si="2"/>
        <v>30</v>
      </c>
      <c r="C42" s="13" t="s">
        <v>991</v>
      </c>
      <c r="D42" s="13" t="s">
        <v>992</v>
      </c>
      <c r="E42" s="7"/>
      <c r="F42" s="7" t="s">
        <v>204</v>
      </c>
      <c r="G42" s="7" t="str">
        <f t="shared" si="5"/>
        <v>integer</v>
      </c>
      <c r="H42" s="58"/>
      <c r="I42" s="23"/>
      <c r="J42" s="24"/>
      <c r="M42" s="4"/>
      <c r="N42" s="78"/>
      <c r="O42" s="78"/>
      <c r="P42" s="78" t="str">
        <f t="shared" si="6"/>
        <v>,waribiki_tensu</v>
      </c>
      <c r="Q42" s="78" t="str">
        <f t="shared" si="7"/>
        <v>INTEGER</v>
      </c>
      <c r="R42" s="78" t="str">
        <f t="shared" si="8"/>
        <v/>
      </c>
      <c r="S42" s="78" t="str">
        <f t="shared" si="9"/>
        <v/>
      </c>
      <c r="T42" s="78" t="str">
        <f t="shared" si="10"/>
        <v>-- 割引点数単価</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993</v>
      </c>
      <c r="D43" s="13" t="s">
        <v>994</v>
      </c>
      <c r="E43" s="7"/>
      <c r="F43" s="7" t="s">
        <v>867</v>
      </c>
      <c r="G43" s="7" t="str">
        <f t="shared" si="5"/>
        <v>text</v>
      </c>
      <c r="H43" s="58"/>
      <c r="I43" s="23"/>
      <c r="J43" s="24"/>
      <c r="M43" s="4"/>
      <c r="N43" s="78"/>
      <c r="O43" s="78"/>
      <c r="P43" s="78" t="str">
        <f t="shared" si="6"/>
        <v>,reserve2</v>
      </c>
      <c r="Q43" s="78" t="str">
        <f t="shared" si="7"/>
        <v>TEXT</v>
      </c>
      <c r="R43" s="78" t="str">
        <f t="shared" si="8"/>
        <v/>
      </c>
      <c r="S43" s="78" t="str">
        <f t="shared" si="9"/>
        <v/>
      </c>
      <c r="T43" s="78" t="str">
        <f t="shared" si="10"/>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milscm_2023_009.sny_202310_backup_merge_receiptd_re.reserve2 IS '予備2';</v>
      </c>
    </row>
    <row r="44" spans="1:45" s="25" customFormat="1">
      <c r="A44" s="4"/>
      <c r="B44" s="21">
        <f t="shared" si="2"/>
        <v>32</v>
      </c>
      <c r="C44" s="13" t="s">
        <v>995</v>
      </c>
      <c r="D44" s="13" t="s">
        <v>996</v>
      </c>
      <c r="E44" s="7"/>
      <c r="F44" s="7" t="s">
        <v>867</v>
      </c>
      <c r="G44" s="7" t="str">
        <f t="shared" si="5"/>
        <v>text</v>
      </c>
      <c r="H44" s="58"/>
      <c r="I44" s="23"/>
      <c r="J44" s="24"/>
      <c r="M44" s="4"/>
      <c r="N44" s="78"/>
      <c r="O44" s="78"/>
      <c r="P44" s="78" t="str">
        <f t="shared" si="6"/>
        <v>,reserve3</v>
      </c>
      <c r="Q44" s="78" t="str">
        <f t="shared" si="7"/>
        <v>TEXT</v>
      </c>
      <c r="R44" s="78" t="str">
        <f t="shared" si="8"/>
        <v/>
      </c>
      <c r="S44" s="78" t="str">
        <f t="shared" si="9"/>
        <v/>
      </c>
      <c r="T44" s="78" t="str">
        <f t="shared" si="10"/>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milscm_2023_009.sny_202310_backup_merge_receiptd_re.reserve3 IS '予備3';</v>
      </c>
    </row>
    <row r="45" spans="1:45" s="25" customFormat="1">
      <c r="A45" s="4"/>
      <c r="B45" s="21">
        <f t="shared" si="2"/>
        <v>33</v>
      </c>
      <c r="C45" s="13" t="s">
        <v>1202</v>
      </c>
      <c r="D45" s="13" t="s">
        <v>1203</v>
      </c>
      <c r="E45" s="7"/>
      <c r="F45" s="7" t="s">
        <v>867</v>
      </c>
      <c r="G45" s="7" t="str">
        <f t="shared" si="5"/>
        <v>text</v>
      </c>
      <c r="H45" s="58"/>
      <c r="I45" s="23"/>
      <c r="J45" s="24"/>
      <c r="M45" s="4"/>
      <c r="N45" s="78"/>
      <c r="O45" s="78"/>
      <c r="P45" s="78" t="str">
        <f t="shared" si="6"/>
        <v>,reserve4</v>
      </c>
      <c r="Q45" s="78" t="str">
        <f t="shared" si="7"/>
        <v>TEXT</v>
      </c>
      <c r="R45" s="78" t="str">
        <f t="shared" si="8"/>
        <v/>
      </c>
      <c r="S45" s="78" t="str">
        <f t="shared" si="9"/>
        <v/>
      </c>
      <c r="T45" s="78" t="str">
        <f t="shared" si="10"/>
        <v>-- 予備4</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milscm_2023_009.sny_202310_backup_merge_receiptd_re.reserve4 IS '予備4';</v>
      </c>
    </row>
    <row r="46" spans="1:45" s="25" customFormat="1">
      <c r="A46" s="4"/>
      <c r="B46" s="21">
        <f t="shared" si="2"/>
        <v>34</v>
      </c>
      <c r="C46" s="13" t="s">
        <v>1223</v>
      </c>
      <c r="D46" s="13" t="s">
        <v>1224</v>
      </c>
      <c r="E46" s="7"/>
      <c r="F46" s="7" t="s">
        <v>204</v>
      </c>
      <c r="G46" s="7" t="str">
        <f t="shared" si="5"/>
        <v>integer</v>
      </c>
      <c r="H46" s="58"/>
      <c r="I46" s="23"/>
      <c r="J46" s="24"/>
      <c r="M46" s="4"/>
      <c r="N46" s="78"/>
      <c r="O46" s="78"/>
      <c r="P46" s="78" t="str">
        <f t="shared" si="6"/>
        <v>,meisai_su</v>
      </c>
      <c r="Q46" s="78" t="str">
        <f t="shared" si="7"/>
        <v>INTEGER</v>
      </c>
      <c r="R46" s="78" t="str">
        <f t="shared" si="8"/>
        <v/>
      </c>
      <c r="S46" s="78" t="str">
        <f t="shared" si="9"/>
        <v/>
      </c>
      <c r="T46" s="78" t="str">
        <f t="shared" si="10"/>
        <v>-- 明細情報数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997</v>
      </c>
      <c r="D47" s="13" t="s">
        <v>998</v>
      </c>
      <c r="E47" s="7"/>
      <c r="F47" s="7" t="s">
        <v>867</v>
      </c>
      <c r="G47" s="7" t="str">
        <f t="shared" si="5"/>
        <v>text</v>
      </c>
      <c r="H47" s="58"/>
      <c r="I47" s="23"/>
      <c r="J47" s="24"/>
      <c r="M47" s="4"/>
      <c r="N47" s="78"/>
      <c r="O47" s="78"/>
      <c r="P47" s="78" t="str">
        <f t="shared" si="6"/>
        <v>,kensaku_no</v>
      </c>
      <c r="Q47" s="78" t="str">
        <f t="shared" si="7"/>
        <v>TEXT</v>
      </c>
      <c r="R47" s="78" t="str">
        <f t="shared" si="8"/>
        <v/>
      </c>
      <c r="S47" s="78" t="str">
        <f t="shared" si="9"/>
        <v/>
      </c>
      <c r="T47" s="78" t="str">
        <f t="shared" si="10"/>
        <v>-- 検索番号</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milscm_2023_009.sny_202310_backup_merge_receiptd_re.kensaku_no IS '検索番号';</v>
      </c>
    </row>
    <row r="48" spans="1:45" s="25" customFormat="1" ht="52.2">
      <c r="A48" s="4"/>
      <c r="B48" s="21">
        <f t="shared" si="2"/>
        <v>36</v>
      </c>
      <c r="C48" s="13" t="s">
        <v>999</v>
      </c>
      <c r="D48" s="13" t="s">
        <v>1000</v>
      </c>
      <c r="E48" s="7"/>
      <c r="F48" s="7" t="s">
        <v>867</v>
      </c>
      <c r="G48" s="7" t="str">
        <f t="shared" si="5"/>
        <v>text</v>
      </c>
      <c r="H48" s="58"/>
      <c r="I48" s="23"/>
      <c r="J48" s="24" t="s">
        <v>951</v>
      </c>
      <c r="M48" s="4"/>
      <c r="N48" s="78"/>
      <c r="O48" s="78"/>
      <c r="P48" s="78" t="str">
        <f t="shared" si="6"/>
        <v>,kiroku_ym</v>
      </c>
      <c r="Q48" s="78" t="str">
        <f t="shared" si="7"/>
        <v>TEXT</v>
      </c>
      <c r="R48" s="78" t="str">
        <f t="shared" si="8"/>
        <v/>
      </c>
      <c r="S48" s="78" t="str">
        <f t="shared" si="9"/>
        <v/>
      </c>
      <c r="T48" s="78" t="str">
        <f t="shared" si="10"/>
        <v>-- 記録条件仕様年月情報</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1001</v>
      </c>
      <c r="D49" s="13" t="s">
        <v>1002</v>
      </c>
      <c r="E49" s="7"/>
      <c r="F49" s="7" t="s">
        <v>867</v>
      </c>
      <c r="G49" s="7" t="str">
        <f t="shared" si="5"/>
        <v>text</v>
      </c>
      <c r="H49" s="58"/>
      <c r="I49" s="23"/>
      <c r="J49" s="24"/>
      <c r="M49" s="4"/>
      <c r="N49" s="78"/>
      <c r="O49" s="78"/>
      <c r="P49" s="78" t="str">
        <f t="shared" si="6"/>
        <v>,seikyu_info</v>
      </c>
      <c r="Q49" s="78" t="str">
        <f t="shared" si="7"/>
        <v>TEXT</v>
      </c>
      <c r="R49" s="78" t="str">
        <f t="shared" si="8"/>
        <v/>
      </c>
      <c r="S49" s="78" t="str">
        <f t="shared" si="9"/>
        <v/>
      </c>
      <c r="T49" s="78" t="str">
        <f t="shared" si="10"/>
        <v>-- 請求情報</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1003</v>
      </c>
      <c r="D50" s="13" t="s">
        <v>1004</v>
      </c>
      <c r="E50" s="7"/>
      <c r="F50" s="7" t="s">
        <v>867</v>
      </c>
      <c r="G50" s="7" t="str">
        <f t="shared" si="5"/>
        <v>text</v>
      </c>
      <c r="H50" s="58"/>
      <c r="I50" s="23"/>
      <c r="J50" s="24"/>
      <c r="M50" s="4"/>
      <c r="N50" s="78"/>
      <c r="O50" s="78"/>
      <c r="P50" s="78" t="str">
        <f t="shared" si="6"/>
        <v>,department1_name</v>
      </c>
      <c r="Q50" s="78" t="str">
        <f t="shared" si="7"/>
        <v>TEXT</v>
      </c>
      <c r="R50" s="78" t="str">
        <f t="shared" si="8"/>
        <v/>
      </c>
      <c r="S50" s="78" t="str">
        <f t="shared" si="9"/>
        <v/>
      </c>
      <c r="T50" s="78" t="str">
        <f t="shared" si="10"/>
        <v>-- 診療科1診療科名</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1005</v>
      </c>
      <c r="D51" s="13" t="s">
        <v>1006</v>
      </c>
      <c r="E51" s="7"/>
      <c r="F51" s="7" t="s">
        <v>867</v>
      </c>
      <c r="G51" s="7" t="str">
        <f t="shared" si="5"/>
        <v>text</v>
      </c>
      <c r="H51" s="58"/>
      <c r="I51" s="23"/>
      <c r="J51" s="24"/>
      <c r="M51" s="4"/>
      <c r="N51" s="78"/>
      <c r="O51" s="78"/>
      <c r="P51" s="78" t="str">
        <f t="shared" si="6"/>
        <v>,department1_jintai</v>
      </c>
      <c r="Q51" s="78" t="str">
        <f t="shared" si="7"/>
        <v>TEXT</v>
      </c>
      <c r="R51" s="78" t="str">
        <f t="shared" si="8"/>
        <v/>
      </c>
      <c r="S51" s="78" t="str">
        <f t="shared" si="9"/>
        <v/>
      </c>
      <c r="T51" s="78" t="str">
        <f t="shared" si="10"/>
        <v>-- 診療科1人体の部位等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1007</v>
      </c>
      <c r="D52" s="13" t="s">
        <v>1008</v>
      </c>
      <c r="E52" s="7"/>
      <c r="F52" s="7" t="s">
        <v>867</v>
      </c>
      <c r="G52" s="7" t="str">
        <f t="shared" si="5"/>
        <v>text</v>
      </c>
      <c r="H52" s="58"/>
      <c r="I52" s="23"/>
      <c r="J52" s="24"/>
      <c r="M52" s="4"/>
      <c r="N52" s="78"/>
      <c r="O52" s="78"/>
      <c r="P52" s="78" t="str">
        <f t="shared" si="6"/>
        <v>,department1_sex</v>
      </c>
      <c r="Q52" s="78" t="str">
        <f t="shared" si="7"/>
        <v>TEXT</v>
      </c>
      <c r="R52" s="78" t="str">
        <f t="shared" si="8"/>
        <v/>
      </c>
      <c r="S52" s="78" t="str">
        <f t="shared" si="9"/>
        <v/>
      </c>
      <c r="T52" s="78" t="str">
        <f t="shared" si="10"/>
        <v>-- 診療科1性別等</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1009</v>
      </c>
      <c r="D53" s="13" t="s">
        <v>1010</v>
      </c>
      <c r="E53" s="7"/>
      <c r="F53" s="7" t="s">
        <v>867</v>
      </c>
      <c r="G53" s="7" t="str">
        <f t="shared" si="5"/>
        <v>text</v>
      </c>
      <c r="H53" s="58"/>
      <c r="I53" s="23"/>
      <c r="J53" s="24"/>
      <c r="M53" s="4"/>
      <c r="N53" s="78"/>
      <c r="O53" s="78"/>
      <c r="P53" s="78" t="str">
        <f t="shared" si="6"/>
        <v>,department1_igaku</v>
      </c>
      <c r="Q53" s="78" t="str">
        <f t="shared" si="7"/>
        <v>TEXT</v>
      </c>
      <c r="R53" s="78" t="str">
        <f t="shared" si="8"/>
        <v/>
      </c>
      <c r="S53" s="78" t="str">
        <f t="shared" si="9"/>
        <v/>
      </c>
      <c r="T53" s="78" t="str">
        <f t="shared" si="10"/>
        <v>-- 診療科1医学的処置</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1011</v>
      </c>
      <c r="D54" s="13" t="s">
        <v>1012</v>
      </c>
      <c r="E54" s="7"/>
      <c r="F54" s="7" t="s">
        <v>867</v>
      </c>
      <c r="G54" s="7" t="str">
        <f t="shared" si="5"/>
        <v>text</v>
      </c>
      <c r="H54" s="58"/>
      <c r="I54" s="23"/>
      <c r="J54" s="24"/>
      <c r="M54" s="4"/>
      <c r="N54" s="78"/>
      <c r="O54" s="78"/>
      <c r="P54" s="78" t="str">
        <f t="shared" si="6"/>
        <v>,department1_shippei</v>
      </c>
      <c r="Q54" s="78" t="str">
        <f t="shared" si="7"/>
        <v>TEXT</v>
      </c>
      <c r="R54" s="78" t="str">
        <f t="shared" si="8"/>
        <v/>
      </c>
      <c r="S54" s="78" t="str">
        <f t="shared" si="9"/>
        <v/>
      </c>
      <c r="T54" s="78" t="str">
        <f t="shared" si="10"/>
        <v>-- 診療科1特定疾病</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1033</v>
      </c>
      <c r="D55" s="13" t="s">
        <v>1034</v>
      </c>
      <c r="E55" s="7"/>
      <c r="F55" s="7" t="s">
        <v>867</v>
      </c>
      <c r="G55" s="7" t="str">
        <f t="shared" si="5"/>
        <v>text</v>
      </c>
      <c r="H55" s="58"/>
      <c r="I55" s="23"/>
      <c r="J55" s="24" t="s">
        <v>1083</v>
      </c>
      <c r="M55" s="4"/>
      <c r="N55" s="78"/>
      <c r="O55" s="78"/>
      <c r="P55" s="78" t="str">
        <f t="shared" si="6"/>
        <v>,kana_name</v>
      </c>
      <c r="Q55" s="78" t="str">
        <f t="shared" si="7"/>
        <v>TEXT</v>
      </c>
      <c r="R55" s="78" t="str">
        <f t="shared" si="8"/>
        <v/>
      </c>
      <c r="S55" s="78" t="str">
        <f t="shared" si="9"/>
        <v/>
      </c>
      <c r="T55" s="78" t="str">
        <f t="shared" si="10"/>
        <v>-- カタカナ（氏名）</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1035</v>
      </c>
      <c r="D56" s="13" t="s">
        <v>1036</v>
      </c>
      <c r="E56" s="7"/>
      <c r="F56" s="7" t="s">
        <v>867</v>
      </c>
      <c r="G56" s="7" t="str">
        <f t="shared" si="5"/>
        <v>text</v>
      </c>
      <c r="H56" s="58"/>
      <c r="I56" s="23"/>
      <c r="J56" s="24" t="s">
        <v>1089</v>
      </c>
      <c r="M56" s="4"/>
      <c r="N56" s="78"/>
      <c r="O56" s="78"/>
      <c r="P56" s="78" t="str">
        <f t="shared" si="6"/>
        <v>,patient_state1</v>
      </c>
      <c r="Q56" s="78" t="str">
        <f t="shared" si="7"/>
        <v>TEXT</v>
      </c>
      <c r="R56" s="78" t="str">
        <f t="shared" si="8"/>
        <v/>
      </c>
      <c r="S56" s="78" t="str">
        <f t="shared" si="9"/>
        <v/>
      </c>
      <c r="T56" s="78" t="str">
        <f t="shared" si="10"/>
        <v>-- 患者の状態1</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1037</v>
      </c>
      <c r="D57" s="13" t="s">
        <v>1038</v>
      </c>
      <c r="E57" s="7"/>
      <c r="F57" s="7" t="s">
        <v>867</v>
      </c>
      <c r="G57" s="7" t="str">
        <f t="shared" si="5"/>
        <v>text</v>
      </c>
      <c r="H57" s="58"/>
      <c r="I57" s="23"/>
      <c r="J57" s="24"/>
      <c r="M57" s="4"/>
      <c r="N57" s="78"/>
      <c r="O57" s="78"/>
      <c r="P57" s="78" t="str">
        <f t="shared" si="6"/>
        <v>,patient_state2</v>
      </c>
      <c r="Q57" s="78" t="str">
        <f t="shared" si="7"/>
        <v>TEXT</v>
      </c>
      <c r="R57" s="78" t="str">
        <f t="shared" si="8"/>
        <v/>
      </c>
      <c r="S57" s="78" t="str">
        <f t="shared" si="9"/>
        <v/>
      </c>
      <c r="T57" s="78" t="str">
        <f t="shared" si="10"/>
        <v>-- 患者の状態2</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1039</v>
      </c>
      <c r="D58" s="13" t="s">
        <v>1040</v>
      </c>
      <c r="E58" s="7"/>
      <c r="F58" s="7" t="s">
        <v>867</v>
      </c>
      <c r="G58" s="7" t="str">
        <f t="shared" si="5"/>
        <v>text</v>
      </c>
      <c r="H58" s="58"/>
      <c r="I58" s="23"/>
      <c r="J58" s="24"/>
      <c r="M58" s="4"/>
      <c r="N58" s="78"/>
      <c r="O58" s="78"/>
      <c r="P58" s="78" t="str">
        <f t="shared" si="6"/>
        <v>,patient_state3</v>
      </c>
      <c r="Q58" s="78" t="str">
        <f t="shared" si="7"/>
        <v>TEXT</v>
      </c>
      <c r="R58" s="78" t="str">
        <f t="shared" si="8"/>
        <v/>
      </c>
      <c r="S58" s="78" t="str">
        <f t="shared" si="9"/>
        <v/>
      </c>
      <c r="T58" s="78" t="str">
        <f t="shared" si="10"/>
        <v>-- 患者の状態3</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1041</v>
      </c>
      <c r="D59" s="13" t="s">
        <v>1042</v>
      </c>
      <c r="E59" s="7"/>
      <c r="F59" s="7" t="s">
        <v>867</v>
      </c>
      <c r="G59" s="7" t="str">
        <f t="shared" si="5"/>
        <v>text</v>
      </c>
      <c r="H59" s="58"/>
      <c r="I59" s="23"/>
      <c r="J59" s="24"/>
      <c r="M59" s="4"/>
      <c r="N59" s="78"/>
      <c r="O59" s="78"/>
      <c r="P59" s="78" t="str">
        <f t="shared" si="6"/>
        <v>,patient_state4</v>
      </c>
      <c r="Q59" s="78" t="str">
        <f t="shared" si="7"/>
        <v>TEXT</v>
      </c>
      <c r="R59" s="78" t="str">
        <f t="shared" si="8"/>
        <v/>
      </c>
      <c r="S59" s="78" t="str">
        <f t="shared" si="9"/>
        <v/>
      </c>
      <c r="T59" s="78" t="str">
        <f t="shared" si="10"/>
        <v>-- 患者の状態4</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1043</v>
      </c>
      <c r="D60" s="13" t="s">
        <v>1044</v>
      </c>
      <c r="E60" s="7"/>
      <c r="F60" s="7" t="s">
        <v>867</v>
      </c>
      <c r="G60" s="7" t="str">
        <f t="shared" si="5"/>
        <v>text</v>
      </c>
      <c r="H60" s="58"/>
      <c r="I60" s="23"/>
      <c r="J60" s="24"/>
      <c r="M60" s="4"/>
      <c r="N60" s="78"/>
      <c r="O60" s="78"/>
      <c r="P60" s="78" t="str">
        <f t="shared" si="6"/>
        <v>,patient_state5</v>
      </c>
      <c r="Q60" s="78" t="str">
        <f t="shared" si="7"/>
        <v>TEXT</v>
      </c>
      <c r="R60" s="78" t="str">
        <f t="shared" si="8"/>
        <v/>
      </c>
      <c r="S60" s="78" t="str">
        <f t="shared" si="9"/>
        <v/>
      </c>
      <c r="T60" s="78" t="str">
        <f t="shared" si="10"/>
        <v>-- 患者の状態5</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1045</v>
      </c>
      <c r="D61" s="13" t="s">
        <v>1046</v>
      </c>
      <c r="E61" s="7"/>
      <c r="F61" s="7" t="s">
        <v>867</v>
      </c>
      <c r="G61" s="7" t="str">
        <f t="shared" si="5"/>
        <v>text</v>
      </c>
      <c r="H61" s="58"/>
      <c r="I61" s="23"/>
      <c r="J61" s="24"/>
      <c r="M61" s="4"/>
      <c r="N61" s="78"/>
      <c r="O61" s="78"/>
      <c r="P61" s="78" t="str">
        <f t="shared" si="6"/>
        <v>,patient_state6</v>
      </c>
      <c r="Q61" s="78" t="str">
        <f t="shared" si="7"/>
        <v>TEXT</v>
      </c>
      <c r="R61" s="78" t="str">
        <f t="shared" si="8"/>
        <v/>
      </c>
      <c r="S61" s="78" t="str">
        <f t="shared" si="9"/>
        <v/>
      </c>
      <c r="T61" s="78" t="str">
        <f t="shared" si="10"/>
        <v>-- 患者の状態6</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1047</v>
      </c>
      <c r="D62" s="13" t="s">
        <v>1048</v>
      </c>
      <c r="E62" s="7"/>
      <c r="F62" s="7" t="s">
        <v>867</v>
      </c>
      <c r="G62" s="7" t="str">
        <f t="shared" si="5"/>
        <v>text</v>
      </c>
      <c r="H62" s="58"/>
      <c r="I62" s="23"/>
      <c r="J62" s="24"/>
      <c r="M62" s="4"/>
      <c r="N62" s="78"/>
      <c r="O62" s="78"/>
      <c r="P62" s="78" t="str">
        <f t="shared" si="6"/>
        <v>,patient_state7</v>
      </c>
      <c r="Q62" s="78" t="str">
        <f t="shared" si="7"/>
        <v>TEXT</v>
      </c>
      <c r="R62" s="78" t="str">
        <f t="shared" si="8"/>
        <v/>
      </c>
      <c r="S62" s="78" t="str">
        <f t="shared" si="9"/>
        <v/>
      </c>
      <c r="T62" s="78" t="str">
        <f t="shared" si="10"/>
        <v>-- 患者の状態7</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1049</v>
      </c>
      <c r="D63" s="13" t="s">
        <v>1050</v>
      </c>
      <c r="E63" s="7"/>
      <c r="F63" s="7" t="s">
        <v>867</v>
      </c>
      <c r="G63" s="7" t="str">
        <f t="shared" si="5"/>
        <v>text</v>
      </c>
      <c r="H63" s="58"/>
      <c r="I63" s="23"/>
      <c r="J63" s="24"/>
      <c r="M63" s="4"/>
      <c r="N63" s="78"/>
      <c r="O63" s="78"/>
      <c r="P63" s="78" t="str">
        <f t="shared" si="6"/>
        <v>,patient_state8</v>
      </c>
      <c r="Q63" s="78" t="str">
        <f t="shared" si="7"/>
        <v>TEXT</v>
      </c>
      <c r="R63" s="78" t="str">
        <f t="shared" si="8"/>
        <v/>
      </c>
      <c r="S63" s="78" t="str">
        <f t="shared" si="9"/>
        <v/>
      </c>
      <c r="T63" s="78" t="str">
        <f t="shared" si="10"/>
        <v>-- 患者の状態8</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1051</v>
      </c>
      <c r="D64" s="13" t="s">
        <v>1052</v>
      </c>
      <c r="E64" s="7"/>
      <c r="F64" s="7" t="s">
        <v>867</v>
      </c>
      <c r="G64" s="7" t="str">
        <f t="shared" si="5"/>
        <v>text</v>
      </c>
      <c r="H64" s="58"/>
      <c r="I64" s="23"/>
      <c r="J64" s="24"/>
      <c r="M64" s="4"/>
      <c r="N64" s="78"/>
      <c r="O64" s="78"/>
      <c r="P64" s="78" t="str">
        <f t="shared" si="6"/>
        <v>,patient_state9</v>
      </c>
      <c r="Q64" s="78" t="str">
        <f t="shared" si="7"/>
        <v>TEXT</v>
      </c>
      <c r="R64" s="78" t="str">
        <f t="shared" si="8"/>
        <v/>
      </c>
      <c r="S64" s="78" t="str">
        <f t="shared" si="9"/>
        <v/>
      </c>
      <c r="T64" s="78" t="str">
        <f t="shared" si="10"/>
        <v>-- 患者の状態9</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1053</v>
      </c>
      <c r="D65" s="13" t="s">
        <v>1054</v>
      </c>
      <c r="E65" s="7"/>
      <c r="F65" s="7" t="s">
        <v>867</v>
      </c>
      <c r="G65" s="7" t="str">
        <f t="shared" si="5"/>
        <v>text</v>
      </c>
      <c r="H65" s="58"/>
      <c r="I65" s="23"/>
      <c r="J65" s="24"/>
      <c r="M65" s="4"/>
      <c r="N65" s="78"/>
      <c r="O65" s="78"/>
      <c r="P65" s="78" t="str">
        <f t="shared" si="6"/>
        <v>,patient_state10</v>
      </c>
      <c r="Q65" s="78" t="str">
        <f t="shared" si="7"/>
        <v>TEXT</v>
      </c>
      <c r="R65" s="78" t="str">
        <f t="shared" si="8"/>
        <v/>
      </c>
      <c r="S65" s="78" t="str">
        <f t="shared" si="9"/>
        <v/>
      </c>
      <c r="T65" s="78" t="str">
        <f t="shared" si="10"/>
        <v>-- 患者の状態10</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1055</v>
      </c>
      <c r="D66" s="13" t="s">
        <v>1056</v>
      </c>
      <c r="E66" s="7"/>
      <c r="F66" s="7" t="s">
        <v>867</v>
      </c>
      <c r="G66" s="7" t="str">
        <f t="shared" si="5"/>
        <v>text</v>
      </c>
      <c r="H66" s="58"/>
      <c r="I66" s="23"/>
      <c r="J66" s="24"/>
      <c r="M66" s="4"/>
      <c r="N66" s="78"/>
      <c r="O66" s="78"/>
      <c r="P66" s="78" t="str">
        <f t="shared" si="6"/>
        <v>,patient_state11</v>
      </c>
      <c r="Q66" s="78" t="str">
        <f t="shared" si="7"/>
        <v>TEXT</v>
      </c>
      <c r="R66" s="78" t="str">
        <f t="shared" si="8"/>
        <v/>
      </c>
      <c r="S66" s="78" t="str">
        <f t="shared" si="9"/>
        <v/>
      </c>
      <c r="T66" s="78" t="str">
        <f t="shared" si="10"/>
        <v>-- 患者の状態11</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1057</v>
      </c>
      <c r="D67" s="13" t="s">
        <v>1058</v>
      </c>
      <c r="E67" s="7"/>
      <c r="F67" s="7" t="s">
        <v>867</v>
      </c>
      <c r="G67" s="7" t="str">
        <f t="shared" si="5"/>
        <v>text</v>
      </c>
      <c r="H67" s="58"/>
      <c r="I67" s="23"/>
      <c r="J67" s="24"/>
      <c r="M67" s="4"/>
      <c r="N67" s="78"/>
      <c r="O67" s="78"/>
      <c r="P67" s="78" t="str">
        <f t="shared" si="6"/>
        <v>,patient_state12</v>
      </c>
      <c r="Q67" s="78" t="str">
        <f t="shared" si="7"/>
        <v>TEXT</v>
      </c>
      <c r="R67" s="78" t="str">
        <f t="shared" si="8"/>
        <v/>
      </c>
      <c r="S67" s="78" t="str">
        <f t="shared" si="9"/>
        <v/>
      </c>
      <c r="T67" s="78" t="str">
        <f t="shared" si="10"/>
        <v>-- 患者の状態12</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1059</v>
      </c>
      <c r="D68" s="13" t="s">
        <v>1060</v>
      </c>
      <c r="E68" s="7"/>
      <c r="F68" s="7" t="s">
        <v>867</v>
      </c>
      <c r="G68" s="7" t="str">
        <f t="shared" si="5"/>
        <v>text</v>
      </c>
      <c r="H68" s="58"/>
      <c r="I68" s="23"/>
      <c r="J68" s="24"/>
      <c r="M68" s="4"/>
      <c r="N68" s="78"/>
      <c r="O68" s="78"/>
      <c r="P68" s="78" t="str">
        <f t="shared" si="6"/>
        <v>,patient_state13</v>
      </c>
      <c r="Q68" s="78" t="str">
        <f t="shared" si="7"/>
        <v>TEXT</v>
      </c>
      <c r="R68" s="78" t="str">
        <f t="shared" si="8"/>
        <v/>
      </c>
      <c r="S68" s="78" t="str">
        <f t="shared" si="9"/>
        <v/>
      </c>
      <c r="T68" s="78" t="str">
        <f t="shared" si="10"/>
        <v>-- 患者の状態13</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1061</v>
      </c>
      <c r="D69" s="13" t="s">
        <v>1062</v>
      </c>
      <c r="E69" s="7"/>
      <c r="F69" s="7" t="s">
        <v>867</v>
      </c>
      <c r="G69" s="7" t="str">
        <f t="shared" si="5"/>
        <v>text</v>
      </c>
      <c r="H69" s="58"/>
      <c r="I69" s="23"/>
      <c r="J69" s="24"/>
      <c r="M69" s="4"/>
      <c r="N69" s="78"/>
      <c r="O69" s="78"/>
      <c r="P69" s="78" t="str">
        <f t="shared" si="6"/>
        <v>,patient_state14</v>
      </c>
      <c r="Q69" s="78" t="str">
        <f t="shared" si="7"/>
        <v>TEXT</v>
      </c>
      <c r="R69" s="78" t="str">
        <f t="shared" si="8"/>
        <v/>
      </c>
      <c r="S69" s="78" t="str">
        <f t="shared" si="9"/>
        <v/>
      </c>
      <c r="T69" s="78" t="str">
        <f t="shared" si="10"/>
        <v>-- 患者の状態14</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1063</v>
      </c>
      <c r="D70" s="13" t="s">
        <v>1064</v>
      </c>
      <c r="E70" s="7"/>
      <c r="F70" s="7" t="s">
        <v>867</v>
      </c>
      <c r="G70" s="7" t="str">
        <f t="shared" si="5"/>
        <v>text</v>
      </c>
      <c r="H70" s="58"/>
      <c r="I70" s="23"/>
      <c r="J70" s="24"/>
      <c r="M70" s="4"/>
      <c r="N70" s="78"/>
      <c r="O70" s="78"/>
      <c r="P70" s="78" t="str">
        <f t="shared" si="6"/>
        <v>,patient_state15</v>
      </c>
      <c r="Q70" s="78" t="str">
        <f t="shared" si="7"/>
        <v>TEXT</v>
      </c>
      <c r="R70" s="78" t="str">
        <f t="shared" si="8"/>
        <v/>
      </c>
      <c r="S70" s="78" t="str">
        <f t="shared" si="9"/>
        <v/>
      </c>
      <c r="T70" s="78" t="str">
        <f t="shared" si="10"/>
        <v>-- 患者の状態15</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1065</v>
      </c>
      <c r="D71" s="13" t="s">
        <v>1066</v>
      </c>
      <c r="E71" s="7"/>
      <c r="F71" s="7" t="s">
        <v>867</v>
      </c>
      <c r="G71" s="7" t="str">
        <f t="shared" si="5"/>
        <v>text</v>
      </c>
      <c r="H71" s="58"/>
      <c r="I71" s="23"/>
      <c r="J71" s="24"/>
      <c r="M71" s="4"/>
      <c r="N71" s="78"/>
      <c r="O71" s="78"/>
      <c r="P71" s="78" t="str">
        <f t="shared" si="6"/>
        <v>,patient_state16</v>
      </c>
      <c r="Q71" s="78" t="str">
        <f t="shared" si="7"/>
        <v>TEXT</v>
      </c>
      <c r="R71" s="78" t="str">
        <f t="shared" si="8"/>
        <v/>
      </c>
      <c r="S71" s="78" t="str">
        <f t="shared" si="9"/>
        <v/>
      </c>
      <c r="T71" s="78" t="str">
        <f t="shared" si="10"/>
        <v>-- 患者の状態16</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1067</v>
      </c>
      <c r="D72" s="13" t="s">
        <v>1068</v>
      </c>
      <c r="E72" s="7"/>
      <c r="F72" s="7" t="s">
        <v>867</v>
      </c>
      <c r="G72" s="7" t="str">
        <f t="shared" si="5"/>
        <v>text</v>
      </c>
      <c r="H72" s="58"/>
      <c r="I72" s="23"/>
      <c r="J72" s="24"/>
      <c r="M72" s="4"/>
      <c r="N72" s="78"/>
      <c r="O72" s="78"/>
      <c r="P72" s="78" t="str">
        <f t="shared" si="6"/>
        <v>,patient_state17</v>
      </c>
      <c r="Q72" s="78" t="str">
        <f t="shared" si="7"/>
        <v>TEXT</v>
      </c>
      <c r="R72" s="78" t="str">
        <f t="shared" si="8"/>
        <v/>
      </c>
      <c r="S72" s="78" t="str">
        <f t="shared" si="9"/>
        <v/>
      </c>
      <c r="T72" s="78" t="str">
        <f t="shared" si="10"/>
        <v>-- 患者の状態17</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1069</v>
      </c>
      <c r="D73" s="13" t="s">
        <v>1070</v>
      </c>
      <c r="E73" s="7"/>
      <c r="F73" s="7" t="s">
        <v>867</v>
      </c>
      <c r="G73" s="7" t="str">
        <f t="shared" si="5"/>
        <v>text</v>
      </c>
      <c r="H73" s="58"/>
      <c r="I73" s="23"/>
      <c r="J73" s="24"/>
      <c r="M73" s="4"/>
      <c r="N73" s="78"/>
      <c r="O73" s="78"/>
      <c r="P73" s="78" t="str">
        <f t="shared" si="6"/>
        <v>,patient_state18</v>
      </c>
      <c r="Q73" s="78" t="str">
        <f t="shared" si="7"/>
        <v>TEXT</v>
      </c>
      <c r="R73" s="78" t="str">
        <f t="shared" si="8"/>
        <v/>
      </c>
      <c r="S73" s="78" t="str">
        <f t="shared" si="9"/>
        <v/>
      </c>
      <c r="T73" s="78" t="str">
        <f t="shared" si="10"/>
        <v>-- 患者の状態18</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1071</v>
      </c>
      <c r="D74" s="13" t="s">
        <v>1072</v>
      </c>
      <c r="E74" s="7"/>
      <c r="F74" s="7" t="s">
        <v>867</v>
      </c>
      <c r="G74" s="7" t="str">
        <f t="shared" si="5"/>
        <v>text</v>
      </c>
      <c r="H74" s="58"/>
      <c r="I74" s="23"/>
      <c r="J74" s="24"/>
      <c r="M74" s="4"/>
      <c r="N74" s="78"/>
      <c r="O74" s="78"/>
      <c r="P74" s="78" t="str">
        <f t="shared" si="6"/>
        <v>,patient_state19</v>
      </c>
      <c r="Q74" s="78" t="str">
        <f t="shared" si="7"/>
        <v>TEXT</v>
      </c>
      <c r="R74" s="78" t="str">
        <f t="shared" si="8"/>
        <v/>
      </c>
      <c r="S74" s="78" t="str">
        <f t="shared" si="9"/>
        <v/>
      </c>
      <c r="T74" s="78" t="str">
        <f t="shared" si="10"/>
        <v>-- 患者の状態19</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milscm_2023_009.sny_202310_backup_merge_receiptd_re.patient_state19 IS '患者の状態19';</v>
      </c>
    </row>
    <row r="75" spans="1:52" s="25" customFormat="1" ht="18" thickBot="1">
      <c r="A75" s="4"/>
      <c r="B75" s="27">
        <f>ROW()-12</f>
        <v>63</v>
      </c>
      <c r="C75" s="57" t="s">
        <v>1073</v>
      </c>
      <c r="D75" s="57" t="s">
        <v>1074</v>
      </c>
      <c r="E75" s="56"/>
      <c r="F75" s="56" t="s">
        <v>867</v>
      </c>
      <c r="G75" s="56" t="str">
        <f t="shared" si="3"/>
        <v>text</v>
      </c>
      <c r="H75" s="59"/>
      <c r="I75" s="60"/>
      <c r="J75" s="64"/>
      <c r="N75" s="78"/>
      <c r="O75" s="78"/>
      <c r="P75" s="78" t="str">
        <f t="shared" si="4"/>
        <v>,patient_state20</v>
      </c>
      <c r="Q75" s="78" t="str">
        <f t="shared" si="0"/>
        <v>TEXT</v>
      </c>
      <c r="R75" s="78" t="str">
        <f t="shared" si="1"/>
        <v/>
      </c>
      <c r="S75" s="78" t="str">
        <f t="shared" ref="S75" si="11">IF(I75="○","NOT NULL","")</f>
        <v/>
      </c>
      <c r="T75" s="78" t="str">
        <f t="shared" ref="T75" si="12">"-- "&amp;C75</f>
        <v>-- 患者の状態20</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milscm_2023_009.sny_202310_backup_merge_receiptd_re.patient_state20 IS '患者の状態20';</v>
      </c>
    </row>
    <row r="76" spans="1:52">
      <c r="L76" s="25"/>
      <c r="M76" s="25"/>
      <c r="N76" s="78" t="s">
        <v>142</v>
      </c>
      <c r="O76" s="78"/>
      <c r="P76" s="78"/>
      <c r="Q76" s="78"/>
      <c r="R76" s="78"/>
      <c r="S76" s="78"/>
      <c r="T76" s="78"/>
      <c r="V76" s="25"/>
      <c r="W76" s="25"/>
      <c r="X76" s="25"/>
      <c r="Y76" s="25"/>
      <c r="Z76" s="25"/>
      <c r="AJ76" s="78"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ENT_01_C3-08</v>
      </c>
      <c r="E6" s="251"/>
      <c r="F6" s="251"/>
      <c r="G6" s="251"/>
      <c r="H6" s="251"/>
      <c r="I6" s="251"/>
      <c r="J6" s="252"/>
    </row>
    <row r="7" spans="1:45">
      <c r="B7" s="240" t="s">
        <v>115</v>
      </c>
      <c r="C7" s="241"/>
      <c r="D7" s="242" t="s">
        <v>1227</v>
      </c>
      <c r="E7" s="243"/>
      <c r="F7" s="243"/>
      <c r="G7" s="243"/>
      <c r="H7" s="243"/>
      <c r="I7" s="243"/>
      <c r="J7" s="244"/>
    </row>
    <row r="8" spans="1:45">
      <c r="B8" s="240" t="s">
        <v>116</v>
      </c>
      <c r="C8" s="241"/>
      <c r="D8" s="242" t="str">
        <f>エンティティ一覧!AE2&amp;"_"&amp;D5&amp;"_merge_receiptd_bu"</f>
        <v>sny_202310_backup_merge_receiptd_bu</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milscm_2023_009.sny_202310_backup_merge_receiptd_bu;</v>
      </c>
      <c r="O10" s="78"/>
      <c r="P10" s="78"/>
      <c r="Q10" s="78"/>
      <c r="R10" s="78"/>
      <c r="S10" s="78"/>
      <c r="T10" s="78"/>
      <c r="AJ10" s="78" t="str">
        <f>"ALTER TABLE ONLY "&amp;エンティティ一覧!$O$2&amp;"."&amp;D$8</f>
        <v>ALTER TABLE ONLY milscm_2023_009.sny_202310_backup_merge_receiptd_bu</v>
      </c>
      <c r="AS10" s="78" t="str">
        <f>"ALTER TABLE "&amp;エンティティ一覧!$O$2&amp;"."&amp;D$8&amp;" OWNER TO pgmisgrp1;"</f>
        <v>ALTER TABLE milscm_2023_009.sny_202310_backup_merge_receiptd_bu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milscm_2023_009.sny_202310_backup_merge_receiptd_bu</v>
      </c>
      <c r="O11" s="78"/>
      <c r="P11" s="78"/>
      <c r="Q11" s="78"/>
      <c r="R11" s="78"/>
      <c r="S11" s="78"/>
      <c r="T11" s="78"/>
      <c r="AJ11" s="78" t="str">
        <f>"ADD CONSTRAINT "&amp;D$8&amp;"_pkey PRIMARY KEY"</f>
        <v>ADD CONSTRAINT sny_202310_backup_merge_receiptd_bu_pkey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milscm_2023_009.sny_202310_backup_merge_receiptd_bu.mil_karute_id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milscm_2023_009.sny_202310_backup_merge_receiptd_bu.facility_id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9" si="5">IF(I16="○","NOT NULL","")</f>
        <v>NOT NULL</v>
      </c>
      <c r="T16" s="78" t="str">
        <f t="shared" ref="T16:T2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milscm_2023_009.sny_202310_backup_merge_receiptd_bu.seikyu_ym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milscm_2023_009.sny_202310_backup_merge_receiptd_bu.data_type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928</v>
      </c>
      <c r="D20" s="13" t="s">
        <v>929</v>
      </c>
      <c r="E20" s="7"/>
      <c r="F20" s="7" t="s">
        <v>867</v>
      </c>
      <c r="G20" s="7" t="str">
        <f t="shared" si="3"/>
        <v>text</v>
      </c>
      <c r="H20" s="58" t="s">
        <v>1238</v>
      </c>
      <c r="I20" s="23" t="s">
        <v>127</v>
      </c>
      <c r="J20" s="24" t="s">
        <v>1239</v>
      </c>
      <c r="N20" s="78"/>
      <c r="O20" s="78"/>
      <c r="P20" s="78" t="str">
        <f t="shared" si="4"/>
        <v>,record_shikibetsu</v>
      </c>
      <c r="Q20" s="78" t="str">
        <f t="shared" si="0"/>
        <v>TEXT</v>
      </c>
      <c r="R20" s="78" t="str">
        <f t="shared" si="1"/>
        <v>default 'BU'</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932</v>
      </c>
      <c r="D22" s="13" t="s">
        <v>933</v>
      </c>
      <c r="E22" s="7" t="s">
        <v>127</v>
      </c>
      <c r="F22" s="7" t="s">
        <v>204</v>
      </c>
      <c r="G22" s="7" t="str">
        <f t="shared" si="3"/>
        <v>integer</v>
      </c>
      <c r="H22" s="58"/>
      <c r="I22" s="23" t="s">
        <v>127</v>
      </c>
      <c r="J22" s="24" t="s">
        <v>1225</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milscm_2023_009.sny_202310_backup_merge_receiptd_bu.gyo_no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milscm_2023_009.sny_202310_backup_merge_receiptd_bu.karute_no IS 'カルテ番号等';</v>
      </c>
    </row>
    <row r="24" spans="1:52" s="25" customFormat="1" ht="34.799999999999997">
      <c r="B24" s="21">
        <f t="shared" si="2"/>
        <v>12</v>
      </c>
      <c r="C24" s="13" t="s">
        <v>1218</v>
      </c>
      <c r="D24" s="13" t="s">
        <v>1219</v>
      </c>
      <c r="E24" s="7"/>
      <c r="F24" s="7" t="s">
        <v>867</v>
      </c>
      <c r="G24" s="7" t="str">
        <f t="shared" si="3"/>
        <v>text</v>
      </c>
      <c r="H24" s="58"/>
      <c r="I24" s="23"/>
      <c r="J24" s="24" t="s">
        <v>1240</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1228</v>
      </c>
      <c r="D25" s="13" t="s">
        <v>1229</v>
      </c>
      <c r="E25" s="7"/>
      <c r="F25" s="7" t="s">
        <v>867</v>
      </c>
      <c r="G25" s="7" t="str">
        <f t="shared" si="3"/>
        <v>text</v>
      </c>
      <c r="H25" s="58"/>
      <c r="I25" s="23"/>
      <c r="J25" s="24"/>
      <c r="N25" s="78"/>
      <c r="O25" s="78"/>
      <c r="P25" s="78" t="str">
        <f t="shared" si="4"/>
        <v>,shindangun_no</v>
      </c>
      <c r="Q25" s="78" t="str">
        <f t="shared" si="0"/>
        <v>TEXT</v>
      </c>
      <c r="R25" s="78" t="str">
        <f t="shared" si="1"/>
        <v/>
      </c>
      <c r="S25" s="78" t="str">
        <f t="shared" si="5"/>
        <v/>
      </c>
      <c r="T25" s="78" t="str">
        <f t="shared" si="6"/>
        <v>-- 診断群分類番号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milscm_2023_009.sny_202310_backup_merge_receiptd_bu.shindangun_no IS '診断群分類番号';</v>
      </c>
    </row>
    <row r="26" spans="1:52" s="25" customFormat="1" ht="69.599999999999994">
      <c r="B26" s="21">
        <f t="shared" si="2"/>
        <v>14</v>
      </c>
      <c r="C26" s="13" t="s">
        <v>1230</v>
      </c>
      <c r="D26" s="13" t="s">
        <v>1231</v>
      </c>
      <c r="E26" s="7"/>
      <c r="F26" s="7" t="s">
        <v>867</v>
      </c>
      <c r="G26" s="7" t="str">
        <f t="shared" si="3"/>
        <v>text</v>
      </c>
      <c r="H26" s="58"/>
      <c r="I26" s="23"/>
      <c r="J26" s="24" t="s">
        <v>1086</v>
      </c>
      <c r="N26" s="78"/>
      <c r="O26" s="78"/>
      <c r="P26" s="78" t="str">
        <f t="shared" si="4"/>
        <v>,konnyuin_ymd</v>
      </c>
      <c r="Q26" s="78" t="str">
        <f t="shared" si="0"/>
        <v>TEXT</v>
      </c>
      <c r="R26" s="78" t="str">
        <f t="shared" si="1"/>
        <v/>
      </c>
      <c r="S26" s="78" t="str">
        <f t="shared" si="5"/>
        <v/>
      </c>
      <c r="T26" s="78" t="str">
        <f t="shared" si="6"/>
        <v xml:space="preserve">-- 今回入院年月日 </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milscm_2023_009.sny_202310_backup_merge_receiptd_bu.konnyuin_ymd IS '今回入院年月日 ';</v>
      </c>
    </row>
    <row r="27" spans="1:52" s="25" customFormat="1" ht="69.599999999999994">
      <c r="B27" s="21">
        <f t="shared" si="2"/>
        <v>15</v>
      </c>
      <c r="C27" s="13" t="s">
        <v>1232</v>
      </c>
      <c r="D27" s="13" t="s">
        <v>1233</v>
      </c>
      <c r="E27" s="7"/>
      <c r="F27" s="7" t="s">
        <v>867</v>
      </c>
      <c r="G27" s="7" t="str">
        <f t="shared" si="3"/>
        <v>text</v>
      </c>
      <c r="H27" s="58"/>
      <c r="I27" s="23"/>
      <c r="J27" s="24" t="s">
        <v>1086</v>
      </c>
      <c r="N27" s="78"/>
      <c r="O27" s="78"/>
      <c r="P27" s="78" t="str">
        <f t="shared" si="4"/>
        <v>,kontaiin_ymd</v>
      </c>
      <c r="Q27" s="78" t="str">
        <f t="shared" si="0"/>
        <v>TEXT</v>
      </c>
      <c r="R27" s="78" t="str">
        <f t="shared" si="1"/>
        <v/>
      </c>
      <c r="S27" s="78" t="str">
        <f t="shared" si="5"/>
        <v/>
      </c>
      <c r="T27" s="78" t="str">
        <f t="shared" si="6"/>
        <v>-- 今回退院年月日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1234</v>
      </c>
      <c r="D28" s="13" t="s">
        <v>1235</v>
      </c>
      <c r="E28" s="7"/>
      <c r="F28" s="7" t="s">
        <v>867</v>
      </c>
      <c r="G28" s="7" t="str">
        <f t="shared" si="3"/>
        <v>text</v>
      </c>
      <c r="H28" s="58"/>
      <c r="I28" s="23"/>
      <c r="J28" s="24"/>
      <c r="N28" s="78"/>
      <c r="O28" s="78"/>
      <c r="P28" s="78" t="str">
        <f t="shared" si="4"/>
        <v>,dpc_tenki_code</v>
      </c>
      <c r="Q28" s="78" t="str">
        <f t="shared" si="0"/>
        <v>TEXT</v>
      </c>
      <c r="R28" s="78" t="str">
        <f t="shared" si="1"/>
        <v/>
      </c>
      <c r="S28" s="78" t="str">
        <f t="shared" si="5"/>
        <v/>
      </c>
      <c r="T28" s="78" t="str">
        <f t="shared" si="6"/>
        <v>-- DPC転帰区分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milscm_2023_009.sny_202310_backup_merge_receiptd_bu.dpc_tenki_code IS 'DPC転帰区分';</v>
      </c>
    </row>
    <row r="29" spans="1:52" s="25" customFormat="1" ht="18" thickBot="1">
      <c r="A29" s="4"/>
      <c r="B29" s="27">
        <f>ROW()-12</f>
        <v>17</v>
      </c>
      <c r="C29" s="57" t="s">
        <v>1236</v>
      </c>
      <c r="D29" s="57" t="s">
        <v>1237</v>
      </c>
      <c r="E29" s="56"/>
      <c r="F29" s="56" t="s">
        <v>867</v>
      </c>
      <c r="G29" s="56" t="str">
        <f t="shared" si="3"/>
        <v>text</v>
      </c>
      <c r="H29" s="59"/>
      <c r="I29" s="60"/>
      <c r="J29" s="64"/>
      <c r="N29" s="78"/>
      <c r="O29" s="78"/>
      <c r="P29" s="78" t="str">
        <f t="shared" si="4"/>
        <v>,death_cause</v>
      </c>
      <c r="Q29" s="78" t="str">
        <f t="shared" si="0"/>
        <v>TEXT</v>
      </c>
      <c r="R29" s="78" t="str">
        <f t="shared" si="1"/>
        <v/>
      </c>
      <c r="S29" s="78" t="str">
        <f t="shared" si="5"/>
        <v/>
      </c>
      <c r="T29" s="78" t="str">
        <f t="shared" si="6"/>
        <v>-- 死因</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milscm_2023_009.sny_202310_backup_merge_receiptd_bu.death_cause IS '死因';</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ENT_01_C3-09</v>
      </c>
      <c r="E6" s="251"/>
      <c r="F6" s="251"/>
      <c r="G6" s="251"/>
      <c r="H6" s="251"/>
      <c r="I6" s="251"/>
      <c r="J6" s="252"/>
    </row>
    <row r="7" spans="1:45">
      <c r="B7" s="240" t="s">
        <v>115</v>
      </c>
      <c r="C7" s="241"/>
      <c r="D7" s="242" t="s">
        <v>1242</v>
      </c>
      <c r="E7" s="243"/>
      <c r="F7" s="243"/>
      <c r="G7" s="243"/>
      <c r="H7" s="243"/>
      <c r="I7" s="243"/>
      <c r="J7" s="244"/>
    </row>
    <row r="8" spans="1:45">
      <c r="B8" s="240" t="s">
        <v>116</v>
      </c>
      <c r="C8" s="241"/>
      <c r="D8" s="242" t="str">
        <f>エンティティ一覧!AE2&amp;"_"&amp;D5&amp;"_merge_receiptd_sb"</f>
        <v>sny_202310_backup_merge_receiptd_sb</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milscm_2023_009.sny_202310_backup_merge_receiptd_sb;</v>
      </c>
      <c r="O10" s="78"/>
      <c r="P10" s="78"/>
      <c r="Q10" s="78"/>
      <c r="R10" s="78"/>
      <c r="S10" s="78"/>
      <c r="T10" s="78"/>
      <c r="AJ10" s="78" t="str">
        <f>"ALTER TABLE ONLY "&amp;エンティティ一覧!$O$2&amp;"."&amp;D$8</f>
        <v>ALTER TABLE ONLY milscm_2023_009.sny_202310_backup_merge_receiptd_sb</v>
      </c>
      <c r="AS10" s="78" t="str">
        <f>"ALTER TABLE "&amp;エンティティ一覧!$O$2&amp;"."&amp;D$8&amp;" OWNER TO pgmisgrp1;"</f>
        <v>ALTER TABLE milscm_2023_009.sny_202310_backup_merge_receiptd_sb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milscm_2023_009.sny_202310_backup_merge_receiptd_sb</v>
      </c>
      <c r="O11" s="78"/>
      <c r="P11" s="78"/>
      <c r="Q11" s="78"/>
      <c r="R11" s="78"/>
      <c r="S11" s="78"/>
      <c r="T11" s="78"/>
      <c r="AJ11" s="78" t="str">
        <f>"ADD CONSTRAINT "&amp;D$8&amp;"_pkey PRIMARY KEY"</f>
        <v>ADD CONSTRAINT sny_202310_backup_merge_receiptd_sb_pkey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milscm_2023_009.sny_202310_backup_merge_receiptd_sb.mil_karute_id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928</v>
      </c>
      <c r="D20" s="13" t="s">
        <v>929</v>
      </c>
      <c r="E20" s="7"/>
      <c r="F20" s="7" t="s">
        <v>867</v>
      </c>
      <c r="G20" s="7" t="str">
        <f t="shared" si="3"/>
        <v>text</v>
      </c>
      <c r="H20" s="58" t="s">
        <v>1245</v>
      </c>
      <c r="I20" s="23" t="s">
        <v>127</v>
      </c>
      <c r="J20" s="24" t="s">
        <v>1246</v>
      </c>
      <c r="M20" s="4"/>
      <c r="N20" s="78"/>
      <c r="O20" s="78"/>
      <c r="P20" s="78" t="str">
        <f t="shared" si="4"/>
        <v>,record_shikibetsu</v>
      </c>
      <c r="Q20" s="78" t="str">
        <f t="shared" si="0"/>
        <v>TEXT</v>
      </c>
      <c r="R20" s="78" t="str">
        <f t="shared" si="1"/>
        <v>default 'SB'</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milscm_2023_009.sny_202310_backup_merge_receiptd_sb.gyo_no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milscm_2023_009.sny_202310_backup_merge_receiptd_sb.karute_no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669</v>
      </c>
      <c r="D26" s="13" t="s">
        <v>875</v>
      </c>
      <c r="E26" s="7"/>
      <c r="F26" s="7" t="s">
        <v>867</v>
      </c>
      <c r="G26" s="7" t="str">
        <f t="shared" si="3"/>
        <v>text</v>
      </c>
      <c r="H26" s="58"/>
      <c r="I26" s="23"/>
      <c r="J26" s="24" t="s">
        <v>1138</v>
      </c>
      <c r="M26" s="4"/>
      <c r="N26" s="78"/>
      <c r="O26" s="78"/>
      <c r="P26" s="78" t="str">
        <f t="shared" si="4"/>
        <v>,shushoku_code1</v>
      </c>
      <c r="Q26" s="78" t="str">
        <f t="shared" si="0"/>
        <v>TEXT</v>
      </c>
      <c r="R26" s="78" t="str">
        <f t="shared" si="1"/>
        <v/>
      </c>
      <c r="S26" s="78" t="str">
        <f t="shared" si="5"/>
        <v/>
      </c>
      <c r="T26" s="78" t="str">
        <f t="shared" si="6"/>
        <v>-- 修飾語コード1</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671</v>
      </c>
      <c r="D27" s="13" t="s">
        <v>876</v>
      </c>
      <c r="E27" s="7"/>
      <c r="F27" s="7" t="s">
        <v>867</v>
      </c>
      <c r="G27" s="7" t="str">
        <f t="shared" si="3"/>
        <v>text</v>
      </c>
      <c r="H27" s="58"/>
      <c r="I27" s="23"/>
      <c r="J27" s="24"/>
      <c r="M27" s="4"/>
      <c r="N27" s="78"/>
      <c r="O27" s="78"/>
      <c r="P27" s="78" t="str">
        <f t="shared" si="4"/>
        <v>,shushoku_code2</v>
      </c>
      <c r="Q27" s="78" t="str">
        <f t="shared" si="0"/>
        <v>TEXT</v>
      </c>
      <c r="R27" s="78" t="str">
        <f t="shared" si="1"/>
        <v/>
      </c>
      <c r="S27" s="78" t="str">
        <f t="shared" si="5"/>
        <v/>
      </c>
      <c r="T27" s="78" t="str">
        <f t="shared" si="6"/>
        <v>-- 修飾語コード2</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673</v>
      </c>
      <c r="D28" s="13" t="s">
        <v>877</v>
      </c>
      <c r="E28" s="7"/>
      <c r="F28" s="7" t="s">
        <v>867</v>
      </c>
      <c r="G28" s="7" t="str">
        <f t="shared" si="3"/>
        <v>text</v>
      </c>
      <c r="H28" s="58"/>
      <c r="I28" s="23"/>
      <c r="J28" s="24"/>
      <c r="M28" s="4"/>
      <c r="N28" s="78"/>
      <c r="O28" s="78"/>
      <c r="P28" s="78" t="str">
        <f t="shared" si="4"/>
        <v>,shushoku_code3</v>
      </c>
      <c r="Q28" s="78" t="str">
        <f t="shared" si="0"/>
        <v>TEXT</v>
      </c>
      <c r="R28" s="78" t="str">
        <f t="shared" si="1"/>
        <v/>
      </c>
      <c r="S28" s="78" t="str">
        <f t="shared" si="5"/>
        <v/>
      </c>
      <c r="T28" s="78" t="str">
        <f t="shared" si="6"/>
        <v>-- 修飾語コード3</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675</v>
      </c>
      <c r="D29" s="13" t="s">
        <v>878</v>
      </c>
      <c r="E29" s="7"/>
      <c r="F29" s="7" t="s">
        <v>867</v>
      </c>
      <c r="G29" s="7" t="str">
        <f t="shared" si="3"/>
        <v>text</v>
      </c>
      <c r="H29" s="58"/>
      <c r="I29" s="23"/>
      <c r="J29" s="24"/>
      <c r="M29" s="4"/>
      <c r="N29" s="78"/>
      <c r="O29" s="78"/>
      <c r="P29" s="78" t="str">
        <f t="shared" si="4"/>
        <v>,shushoku_code4</v>
      </c>
      <c r="Q29" s="78" t="str">
        <f t="shared" si="0"/>
        <v>TEXT</v>
      </c>
      <c r="R29" s="78" t="str">
        <f t="shared" si="1"/>
        <v/>
      </c>
      <c r="S29" s="78" t="str">
        <f t="shared" si="5"/>
        <v/>
      </c>
      <c r="T29" s="78" t="str">
        <f t="shared" si="6"/>
        <v>-- 修飾語コード4</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1096</v>
      </c>
      <c r="D30" s="13" t="s">
        <v>1097</v>
      </c>
      <c r="E30" s="7"/>
      <c r="F30" s="7" t="s">
        <v>867</v>
      </c>
      <c r="G30" s="7" t="str">
        <f t="shared" si="3"/>
        <v>text</v>
      </c>
      <c r="H30" s="58"/>
      <c r="I30" s="23"/>
      <c r="J30" s="24"/>
      <c r="M30" s="4"/>
      <c r="N30" s="78"/>
      <c r="O30" s="78"/>
      <c r="P30" s="78" t="str">
        <f t="shared" si="4"/>
        <v>,shushoku_code5</v>
      </c>
      <c r="Q30" s="78" t="str">
        <f t="shared" si="0"/>
        <v>TEXT</v>
      </c>
      <c r="R30" s="78" t="str">
        <f t="shared" si="1"/>
        <v/>
      </c>
      <c r="S30" s="78" t="str">
        <f t="shared" si="5"/>
        <v/>
      </c>
      <c r="T30" s="78" t="str">
        <f t="shared" si="6"/>
        <v>-- 修飾語コード5</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1098</v>
      </c>
      <c r="D31" s="13" t="s">
        <v>1099</v>
      </c>
      <c r="E31" s="7"/>
      <c r="F31" s="7" t="s">
        <v>867</v>
      </c>
      <c r="G31" s="7" t="str">
        <f t="shared" si="3"/>
        <v>text</v>
      </c>
      <c r="H31" s="58"/>
      <c r="I31" s="23"/>
      <c r="J31" s="24"/>
      <c r="M31" s="4"/>
      <c r="N31" s="78"/>
      <c r="O31" s="78"/>
      <c r="P31" s="78" t="str">
        <f t="shared" si="4"/>
        <v>,shushoku_code6</v>
      </c>
      <c r="Q31" s="78" t="str">
        <f t="shared" si="0"/>
        <v>TEXT</v>
      </c>
      <c r="R31" s="78" t="str">
        <f t="shared" si="1"/>
        <v/>
      </c>
      <c r="S31" s="78" t="str">
        <f t="shared" si="5"/>
        <v/>
      </c>
      <c r="T31" s="78" t="str">
        <f t="shared" si="6"/>
        <v>-- 修飾語コード6</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1100</v>
      </c>
      <c r="D32" s="13" t="s">
        <v>1101</v>
      </c>
      <c r="E32" s="7"/>
      <c r="F32" s="7" t="s">
        <v>867</v>
      </c>
      <c r="G32" s="7" t="str">
        <f t="shared" si="3"/>
        <v>text</v>
      </c>
      <c r="H32" s="58"/>
      <c r="I32" s="23"/>
      <c r="J32" s="24"/>
      <c r="M32" s="4"/>
      <c r="N32" s="78"/>
      <c r="O32" s="78"/>
      <c r="P32" s="78" t="str">
        <f t="shared" si="4"/>
        <v>,shushoku_code7</v>
      </c>
      <c r="Q32" s="78" t="str">
        <f t="shared" si="0"/>
        <v>TEXT</v>
      </c>
      <c r="R32" s="78" t="str">
        <f t="shared" si="1"/>
        <v/>
      </c>
      <c r="S32" s="78" t="str">
        <f t="shared" si="5"/>
        <v/>
      </c>
      <c r="T32" s="78" t="str">
        <f t="shared" si="6"/>
        <v>-- 修飾語コード7</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1102</v>
      </c>
      <c r="D33" s="13" t="s">
        <v>1103</v>
      </c>
      <c r="E33" s="7"/>
      <c r="F33" s="7" t="s">
        <v>867</v>
      </c>
      <c r="G33" s="7" t="str">
        <f t="shared" si="3"/>
        <v>text</v>
      </c>
      <c r="H33" s="58"/>
      <c r="I33" s="23"/>
      <c r="J33" s="24"/>
      <c r="M33" s="4"/>
      <c r="N33" s="78"/>
      <c r="O33" s="78"/>
      <c r="P33" s="78" t="str">
        <f t="shared" si="4"/>
        <v>,shushoku_code8</v>
      </c>
      <c r="Q33" s="78" t="str">
        <f t="shared" si="0"/>
        <v>TEXT</v>
      </c>
      <c r="R33" s="78" t="str">
        <f t="shared" si="1"/>
        <v/>
      </c>
      <c r="S33" s="78" t="str">
        <f t="shared" si="5"/>
        <v/>
      </c>
      <c r="T33" s="78" t="str">
        <f t="shared" si="6"/>
        <v>-- 修飾語コード8</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1104</v>
      </c>
      <c r="D34" s="13" t="s">
        <v>1105</v>
      </c>
      <c r="E34" s="7"/>
      <c r="F34" s="7" t="s">
        <v>867</v>
      </c>
      <c r="G34" s="7" t="str">
        <f t="shared" si="3"/>
        <v>text</v>
      </c>
      <c r="H34" s="58"/>
      <c r="I34" s="23"/>
      <c r="J34" s="24"/>
      <c r="M34" s="4"/>
      <c r="N34" s="78"/>
      <c r="O34" s="78"/>
      <c r="P34" s="78" t="str">
        <f t="shared" si="4"/>
        <v>,shushoku_code9</v>
      </c>
      <c r="Q34" s="78" t="str">
        <f t="shared" si="0"/>
        <v>TEXT</v>
      </c>
      <c r="R34" s="78" t="str">
        <f t="shared" si="1"/>
        <v/>
      </c>
      <c r="S34" s="78" t="str">
        <f t="shared" si="5"/>
        <v/>
      </c>
      <c r="T34" s="78" t="str">
        <f t="shared" si="6"/>
        <v>-- 修飾語コード9</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1106</v>
      </c>
      <c r="D35" s="13" t="s">
        <v>1107</v>
      </c>
      <c r="E35" s="7"/>
      <c r="F35" s="7" t="s">
        <v>867</v>
      </c>
      <c r="G35" s="7" t="str">
        <f t="shared" si="3"/>
        <v>text</v>
      </c>
      <c r="H35" s="58"/>
      <c r="I35" s="23"/>
      <c r="J35" s="24"/>
      <c r="M35" s="4"/>
      <c r="N35" s="78"/>
      <c r="O35" s="78"/>
      <c r="P35" s="78" t="str">
        <f t="shared" si="4"/>
        <v>,shushoku_code10</v>
      </c>
      <c r="Q35" s="78" t="str">
        <f t="shared" si="0"/>
        <v>TEXT</v>
      </c>
      <c r="R35" s="78" t="str">
        <f t="shared" si="1"/>
        <v/>
      </c>
      <c r="S35" s="78" t="str">
        <f t="shared" si="5"/>
        <v/>
      </c>
      <c r="T35" s="78" t="str">
        <f t="shared" si="6"/>
        <v>-- 修飾語コード10</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1108</v>
      </c>
      <c r="D36" s="13" t="s">
        <v>1109</v>
      </c>
      <c r="E36" s="7"/>
      <c r="F36" s="7" t="s">
        <v>867</v>
      </c>
      <c r="G36" s="7" t="str">
        <f t="shared" si="3"/>
        <v>text</v>
      </c>
      <c r="H36" s="58"/>
      <c r="I36" s="23"/>
      <c r="J36" s="24"/>
      <c r="M36" s="4"/>
      <c r="N36" s="78"/>
      <c r="O36" s="78"/>
      <c r="P36" s="78" t="str">
        <f t="shared" si="4"/>
        <v>,shushoku_code11</v>
      </c>
      <c r="Q36" s="78" t="str">
        <f t="shared" si="0"/>
        <v>TEXT</v>
      </c>
      <c r="R36" s="78" t="str">
        <f t="shared" si="1"/>
        <v/>
      </c>
      <c r="S36" s="78" t="str">
        <f t="shared" si="5"/>
        <v/>
      </c>
      <c r="T36" s="78" t="str">
        <f t="shared" si="6"/>
        <v>-- 修飾語コード11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1110</v>
      </c>
      <c r="D37" s="13" t="s">
        <v>1111</v>
      </c>
      <c r="E37" s="7"/>
      <c r="F37" s="7" t="s">
        <v>867</v>
      </c>
      <c r="G37" s="7" t="str">
        <f t="shared" si="3"/>
        <v>text</v>
      </c>
      <c r="H37" s="58"/>
      <c r="I37" s="23"/>
      <c r="J37" s="24"/>
      <c r="M37" s="4"/>
      <c r="N37" s="78"/>
      <c r="O37" s="78"/>
      <c r="P37" s="78" t="str">
        <f t="shared" si="4"/>
        <v>,shushoku_code12</v>
      </c>
      <c r="Q37" s="78" t="str">
        <f t="shared" si="0"/>
        <v>TEXT</v>
      </c>
      <c r="R37" s="78" t="str">
        <f t="shared" si="1"/>
        <v/>
      </c>
      <c r="S37" s="78" t="str">
        <f t="shared" si="5"/>
        <v/>
      </c>
      <c r="T37" s="78" t="str">
        <f t="shared" si="6"/>
        <v>-- 修飾語コード12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1112</v>
      </c>
      <c r="D38" s="13" t="s">
        <v>1113</v>
      </c>
      <c r="E38" s="7"/>
      <c r="F38" s="7" t="s">
        <v>867</v>
      </c>
      <c r="G38" s="7" t="str">
        <f t="shared" si="3"/>
        <v>text</v>
      </c>
      <c r="H38" s="58"/>
      <c r="I38" s="23"/>
      <c r="J38" s="24"/>
      <c r="M38" s="4"/>
      <c r="N38" s="78"/>
      <c r="O38" s="78"/>
      <c r="P38" s="78" t="str">
        <f t="shared" si="4"/>
        <v>,shushoku_code13</v>
      </c>
      <c r="Q38" s="78" t="str">
        <f t="shared" si="0"/>
        <v>TEXT</v>
      </c>
      <c r="R38" s="78" t="str">
        <f t="shared" si="1"/>
        <v/>
      </c>
      <c r="S38" s="78" t="str">
        <f t="shared" si="5"/>
        <v/>
      </c>
      <c r="T38" s="78" t="str">
        <f t="shared" si="6"/>
        <v>-- 修飾語コード13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1114</v>
      </c>
      <c r="D39" s="13" t="s">
        <v>1115</v>
      </c>
      <c r="E39" s="7"/>
      <c r="F39" s="7" t="s">
        <v>867</v>
      </c>
      <c r="G39" s="7" t="str">
        <f t="shared" si="3"/>
        <v>text</v>
      </c>
      <c r="H39" s="58"/>
      <c r="I39" s="23"/>
      <c r="J39" s="24"/>
      <c r="M39" s="4"/>
      <c r="N39" s="78"/>
      <c r="O39" s="78"/>
      <c r="P39" s="78" t="str">
        <f t="shared" si="4"/>
        <v>,shushoku_code14</v>
      </c>
      <c r="Q39" s="78" t="str">
        <f t="shared" si="0"/>
        <v>TEXT</v>
      </c>
      <c r="R39" s="78" t="str">
        <f t="shared" si="1"/>
        <v/>
      </c>
      <c r="S39" s="78" t="str">
        <f t="shared" si="5"/>
        <v/>
      </c>
      <c r="T39" s="78" t="str">
        <f t="shared" si="6"/>
        <v>-- 修飾語コード14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1116</v>
      </c>
      <c r="D40" s="13" t="s">
        <v>1117</v>
      </c>
      <c r="E40" s="7"/>
      <c r="F40" s="7" t="s">
        <v>867</v>
      </c>
      <c r="G40" s="7" t="str">
        <f t="shared" si="3"/>
        <v>text</v>
      </c>
      <c r="H40" s="58"/>
      <c r="I40" s="23"/>
      <c r="J40" s="24"/>
      <c r="M40" s="4"/>
      <c r="N40" s="78"/>
      <c r="O40" s="78"/>
      <c r="P40" s="78" t="str">
        <f t="shared" si="4"/>
        <v>,shushoku_code15</v>
      </c>
      <c r="Q40" s="78" t="str">
        <f t="shared" si="0"/>
        <v>TEXT</v>
      </c>
      <c r="R40" s="78" t="str">
        <f t="shared" si="1"/>
        <v/>
      </c>
      <c r="S40" s="78" t="str">
        <f t="shared" si="5"/>
        <v/>
      </c>
      <c r="T40" s="78" t="str">
        <f t="shared" si="6"/>
        <v>-- 修飾語コード15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1118</v>
      </c>
      <c r="D41" s="13" t="s">
        <v>1119</v>
      </c>
      <c r="E41" s="7"/>
      <c r="F41" s="7" t="s">
        <v>867</v>
      </c>
      <c r="G41" s="7" t="str">
        <f t="shared" si="3"/>
        <v>text</v>
      </c>
      <c r="H41" s="58"/>
      <c r="I41" s="23"/>
      <c r="J41" s="24"/>
      <c r="M41" s="4"/>
      <c r="N41" s="78"/>
      <c r="O41" s="78"/>
      <c r="P41" s="78" t="str">
        <f t="shared" si="4"/>
        <v>,shushoku_code16</v>
      </c>
      <c r="Q41" s="78" t="str">
        <f t="shared" si="0"/>
        <v>TEXT</v>
      </c>
      <c r="R41" s="78" t="str">
        <f t="shared" si="1"/>
        <v/>
      </c>
      <c r="S41" s="78" t="str">
        <f t="shared" si="5"/>
        <v/>
      </c>
      <c r="T41" s="78" t="str">
        <f t="shared" si="6"/>
        <v>-- 修飾語コード16</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1120</v>
      </c>
      <c r="D42" s="13" t="s">
        <v>1121</v>
      </c>
      <c r="E42" s="7"/>
      <c r="F42" s="7" t="s">
        <v>867</v>
      </c>
      <c r="G42" s="7" t="str">
        <f t="shared" si="3"/>
        <v>text</v>
      </c>
      <c r="H42" s="58"/>
      <c r="I42" s="23"/>
      <c r="J42" s="24"/>
      <c r="M42" s="4"/>
      <c r="N42" s="78"/>
      <c r="O42" s="78"/>
      <c r="P42" s="78" t="str">
        <f t="shared" si="4"/>
        <v>,shushoku_code17</v>
      </c>
      <c r="Q42" s="78" t="str">
        <f t="shared" si="0"/>
        <v>TEXT</v>
      </c>
      <c r="R42" s="78" t="str">
        <f t="shared" si="1"/>
        <v/>
      </c>
      <c r="S42" s="78" t="str">
        <f t="shared" si="5"/>
        <v/>
      </c>
      <c r="T42" s="78" t="str">
        <f t="shared" si="6"/>
        <v>-- 修飾語コード17</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1122</v>
      </c>
      <c r="D43" s="13" t="s">
        <v>1123</v>
      </c>
      <c r="E43" s="7"/>
      <c r="F43" s="7" t="s">
        <v>867</v>
      </c>
      <c r="G43" s="7" t="str">
        <f t="shared" si="3"/>
        <v>text</v>
      </c>
      <c r="H43" s="58"/>
      <c r="I43" s="23"/>
      <c r="J43" s="24"/>
      <c r="M43" s="4"/>
      <c r="N43" s="78"/>
      <c r="O43" s="78"/>
      <c r="P43" s="78" t="str">
        <f t="shared" si="4"/>
        <v>,shushoku_code18</v>
      </c>
      <c r="Q43" s="78" t="str">
        <f t="shared" si="0"/>
        <v>TEXT</v>
      </c>
      <c r="R43" s="78" t="str">
        <f t="shared" si="1"/>
        <v/>
      </c>
      <c r="S43" s="78" t="str">
        <f t="shared" si="5"/>
        <v/>
      </c>
      <c r="T43" s="78" t="str">
        <f t="shared" si="6"/>
        <v>-- 修飾語コード18</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1124</v>
      </c>
      <c r="D44" s="13" t="s">
        <v>1125</v>
      </c>
      <c r="E44" s="7"/>
      <c r="F44" s="7" t="s">
        <v>867</v>
      </c>
      <c r="G44" s="7" t="str">
        <f t="shared" si="3"/>
        <v>text</v>
      </c>
      <c r="H44" s="58"/>
      <c r="I44" s="23"/>
      <c r="J44" s="24"/>
      <c r="M44" s="4"/>
      <c r="N44" s="78"/>
      <c r="O44" s="78"/>
      <c r="P44" s="78" t="str">
        <f t="shared" si="4"/>
        <v>,shushoku_code19</v>
      </c>
      <c r="Q44" s="78" t="str">
        <f t="shared" si="0"/>
        <v>TEXT</v>
      </c>
      <c r="R44" s="78" t="str">
        <f t="shared" si="1"/>
        <v/>
      </c>
      <c r="S44" s="78" t="str">
        <f t="shared" si="5"/>
        <v/>
      </c>
      <c r="T44" s="78" t="str">
        <f t="shared" si="6"/>
        <v>-- 修飾語コード19</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1126</v>
      </c>
      <c r="D45" s="13" t="s">
        <v>1127</v>
      </c>
      <c r="E45" s="7"/>
      <c r="F45" s="7" t="s">
        <v>867</v>
      </c>
      <c r="G45" s="7" t="str">
        <f t="shared" si="3"/>
        <v>text</v>
      </c>
      <c r="H45" s="58"/>
      <c r="I45" s="23"/>
      <c r="J45" s="24"/>
      <c r="M45" s="4"/>
      <c r="N45" s="78"/>
      <c r="O45" s="78"/>
      <c r="P45" s="78" t="str">
        <f t="shared" si="4"/>
        <v>,shushoku_code20</v>
      </c>
      <c r="Q45" s="78" t="str">
        <f t="shared" si="0"/>
        <v>TEXT</v>
      </c>
      <c r="R45" s="78" t="str">
        <f t="shared" si="1"/>
        <v/>
      </c>
      <c r="S45" s="78" t="str">
        <f t="shared" si="5"/>
        <v/>
      </c>
      <c r="T45" s="78" t="str">
        <f t="shared" si="6"/>
        <v>-- 修飾語コード20</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1128</v>
      </c>
      <c r="D46" s="13" t="s">
        <v>1129</v>
      </c>
      <c r="E46" s="7"/>
      <c r="F46" s="7" t="s">
        <v>867</v>
      </c>
      <c r="G46" s="7" t="str">
        <f t="shared" si="3"/>
        <v>text</v>
      </c>
      <c r="H46" s="58"/>
      <c r="I46" s="23"/>
      <c r="J46" s="24"/>
      <c r="M46" s="4"/>
      <c r="N46" s="78"/>
      <c r="O46" s="78"/>
      <c r="P46" s="78" t="str">
        <f t="shared" si="4"/>
        <v>,shobyo_name</v>
      </c>
      <c r="Q46" s="78" t="str">
        <f t="shared" si="0"/>
        <v>TEXT</v>
      </c>
      <c r="R46" s="78" t="str">
        <f t="shared" si="1"/>
        <v/>
      </c>
      <c r="S46" s="78" t="str">
        <f t="shared" si="5"/>
        <v/>
      </c>
      <c r="T46" s="78" t="str">
        <f t="shared" si="6"/>
        <v>-- 傷病名称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665</v>
      </c>
      <c r="D47" s="13" t="s">
        <v>873</v>
      </c>
      <c r="E47" s="7"/>
      <c r="F47" s="7" t="s">
        <v>867</v>
      </c>
      <c r="G47" s="7" t="str">
        <f t="shared" si="3"/>
        <v>text</v>
      </c>
      <c r="H47" s="58"/>
      <c r="I47" s="23"/>
      <c r="J47" s="24"/>
      <c r="M47" s="4"/>
      <c r="N47" s="78"/>
      <c r="O47" s="78"/>
      <c r="P47" s="78" t="str">
        <f t="shared" si="4"/>
        <v>,icd10_code</v>
      </c>
      <c r="Q47" s="78" t="str">
        <f t="shared" si="0"/>
        <v>TEXT</v>
      </c>
      <c r="R47" s="78" t="str">
        <f t="shared" si="1"/>
        <v/>
      </c>
      <c r="S47" s="78" t="str">
        <f t="shared" si="5"/>
        <v/>
      </c>
      <c r="T47" s="78" t="str">
        <f t="shared" si="6"/>
        <v>-- ICD10コード</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1243</v>
      </c>
      <c r="D48" s="13" t="s">
        <v>1244</v>
      </c>
      <c r="E48" s="7"/>
      <c r="F48" s="7" t="s">
        <v>867</v>
      </c>
      <c r="G48" s="7" t="str">
        <f t="shared" si="3"/>
        <v>text</v>
      </c>
      <c r="H48" s="58"/>
      <c r="I48" s="23"/>
      <c r="J48" s="24"/>
      <c r="M48" s="4"/>
      <c r="N48" s="78"/>
      <c r="O48" s="78"/>
      <c r="P48" s="78" t="str">
        <f t="shared" si="4"/>
        <v>,shobyo_kubun</v>
      </c>
      <c r="Q48" s="78" t="str">
        <f t="shared" si="0"/>
        <v>TEXT</v>
      </c>
      <c r="R48" s="78" t="str">
        <f t="shared" si="1"/>
        <v/>
      </c>
      <c r="S48" s="78" t="str">
        <f t="shared" si="5"/>
        <v/>
      </c>
      <c r="T48" s="78" t="str">
        <f t="shared" si="6"/>
        <v>-- 傷病名区分</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1236</v>
      </c>
      <c r="D49" s="13" t="s">
        <v>1237</v>
      </c>
      <c r="E49" s="7"/>
      <c r="F49" s="7" t="s">
        <v>867</v>
      </c>
      <c r="G49" s="7" t="str">
        <f t="shared" si="3"/>
        <v>text</v>
      </c>
      <c r="H49" s="58"/>
      <c r="I49" s="23"/>
      <c r="J49" s="24"/>
      <c r="M49" s="4"/>
      <c r="N49" s="78"/>
      <c r="O49" s="78"/>
      <c r="P49" s="78" t="str">
        <f t="shared" si="4"/>
        <v>,death_cause</v>
      </c>
      <c r="Q49" s="78" t="str">
        <f t="shared" si="0"/>
        <v>TEXT</v>
      </c>
      <c r="R49" s="78" t="str">
        <f t="shared" si="1"/>
        <v/>
      </c>
      <c r="S49" s="78" t="str">
        <f t="shared" si="5"/>
        <v/>
      </c>
      <c r="T49" s="78" t="str">
        <f t="shared" si="6"/>
        <v>-- 死因</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milscm_2023_009.sny_202310_backup_merge_receiptd_sb.death_cause IS '死因';</v>
      </c>
    </row>
    <row r="50" spans="1:52" s="25" customFormat="1" ht="18"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milscm_2023_009.sny_202310_backup_merge_receiptd_sb.hosoku_comment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ENT_01_C3-10</v>
      </c>
      <c r="E6" s="251"/>
      <c r="F6" s="251"/>
      <c r="G6" s="251"/>
      <c r="H6" s="251"/>
      <c r="I6" s="251"/>
      <c r="J6" s="252"/>
    </row>
    <row r="7" spans="1:45">
      <c r="B7" s="240" t="s">
        <v>115</v>
      </c>
      <c r="C7" s="241"/>
      <c r="D7" s="242" t="s">
        <v>1248</v>
      </c>
      <c r="E7" s="243"/>
      <c r="F7" s="243"/>
      <c r="G7" s="243"/>
      <c r="H7" s="243"/>
      <c r="I7" s="243"/>
      <c r="J7" s="244"/>
    </row>
    <row r="8" spans="1:45">
      <c r="B8" s="240" t="s">
        <v>116</v>
      </c>
      <c r="C8" s="241"/>
      <c r="D8" s="242" t="str">
        <f>エンティティ一覧!AE2&amp;"_"&amp;D5&amp;"_merge_receiptd_sy"</f>
        <v>sny_202310_backup_merge_receiptd_sy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milscm_2023_009.sny_202310_backup_merge_receiptd_sy;</v>
      </c>
      <c r="O10" s="78"/>
      <c r="P10" s="78"/>
      <c r="Q10" s="78"/>
      <c r="R10" s="78"/>
      <c r="S10" s="78"/>
      <c r="T10" s="78"/>
      <c r="AJ10" s="78" t="str">
        <f>"ALTER TABLE ONLY "&amp;エンティティ一覧!$O$2&amp;"."&amp;D$8</f>
        <v>ALTER TABLE ONLY milscm_2023_009.sny_202310_backup_merge_receiptd_sy</v>
      </c>
      <c r="AS10" s="78" t="str">
        <f>"ALTER TABLE "&amp;エンティティ一覧!$O$2&amp;"."&amp;D$8&amp;" OWNER TO pgmisgrp1;"</f>
        <v>ALTER TABLE milscm_2023_009.sny_202310_backup_merge_receiptd_sy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milscm_2023_009.sny_202310_backup_merge_receiptd_sy</v>
      </c>
      <c r="O11" s="78"/>
      <c r="P11" s="78"/>
      <c r="Q11" s="78"/>
      <c r="R11" s="78"/>
      <c r="S11" s="78"/>
      <c r="T11" s="78"/>
      <c r="AJ11" s="78" t="str">
        <f>"ADD CONSTRAINT "&amp;D$8&amp;"_pkey PRIMARY KEY"</f>
        <v>ADD CONSTRAINT sny_202310_backup_merge_receiptd_sy_pkey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928</v>
      </c>
      <c r="D20" s="13" t="s">
        <v>929</v>
      </c>
      <c r="E20" s="7"/>
      <c r="F20" s="7" t="s">
        <v>867</v>
      </c>
      <c r="G20" s="7" t="str">
        <f t="shared" si="3"/>
        <v>text</v>
      </c>
      <c r="H20" s="58" t="s">
        <v>1135</v>
      </c>
      <c r="I20" s="23" t="s">
        <v>127</v>
      </c>
      <c r="J20" s="24" t="s">
        <v>1136</v>
      </c>
      <c r="M20" s="4"/>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milscm_2023_009.sny_202310_backup_merge_receiptd_sy.karute_no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milscm_2023_009.sny_202310_backup_merge_receiptd_sy.shobyo_code IS '傷病名コード';</v>
      </c>
    </row>
    <row r="26" spans="1:45" s="25" customFormat="1" ht="69.599999999999994">
      <c r="A26" s="4"/>
      <c r="B26" s="21">
        <f t="shared" si="2"/>
        <v>14</v>
      </c>
      <c r="C26" s="13" t="s">
        <v>1092</v>
      </c>
      <c r="D26" s="13" t="s">
        <v>1093</v>
      </c>
      <c r="E26" s="7"/>
      <c r="F26" s="7" t="s">
        <v>867</v>
      </c>
      <c r="G26" s="7" t="str">
        <f t="shared" si="3"/>
        <v>text</v>
      </c>
      <c r="H26" s="58"/>
      <c r="I26" s="23"/>
      <c r="J26" s="24" t="s">
        <v>1086</v>
      </c>
      <c r="M26" s="4"/>
      <c r="N26" s="78"/>
      <c r="O26" s="78"/>
      <c r="P26" s="78" t="str">
        <f t="shared" si="4"/>
        <v>,shinryo_start_date</v>
      </c>
      <c r="Q26" s="78" t="str">
        <f t="shared" si="0"/>
        <v>TEXT</v>
      </c>
      <c r="R26" s="78" t="str">
        <f t="shared" si="1"/>
        <v/>
      </c>
      <c r="S26" s="78" t="str">
        <f t="shared" si="5"/>
        <v/>
      </c>
      <c r="T26" s="78" t="str">
        <f t="shared" si="6"/>
        <v>-- 診療開始日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1094</v>
      </c>
      <c r="D27" s="13" t="s">
        <v>1095</v>
      </c>
      <c r="E27" s="7"/>
      <c r="F27" s="7" t="s">
        <v>867</v>
      </c>
      <c r="G27" s="7" t="str">
        <f t="shared" si="3"/>
        <v>text</v>
      </c>
      <c r="H27" s="58"/>
      <c r="I27" s="23"/>
      <c r="J27" s="24"/>
      <c r="M27" s="4"/>
      <c r="N27" s="78"/>
      <c r="O27" s="78"/>
      <c r="P27" s="78" t="str">
        <f t="shared" si="4"/>
        <v>,tenki_kubun</v>
      </c>
      <c r="Q27" s="78" t="str">
        <f t="shared" si="0"/>
        <v>TEXT</v>
      </c>
      <c r="R27" s="78" t="str">
        <f t="shared" si="1"/>
        <v/>
      </c>
      <c r="S27" s="78" t="str">
        <f t="shared" si="5"/>
        <v/>
      </c>
      <c r="T27" s="78" t="str">
        <f t="shared" si="6"/>
        <v>-- 転帰区分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669</v>
      </c>
      <c r="D28" s="13" t="s">
        <v>875</v>
      </c>
      <c r="E28" s="7"/>
      <c r="F28" s="7" t="s">
        <v>867</v>
      </c>
      <c r="G28" s="7" t="str">
        <f t="shared" si="3"/>
        <v>text</v>
      </c>
      <c r="H28" s="58"/>
      <c r="I28" s="23"/>
      <c r="J28" s="24" t="s">
        <v>1138</v>
      </c>
      <c r="M28" s="4"/>
      <c r="N28" s="78"/>
      <c r="O28" s="78"/>
      <c r="P28" s="78" t="str">
        <f t="shared" si="4"/>
        <v>,shushoku_code1</v>
      </c>
      <c r="Q28" s="78" t="str">
        <f t="shared" si="0"/>
        <v>TEXT</v>
      </c>
      <c r="R28" s="78" t="str">
        <f t="shared" si="1"/>
        <v/>
      </c>
      <c r="S28" s="78" t="str">
        <f t="shared" si="5"/>
        <v/>
      </c>
      <c r="T28" s="78" t="str">
        <f t="shared" si="6"/>
        <v>-- 修飾語コード1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671</v>
      </c>
      <c r="D29" s="13" t="s">
        <v>876</v>
      </c>
      <c r="E29" s="7"/>
      <c r="F29" s="7" t="s">
        <v>867</v>
      </c>
      <c r="G29" s="7" t="str">
        <f t="shared" si="3"/>
        <v>text</v>
      </c>
      <c r="H29" s="58"/>
      <c r="I29" s="23"/>
      <c r="J29" s="24"/>
      <c r="M29" s="4"/>
      <c r="N29" s="78"/>
      <c r="O29" s="78"/>
      <c r="P29" s="78" t="str">
        <f t="shared" si="4"/>
        <v>,shushoku_code2</v>
      </c>
      <c r="Q29" s="78" t="str">
        <f t="shared" si="0"/>
        <v>TEXT</v>
      </c>
      <c r="R29" s="78" t="str">
        <f t="shared" si="1"/>
        <v/>
      </c>
      <c r="S29" s="78" t="str">
        <f t="shared" si="5"/>
        <v/>
      </c>
      <c r="T29" s="78" t="str">
        <f t="shared" si="6"/>
        <v>-- 修飾語コード2</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673</v>
      </c>
      <c r="D30" s="13" t="s">
        <v>877</v>
      </c>
      <c r="E30" s="7"/>
      <c r="F30" s="7" t="s">
        <v>867</v>
      </c>
      <c r="G30" s="7" t="str">
        <f t="shared" si="3"/>
        <v>text</v>
      </c>
      <c r="H30" s="58"/>
      <c r="I30" s="23"/>
      <c r="J30" s="24"/>
      <c r="M30" s="4"/>
      <c r="N30" s="78"/>
      <c r="O30" s="78"/>
      <c r="P30" s="78" t="str">
        <f t="shared" si="4"/>
        <v>,shushoku_code3</v>
      </c>
      <c r="Q30" s="78" t="str">
        <f t="shared" si="0"/>
        <v>TEXT</v>
      </c>
      <c r="R30" s="78" t="str">
        <f t="shared" si="1"/>
        <v/>
      </c>
      <c r="S30" s="78" t="str">
        <f t="shared" si="5"/>
        <v/>
      </c>
      <c r="T30" s="78" t="str">
        <f t="shared" si="6"/>
        <v>-- 修飾語コード3</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675</v>
      </c>
      <c r="D31" s="13" t="s">
        <v>878</v>
      </c>
      <c r="E31" s="7"/>
      <c r="F31" s="7" t="s">
        <v>867</v>
      </c>
      <c r="G31" s="7" t="str">
        <f t="shared" si="3"/>
        <v>text</v>
      </c>
      <c r="H31" s="58"/>
      <c r="I31" s="23"/>
      <c r="J31" s="24"/>
      <c r="M31" s="4"/>
      <c r="N31" s="78"/>
      <c r="O31" s="78"/>
      <c r="P31" s="78" t="str">
        <f t="shared" si="4"/>
        <v>,shushoku_code4</v>
      </c>
      <c r="Q31" s="78" t="str">
        <f t="shared" si="0"/>
        <v>TEXT</v>
      </c>
      <c r="R31" s="78" t="str">
        <f t="shared" si="1"/>
        <v/>
      </c>
      <c r="S31" s="78" t="str">
        <f t="shared" si="5"/>
        <v/>
      </c>
      <c r="T31" s="78" t="str">
        <f t="shared" si="6"/>
        <v>-- 修飾語コード4</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1096</v>
      </c>
      <c r="D32" s="13" t="s">
        <v>1097</v>
      </c>
      <c r="E32" s="7"/>
      <c r="F32" s="7" t="s">
        <v>867</v>
      </c>
      <c r="G32" s="7" t="str">
        <f t="shared" si="3"/>
        <v>text</v>
      </c>
      <c r="H32" s="58"/>
      <c r="I32" s="23"/>
      <c r="J32" s="24"/>
      <c r="M32" s="4"/>
      <c r="N32" s="78"/>
      <c r="O32" s="78"/>
      <c r="P32" s="78" t="str">
        <f t="shared" si="4"/>
        <v>,shushoku_code5</v>
      </c>
      <c r="Q32" s="78" t="str">
        <f t="shared" si="0"/>
        <v>TEXT</v>
      </c>
      <c r="R32" s="78" t="str">
        <f t="shared" si="1"/>
        <v/>
      </c>
      <c r="S32" s="78" t="str">
        <f t="shared" si="5"/>
        <v/>
      </c>
      <c r="T32" s="78" t="str">
        <f t="shared" si="6"/>
        <v>-- 修飾語コード5</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1098</v>
      </c>
      <c r="D33" s="13" t="s">
        <v>1099</v>
      </c>
      <c r="E33" s="7"/>
      <c r="F33" s="7" t="s">
        <v>867</v>
      </c>
      <c r="G33" s="7" t="str">
        <f t="shared" si="3"/>
        <v>text</v>
      </c>
      <c r="H33" s="58"/>
      <c r="I33" s="23"/>
      <c r="J33" s="24"/>
      <c r="M33" s="4"/>
      <c r="N33" s="78"/>
      <c r="O33" s="78"/>
      <c r="P33" s="78" t="str">
        <f t="shared" si="4"/>
        <v>,shushoku_code6</v>
      </c>
      <c r="Q33" s="78" t="str">
        <f t="shared" si="0"/>
        <v>TEXT</v>
      </c>
      <c r="R33" s="78" t="str">
        <f t="shared" si="1"/>
        <v/>
      </c>
      <c r="S33" s="78" t="str">
        <f t="shared" si="5"/>
        <v/>
      </c>
      <c r="T33" s="78" t="str">
        <f t="shared" si="6"/>
        <v>-- 修飾語コード6</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1100</v>
      </c>
      <c r="D34" s="13" t="s">
        <v>1101</v>
      </c>
      <c r="E34" s="7"/>
      <c r="F34" s="7" t="s">
        <v>867</v>
      </c>
      <c r="G34" s="7" t="str">
        <f t="shared" si="3"/>
        <v>text</v>
      </c>
      <c r="H34" s="58"/>
      <c r="I34" s="23"/>
      <c r="J34" s="24"/>
      <c r="M34" s="4"/>
      <c r="N34" s="78"/>
      <c r="O34" s="78"/>
      <c r="P34" s="78" t="str">
        <f t="shared" si="4"/>
        <v>,shushoku_code7</v>
      </c>
      <c r="Q34" s="78" t="str">
        <f t="shared" si="0"/>
        <v>TEXT</v>
      </c>
      <c r="R34" s="78" t="str">
        <f t="shared" si="1"/>
        <v/>
      </c>
      <c r="S34" s="78" t="str">
        <f t="shared" si="5"/>
        <v/>
      </c>
      <c r="T34" s="78" t="str">
        <f t="shared" si="6"/>
        <v>-- 修飾語コード7</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1102</v>
      </c>
      <c r="D35" s="13" t="s">
        <v>1103</v>
      </c>
      <c r="E35" s="7"/>
      <c r="F35" s="7" t="s">
        <v>867</v>
      </c>
      <c r="G35" s="7" t="str">
        <f t="shared" si="3"/>
        <v>text</v>
      </c>
      <c r="H35" s="58"/>
      <c r="I35" s="23"/>
      <c r="J35" s="24"/>
      <c r="M35" s="4"/>
      <c r="N35" s="78"/>
      <c r="O35" s="78"/>
      <c r="P35" s="78" t="str">
        <f t="shared" si="4"/>
        <v>,shushoku_code8</v>
      </c>
      <c r="Q35" s="78" t="str">
        <f t="shared" si="0"/>
        <v>TEXT</v>
      </c>
      <c r="R35" s="78" t="str">
        <f t="shared" si="1"/>
        <v/>
      </c>
      <c r="S35" s="78" t="str">
        <f t="shared" si="5"/>
        <v/>
      </c>
      <c r="T35" s="78" t="str">
        <f t="shared" si="6"/>
        <v>-- 修飾語コード8</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1104</v>
      </c>
      <c r="D36" s="13" t="s">
        <v>1105</v>
      </c>
      <c r="E36" s="7"/>
      <c r="F36" s="7" t="s">
        <v>867</v>
      </c>
      <c r="G36" s="7" t="str">
        <f t="shared" si="3"/>
        <v>text</v>
      </c>
      <c r="H36" s="58"/>
      <c r="I36" s="23"/>
      <c r="J36" s="24"/>
      <c r="M36" s="4"/>
      <c r="N36" s="78"/>
      <c r="O36" s="78"/>
      <c r="P36" s="78" t="str">
        <f t="shared" si="4"/>
        <v>,shushoku_code9</v>
      </c>
      <c r="Q36" s="78" t="str">
        <f t="shared" si="0"/>
        <v>TEXT</v>
      </c>
      <c r="R36" s="78" t="str">
        <f t="shared" si="1"/>
        <v/>
      </c>
      <c r="S36" s="78" t="str">
        <f t="shared" si="5"/>
        <v/>
      </c>
      <c r="T36" s="78" t="str">
        <f t="shared" si="6"/>
        <v>-- 修飾語コード9</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1106</v>
      </c>
      <c r="D37" s="13" t="s">
        <v>1107</v>
      </c>
      <c r="E37" s="7"/>
      <c r="F37" s="7" t="s">
        <v>867</v>
      </c>
      <c r="G37" s="7" t="str">
        <f t="shared" si="3"/>
        <v>text</v>
      </c>
      <c r="H37" s="58"/>
      <c r="I37" s="23"/>
      <c r="J37" s="24"/>
      <c r="M37" s="4"/>
      <c r="N37" s="78"/>
      <c r="O37" s="78"/>
      <c r="P37" s="78" t="str">
        <f t="shared" si="4"/>
        <v>,shushoku_code10</v>
      </c>
      <c r="Q37" s="78" t="str">
        <f t="shared" si="0"/>
        <v>TEXT</v>
      </c>
      <c r="R37" s="78" t="str">
        <f t="shared" si="1"/>
        <v/>
      </c>
      <c r="S37" s="78" t="str">
        <f t="shared" si="5"/>
        <v/>
      </c>
      <c r="T37" s="78" t="str">
        <f t="shared" si="6"/>
        <v>-- 修飾語コード10</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1108</v>
      </c>
      <c r="D38" s="13" t="s">
        <v>1109</v>
      </c>
      <c r="E38" s="7"/>
      <c r="F38" s="7" t="s">
        <v>867</v>
      </c>
      <c r="G38" s="7" t="str">
        <f t="shared" si="3"/>
        <v>text</v>
      </c>
      <c r="H38" s="58"/>
      <c r="I38" s="23"/>
      <c r="J38" s="24"/>
      <c r="M38" s="4"/>
      <c r="N38" s="78"/>
      <c r="O38" s="78"/>
      <c r="P38" s="78" t="str">
        <f t="shared" si="4"/>
        <v>,shushoku_code11</v>
      </c>
      <c r="Q38" s="78" t="str">
        <f t="shared" si="0"/>
        <v>TEXT</v>
      </c>
      <c r="R38" s="78" t="str">
        <f t="shared" si="1"/>
        <v/>
      </c>
      <c r="S38" s="78" t="str">
        <f t="shared" si="5"/>
        <v/>
      </c>
      <c r="T38" s="78" t="str">
        <f t="shared" si="6"/>
        <v>-- 修飾語コード11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1110</v>
      </c>
      <c r="D39" s="13" t="s">
        <v>1111</v>
      </c>
      <c r="E39" s="7"/>
      <c r="F39" s="7" t="s">
        <v>867</v>
      </c>
      <c r="G39" s="7" t="str">
        <f t="shared" si="3"/>
        <v>text</v>
      </c>
      <c r="H39" s="58"/>
      <c r="I39" s="23"/>
      <c r="J39" s="24"/>
      <c r="M39" s="4"/>
      <c r="N39" s="78"/>
      <c r="O39" s="78"/>
      <c r="P39" s="78" t="str">
        <f t="shared" si="4"/>
        <v>,shushoku_code12</v>
      </c>
      <c r="Q39" s="78" t="str">
        <f t="shared" si="0"/>
        <v>TEXT</v>
      </c>
      <c r="R39" s="78" t="str">
        <f t="shared" si="1"/>
        <v/>
      </c>
      <c r="S39" s="78" t="str">
        <f t="shared" si="5"/>
        <v/>
      </c>
      <c r="T39" s="78" t="str">
        <f t="shared" si="6"/>
        <v>-- 修飾語コード12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1112</v>
      </c>
      <c r="D40" s="13" t="s">
        <v>1113</v>
      </c>
      <c r="E40" s="7"/>
      <c r="F40" s="7" t="s">
        <v>867</v>
      </c>
      <c r="G40" s="7" t="str">
        <f t="shared" si="3"/>
        <v>text</v>
      </c>
      <c r="H40" s="58"/>
      <c r="I40" s="23"/>
      <c r="J40" s="24"/>
      <c r="M40" s="4"/>
      <c r="N40" s="78"/>
      <c r="O40" s="78"/>
      <c r="P40" s="78" t="str">
        <f t="shared" si="4"/>
        <v>,shushoku_code13</v>
      </c>
      <c r="Q40" s="78" t="str">
        <f t="shared" si="0"/>
        <v>TEXT</v>
      </c>
      <c r="R40" s="78" t="str">
        <f t="shared" si="1"/>
        <v/>
      </c>
      <c r="S40" s="78" t="str">
        <f t="shared" si="5"/>
        <v/>
      </c>
      <c r="T40" s="78" t="str">
        <f t="shared" si="6"/>
        <v>-- 修飾語コード13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1114</v>
      </c>
      <c r="D41" s="13" t="s">
        <v>1115</v>
      </c>
      <c r="E41" s="7"/>
      <c r="F41" s="7" t="s">
        <v>867</v>
      </c>
      <c r="G41" s="7" t="str">
        <f t="shared" si="3"/>
        <v>text</v>
      </c>
      <c r="H41" s="58"/>
      <c r="I41" s="23"/>
      <c r="J41" s="24"/>
      <c r="M41" s="4"/>
      <c r="N41" s="78"/>
      <c r="O41" s="78"/>
      <c r="P41" s="78" t="str">
        <f t="shared" si="4"/>
        <v>,shushoku_code14</v>
      </c>
      <c r="Q41" s="78" t="str">
        <f t="shared" si="0"/>
        <v>TEXT</v>
      </c>
      <c r="R41" s="78" t="str">
        <f t="shared" si="1"/>
        <v/>
      </c>
      <c r="S41" s="78" t="str">
        <f t="shared" si="5"/>
        <v/>
      </c>
      <c r="T41" s="78" t="str">
        <f t="shared" si="6"/>
        <v>-- 修飾語コード14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1116</v>
      </c>
      <c r="D42" s="13" t="s">
        <v>1117</v>
      </c>
      <c r="E42" s="7"/>
      <c r="F42" s="7" t="s">
        <v>867</v>
      </c>
      <c r="G42" s="7" t="str">
        <f t="shared" si="3"/>
        <v>text</v>
      </c>
      <c r="H42" s="58"/>
      <c r="I42" s="23"/>
      <c r="J42" s="24"/>
      <c r="M42" s="4"/>
      <c r="N42" s="78"/>
      <c r="O42" s="78"/>
      <c r="P42" s="78" t="str">
        <f t="shared" si="4"/>
        <v>,shushoku_code15</v>
      </c>
      <c r="Q42" s="78" t="str">
        <f t="shared" si="0"/>
        <v>TEXT</v>
      </c>
      <c r="R42" s="78" t="str">
        <f t="shared" si="1"/>
        <v/>
      </c>
      <c r="S42" s="78" t="str">
        <f t="shared" si="5"/>
        <v/>
      </c>
      <c r="T42" s="78" t="str">
        <f t="shared" si="6"/>
        <v>-- 修飾語コード15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1118</v>
      </c>
      <c r="D43" s="13" t="s">
        <v>1119</v>
      </c>
      <c r="E43" s="7"/>
      <c r="F43" s="7" t="s">
        <v>867</v>
      </c>
      <c r="G43" s="7" t="str">
        <f t="shared" si="3"/>
        <v>text</v>
      </c>
      <c r="H43" s="58"/>
      <c r="I43" s="23"/>
      <c r="J43" s="24"/>
      <c r="M43" s="4"/>
      <c r="N43" s="78"/>
      <c r="O43" s="78"/>
      <c r="P43" s="78" t="str">
        <f t="shared" si="4"/>
        <v>,shushoku_code16</v>
      </c>
      <c r="Q43" s="78" t="str">
        <f t="shared" si="0"/>
        <v>TEXT</v>
      </c>
      <c r="R43" s="78" t="str">
        <f t="shared" si="1"/>
        <v/>
      </c>
      <c r="S43" s="78" t="str">
        <f t="shared" si="5"/>
        <v/>
      </c>
      <c r="T43" s="78" t="str">
        <f t="shared" si="6"/>
        <v>-- 修飾語コード16</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1120</v>
      </c>
      <c r="D44" s="13" t="s">
        <v>1121</v>
      </c>
      <c r="E44" s="7"/>
      <c r="F44" s="7" t="s">
        <v>867</v>
      </c>
      <c r="G44" s="7" t="str">
        <f t="shared" si="3"/>
        <v>text</v>
      </c>
      <c r="H44" s="58"/>
      <c r="I44" s="23"/>
      <c r="J44" s="24"/>
      <c r="M44" s="4"/>
      <c r="N44" s="78"/>
      <c r="O44" s="78"/>
      <c r="P44" s="78" t="str">
        <f t="shared" si="4"/>
        <v>,shushoku_code17</v>
      </c>
      <c r="Q44" s="78" t="str">
        <f t="shared" si="0"/>
        <v>TEXT</v>
      </c>
      <c r="R44" s="78" t="str">
        <f t="shared" si="1"/>
        <v/>
      </c>
      <c r="S44" s="78" t="str">
        <f t="shared" si="5"/>
        <v/>
      </c>
      <c r="T44" s="78" t="str">
        <f t="shared" si="6"/>
        <v>-- 修飾語コード17</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1122</v>
      </c>
      <c r="D45" s="13" t="s">
        <v>1123</v>
      </c>
      <c r="E45" s="7"/>
      <c r="F45" s="7" t="s">
        <v>867</v>
      </c>
      <c r="G45" s="7" t="str">
        <f t="shared" si="3"/>
        <v>text</v>
      </c>
      <c r="H45" s="58"/>
      <c r="I45" s="23"/>
      <c r="J45" s="24"/>
      <c r="M45" s="4"/>
      <c r="N45" s="78"/>
      <c r="O45" s="78"/>
      <c r="P45" s="78" t="str">
        <f t="shared" si="4"/>
        <v>,shushoku_code18</v>
      </c>
      <c r="Q45" s="78" t="str">
        <f t="shared" si="0"/>
        <v>TEXT</v>
      </c>
      <c r="R45" s="78" t="str">
        <f t="shared" si="1"/>
        <v/>
      </c>
      <c r="S45" s="78" t="str">
        <f t="shared" si="5"/>
        <v/>
      </c>
      <c r="T45" s="78" t="str">
        <f t="shared" si="6"/>
        <v>-- 修飾語コード18</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1124</v>
      </c>
      <c r="D46" s="13" t="s">
        <v>1125</v>
      </c>
      <c r="E46" s="7"/>
      <c r="F46" s="7" t="s">
        <v>867</v>
      </c>
      <c r="G46" s="7" t="str">
        <f t="shared" si="3"/>
        <v>text</v>
      </c>
      <c r="H46" s="58"/>
      <c r="I46" s="23"/>
      <c r="J46" s="24"/>
      <c r="M46" s="4"/>
      <c r="N46" s="78"/>
      <c r="O46" s="78"/>
      <c r="P46" s="78" t="str">
        <f t="shared" si="4"/>
        <v>,shushoku_code19</v>
      </c>
      <c r="Q46" s="78" t="str">
        <f t="shared" si="0"/>
        <v>TEXT</v>
      </c>
      <c r="R46" s="78" t="str">
        <f t="shared" si="1"/>
        <v/>
      </c>
      <c r="S46" s="78" t="str">
        <f t="shared" si="5"/>
        <v/>
      </c>
      <c r="T46" s="78" t="str">
        <f t="shared" si="6"/>
        <v>-- 修飾語コード19</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1126</v>
      </c>
      <c r="D47" s="13" t="s">
        <v>1127</v>
      </c>
      <c r="E47" s="7"/>
      <c r="F47" s="7" t="s">
        <v>867</v>
      </c>
      <c r="G47" s="7" t="str">
        <f t="shared" si="3"/>
        <v>text</v>
      </c>
      <c r="H47" s="58"/>
      <c r="I47" s="23"/>
      <c r="J47" s="24"/>
      <c r="M47" s="4"/>
      <c r="N47" s="78"/>
      <c r="O47" s="78"/>
      <c r="P47" s="78" t="str">
        <f t="shared" si="4"/>
        <v>,shushoku_code20</v>
      </c>
      <c r="Q47" s="78" t="str">
        <f t="shared" si="0"/>
        <v>TEXT</v>
      </c>
      <c r="R47" s="78" t="str">
        <f t="shared" si="1"/>
        <v/>
      </c>
      <c r="S47" s="78" t="str">
        <f t="shared" si="5"/>
        <v/>
      </c>
      <c r="T47" s="78" t="str">
        <f t="shared" si="6"/>
        <v>-- 修飾語コード20</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1128</v>
      </c>
      <c r="D48" s="13" t="s">
        <v>1129</v>
      </c>
      <c r="E48" s="7"/>
      <c r="F48" s="7" t="s">
        <v>867</v>
      </c>
      <c r="G48" s="7" t="str">
        <f t="shared" si="3"/>
        <v>text</v>
      </c>
      <c r="H48" s="58"/>
      <c r="I48" s="23"/>
      <c r="J48" s="24"/>
      <c r="M48" s="4"/>
      <c r="N48" s="78"/>
      <c r="O48" s="78"/>
      <c r="P48" s="78" t="str">
        <f t="shared" si="4"/>
        <v>,shobyo_name</v>
      </c>
      <c r="Q48" s="78" t="str">
        <f t="shared" si="0"/>
        <v>TEXT</v>
      </c>
      <c r="R48" s="78" t="str">
        <f t="shared" si="1"/>
        <v/>
      </c>
      <c r="S48" s="78" t="str">
        <f t="shared" si="5"/>
        <v/>
      </c>
      <c r="T48" s="78" t="str">
        <f t="shared" si="6"/>
        <v>-- 傷病名称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1130</v>
      </c>
      <c r="D49" s="13" t="s">
        <v>1131</v>
      </c>
      <c r="E49" s="7"/>
      <c r="F49" s="7" t="s">
        <v>867</v>
      </c>
      <c r="G49" s="7" t="str">
        <f t="shared" si="3"/>
        <v>text</v>
      </c>
      <c r="H49" s="58"/>
      <c r="I49" s="23"/>
      <c r="J49" s="24"/>
      <c r="M49" s="4"/>
      <c r="N49" s="78"/>
      <c r="O49" s="78"/>
      <c r="P49" s="78" t="str">
        <f t="shared" si="4"/>
        <v>,main_shobyo_code</v>
      </c>
      <c r="Q49" s="78" t="str">
        <f t="shared" si="0"/>
        <v>TEXT</v>
      </c>
      <c r="R49" s="78" t="str">
        <f t="shared" si="1"/>
        <v/>
      </c>
      <c r="S49" s="78" t="str">
        <f t="shared" si="5"/>
        <v/>
      </c>
      <c r="T49" s="78" t="str">
        <f t="shared" si="6"/>
        <v>-- 主傷病</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milscm_2023_009.sny_202310_backup_merge_receiptd_sy.main_shobyo_code IS '主傷病';</v>
      </c>
    </row>
    <row r="50" spans="1:52" s="25" customFormat="1" ht="18"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milscm_2023_009.sny_202310_backup_merge_receiptd_sy.hosoku_comment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ENT_01_C3-16</v>
      </c>
      <c r="E6" s="251"/>
      <c r="F6" s="251"/>
      <c r="G6" s="251"/>
      <c r="H6" s="251"/>
      <c r="I6" s="251"/>
      <c r="J6" s="252"/>
    </row>
    <row r="7" spans="1:45">
      <c r="B7" s="240" t="s">
        <v>115</v>
      </c>
      <c r="C7" s="241"/>
      <c r="D7" s="242" t="s">
        <v>1250</v>
      </c>
      <c r="E7" s="243"/>
      <c r="F7" s="243"/>
      <c r="G7" s="243"/>
      <c r="H7" s="243"/>
      <c r="I7" s="243"/>
      <c r="J7" s="244"/>
    </row>
    <row r="8" spans="1:45">
      <c r="B8" s="240" t="s">
        <v>116</v>
      </c>
      <c r="C8" s="241"/>
      <c r="D8" s="242" t="str">
        <f>エンティティ一覧!AE2&amp;"_"&amp;D5&amp;"_merge_receiptd_si"</f>
        <v>sny_202310_backup_merge_receiptd_si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milscm_2023_009.sny_202310_backup_merge_receiptd_si;</v>
      </c>
      <c r="O10" s="78"/>
      <c r="P10" s="78"/>
      <c r="Q10" s="78"/>
      <c r="R10" s="78"/>
      <c r="S10" s="78"/>
      <c r="T10" s="78"/>
      <c r="AJ10" s="78" t="str">
        <f>"ALTER TABLE ONLY "&amp;エンティティ一覧!$O$2&amp;"."&amp;D$8</f>
        <v>ALTER TABLE ONLY milscm_2023_009.sny_202310_backup_merge_receiptd_si</v>
      </c>
      <c r="AS10" s="78" t="str">
        <f>"ALTER TABLE "&amp;エンティティ一覧!$O$2&amp;"."&amp;D$8&amp;" OWNER TO pgmisgrp1;"</f>
        <v>ALTER TABLE milscm_2023_009.sny_202310_backup_merge_receiptd_si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milscm_2023_009.sny_202310_backup_merge_receiptd_si</v>
      </c>
      <c r="O11" s="78"/>
      <c r="P11" s="78"/>
      <c r="Q11" s="78"/>
      <c r="R11" s="78"/>
      <c r="S11" s="78"/>
      <c r="T11" s="78"/>
      <c r="AJ11" s="78" t="str">
        <f>"ADD CONSTRAINT "&amp;D$8&amp;"_pkey PRIMARY KEY"</f>
        <v>ADD CONSTRAINT sny_202310_backup_merge_receiptd_si_pkey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1145</v>
      </c>
      <c r="D27" s="13" t="s">
        <v>1146</v>
      </c>
      <c r="E27" s="7"/>
      <c r="F27" s="7" t="s">
        <v>867</v>
      </c>
      <c r="G27" s="7" t="str">
        <f t="shared" si="3"/>
        <v>text</v>
      </c>
      <c r="H27" s="58"/>
      <c r="I27" s="23"/>
      <c r="J27" s="24"/>
      <c r="M27" s="4"/>
      <c r="N27" s="78"/>
      <c r="O27" s="78"/>
      <c r="P27" s="78" t="str">
        <f t="shared" si="4"/>
        <v>,shinryo_koi_code</v>
      </c>
      <c r="Q27" s="78" t="str">
        <f t="shared" si="0"/>
        <v>TEXT</v>
      </c>
      <c r="R27" s="78" t="str">
        <f t="shared" si="1"/>
        <v/>
      </c>
      <c r="S27" s="78" t="str">
        <f t="shared" si="5"/>
        <v/>
      </c>
      <c r="T27" s="78" t="str">
        <f t="shared" si="6"/>
        <v>-- 診療行為コード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1147</v>
      </c>
      <c r="D28" s="13" t="s">
        <v>1148</v>
      </c>
      <c r="E28" s="7"/>
      <c r="F28" s="7" t="s">
        <v>204</v>
      </c>
      <c r="G28" s="7" t="str">
        <f t="shared" si="3"/>
        <v>integer</v>
      </c>
      <c r="H28" s="58"/>
      <c r="I28" s="23"/>
      <c r="J28" s="24"/>
      <c r="M28" s="4"/>
      <c r="N28" s="78"/>
      <c r="O28" s="78"/>
      <c r="P28" s="78" t="str">
        <f t="shared" si="4"/>
        <v>,suryo_data</v>
      </c>
      <c r="Q28" s="78" t="str">
        <f t="shared" si="0"/>
        <v>INTEGER</v>
      </c>
      <c r="R28" s="78" t="str">
        <f t="shared" si="1"/>
        <v/>
      </c>
      <c r="S28" s="78" t="str">
        <f t="shared" si="5"/>
        <v/>
      </c>
      <c r="T28" s="78" t="str">
        <f t="shared" si="6"/>
        <v>-- 数量データ</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milscm_2023_009.sny_202310_backup_merge_receiptd_si.tensu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milscm_2023_009.sny_202310_backup_merge_receiptd_si.times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milscm_2023_009.sny_202310_backup_merge_receiptd_si.comment_code3 IS 'コメントコード3';</v>
      </c>
    </row>
    <row r="36" spans="1:52" s="25" customFormat="1" ht="18"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milscm_2023_009.sny_202310_backup_merge_receiptd_si.comment_data3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ENT_01_C3-17</v>
      </c>
      <c r="E6" s="251"/>
      <c r="F6" s="251"/>
      <c r="G6" s="251"/>
      <c r="H6" s="251"/>
      <c r="I6" s="251"/>
      <c r="J6" s="252"/>
    </row>
    <row r="7" spans="1:45">
      <c r="B7" s="240" t="s">
        <v>115</v>
      </c>
      <c r="C7" s="241"/>
      <c r="D7" s="242" t="s">
        <v>1252</v>
      </c>
      <c r="E7" s="243"/>
      <c r="F7" s="243"/>
      <c r="G7" s="243"/>
      <c r="H7" s="243"/>
      <c r="I7" s="243"/>
      <c r="J7" s="244"/>
    </row>
    <row r="8" spans="1:45">
      <c r="B8" s="240" t="s">
        <v>116</v>
      </c>
      <c r="C8" s="241"/>
      <c r="D8" s="242" t="str">
        <f>エンティティ一覧!AE2&amp;"_"&amp;D5&amp;"_merge_receiptd_si_day"</f>
        <v>sny_202310_backup_merge_receiptd_si_day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milscm_2023_009.sny_202310_backup_merge_receiptd_si_day;</v>
      </c>
      <c r="O10" s="78"/>
      <c r="P10" s="78"/>
      <c r="Q10" s="78"/>
      <c r="R10" s="78"/>
      <c r="S10" s="78"/>
      <c r="T10" s="78"/>
      <c r="AJ10" s="78" t="str">
        <f>"ALTER TABLE ONLY "&amp;エンティティ一覧!$O$2&amp;"."&amp;D$8</f>
        <v>ALTER TABLE ONLY milscm_2023_009.sny_202310_backup_merge_receiptd_si_day</v>
      </c>
      <c r="AS10" s="78" t="str">
        <f>"ALTER TABLE "&amp;エンティティ一覧!$O$2&amp;"."&amp;D$8&amp;" OWNER TO pgmisgrp1;"</f>
        <v>ALTER TABLE milscm_2023_009.sny_202310_backup_merge_receiptd_si_day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milscm_2023_009.sny_202310_backup_merge_receiptd_si_day</v>
      </c>
      <c r="O11" s="78"/>
      <c r="P11" s="78"/>
      <c r="Q11" s="78"/>
      <c r="R11" s="78"/>
      <c r="S11" s="78"/>
      <c r="T11" s="78"/>
      <c r="AJ11" s="78" t="str">
        <f>"ADD CONSTRAINT "&amp;D$8&amp;"_pkey PRIMARY KEY"</f>
        <v>ADD CONSTRAINT sny_202310_backup_merge_receiptd_si_day_pkey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milscm_2023_009.sny_202310_backup_merge_receiptd_si_day.receipt_no IS 'レセプト番号';</v>
      </c>
    </row>
    <row r="22" spans="1:52" s="25" customFormat="1" ht="34.799999999999997">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milscm_2023_009.sny_202310_backup_merge_receiptd_si_day.karute_no IS 'カルテ番号等';</v>
      </c>
    </row>
    <row r="24" spans="1:52" s="25" customFormat="1" ht="34.799999999999997">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milscm_2023_009.sny_202310_backup_merge_receiptd_si_day.santei_ymd IS '算定日';</v>
      </c>
    </row>
    <row r="26" spans="1:52" s="25" customFormat="1" ht="18"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ENT_01_C3-18</v>
      </c>
      <c r="E6" s="251"/>
      <c r="F6" s="251"/>
      <c r="G6" s="251"/>
      <c r="H6" s="251"/>
      <c r="I6" s="251"/>
      <c r="J6" s="252"/>
    </row>
    <row r="7" spans="1:45">
      <c r="B7" s="240" t="s">
        <v>115</v>
      </c>
      <c r="C7" s="241"/>
      <c r="D7" s="242" t="s">
        <v>1255</v>
      </c>
      <c r="E7" s="243"/>
      <c r="F7" s="243"/>
      <c r="G7" s="243"/>
      <c r="H7" s="243"/>
      <c r="I7" s="243"/>
      <c r="J7" s="244"/>
    </row>
    <row r="8" spans="1:45">
      <c r="B8" s="240" t="s">
        <v>116</v>
      </c>
      <c r="C8" s="241"/>
      <c r="D8" s="242" t="str">
        <f>エンティティ一覧!AE2&amp;"_"&amp;D5&amp;"_merge_receiptd_iy"</f>
        <v>sny_202310_backup_merge_receiptd_iy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milscm_2023_009.sny_202310_backup_merge_receiptd_iy;</v>
      </c>
      <c r="O10" s="78"/>
      <c r="P10" s="78"/>
      <c r="Q10" s="78"/>
      <c r="R10" s="78"/>
      <c r="S10" s="78"/>
      <c r="T10" s="78"/>
      <c r="AJ10" s="78" t="str">
        <f>"ALTER TABLE ONLY "&amp;エンティティ一覧!$O$2&amp;"."&amp;D$8</f>
        <v>ALTER TABLE ONLY milscm_2023_009.sny_202310_backup_merge_receiptd_iy</v>
      </c>
      <c r="AS10" s="78" t="str">
        <f>"ALTER TABLE "&amp;エンティティ一覧!$O$2&amp;"."&amp;D$8&amp;" OWNER TO pgmisgrp1;"</f>
        <v>ALTER TABLE milscm_2023_009.sny_202310_backup_merge_receiptd_iy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milscm_2023_009.sny_202310_backup_merge_receiptd_iy</v>
      </c>
      <c r="O11" s="78"/>
      <c r="P11" s="78"/>
      <c r="Q11" s="78"/>
      <c r="R11" s="78"/>
      <c r="S11" s="78"/>
      <c r="T11" s="78"/>
      <c r="AJ11" s="78" t="str">
        <f>"ADD CONSTRAINT "&amp;D$8&amp;"_pkey PRIMARY KEY"</f>
        <v>ADD CONSTRAINT sny_202310_backup_merge_receiptd_iy_pkey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1177</v>
      </c>
      <c r="D27" s="13" t="s">
        <v>1178</v>
      </c>
      <c r="E27" s="7"/>
      <c r="F27" s="7" t="s">
        <v>867</v>
      </c>
      <c r="G27" s="7" t="str">
        <f t="shared" si="3"/>
        <v>text</v>
      </c>
      <c r="H27" s="58"/>
      <c r="I27" s="23"/>
      <c r="J27" s="24"/>
      <c r="M27" s="4"/>
      <c r="N27" s="78"/>
      <c r="O27" s="78"/>
      <c r="P27" s="78" t="str">
        <f t="shared" si="4"/>
        <v>,iyakuhin_code</v>
      </c>
      <c r="Q27" s="78" t="str">
        <f t="shared" si="0"/>
        <v>TEXT</v>
      </c>
      <c r="R27" s="78" t="str">
        <f t="shared" si="1"/>
        <v/>
      </c>
      <c r="S27" s="78" t="str">
        <f t="shared" si="5"/>
        <v/>
      </c>
      <c r="T27" s="78" t="str">
        <f t="shared" si="6"/>
        <v>-- 医薬品コード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milscm_2023_009.sny_202310_backup_merge_receiptd_iy.iyakuhin_code IS '医薬品コード';</v>
      </c>
    </row>
    <row r="28" spans="1:45" s="25" customFormat="1" ht="34.799999999999997">
      <c r="A28" s="4"/>
      <c r="B28" s="21">
        <f t="shared" si="2"/>
        <v>16</v>
      </c>
      <c r="C28" s="13" t="s">
        <v>1179</v>
      </c>
      <c r="D28" s="13" t="s">
        <v>129</v>
      </c>
      <c r="E28" s="7"/>
      <c r="F28" s="7" t="s">
        <v>1180</v>
      </c>
      <c r="G28" s="7" t="str">
        <f t="shared" si="3"/>
        <v>numeric</v>
      </c>
      <c r="H28" s="58"/>
      <c r="I28" s="23"/>
      <c r="J28" s="24" t="s">
        <v>1183</v>
      </c>
      <c r="M28" s="4"/>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milscm_2023_009.sny_202310_backup_merge_receiptd_iy.tensu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milscm_2023_009.sny_202310_backup_merge_receiptd_iy.times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milscm_2023_009.sny_202310_backup_merge_receiptd_iy.comment_code3 IS 'コメントコード3';</v>
      </c>
    </row>
    <row r="36" spans="1:52" s="25" customFormat="1" ht="18"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milscm_2023_009.sny_202310_backup_merge_receiptd_iy.comment_data3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ENT_01_C3-19</v>
      </c>
      <c r="E6" s="251"/>
      <c r="F6" s="251"/>
      <c r="G6" s="251"/>
      <c r="H6" s="251"/>
      <c r="I6" s="251"/>
      <c r="J6" s="252"/>
    </row>
    <row r="7" spans="1:45">
      <c r="B7" s="240" t="s">
        <v>115</v>
      </c>
      <c r="C7" s="241"/>
      <c r="D7" s="242" t="s">
        <v>1257</v>
      </c>
      <c r="E7" s="243"/>
      <c r="F7" s="243"/>
      <c r="G7" s="243"/>
      <c r="H7" s="243"/>
      <c r="I7" s="243"/>
      <c r="J7" s="244"/>
    </row>
    <row r="8" spans="1:45">
      <c r="B8" s="240" t="s">
        <v>116</v>
      </c>
      <c r="C8" s="241"/>
      <c r="D8" s="242" t="str">
        <f>エンティティ一覧!AE2&amp;"_"&amp;D5&amp;"_merge_receiptd_iy_day"</f>
        <v>sny_202310_backup_merge_receiptd_iy_day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milscm_2023_009.sny_202310_backup_merge_receiptd_iy_day;</v>
      </c>
      <c r="O10" s="78"/>
      <c r="P10" s="78"/>
      <c r="Q10" s="78"/>
      <c r="R10" s="78"/>
      <c r="S10" s="78"/>
      <c r="T10" s="78"/>
      <c r="AJ10" s="78" t="str">
        <f>"ALTER TABLE ONLY "&amp;エンティティ一覧!$O$2&amp;"."&amp;D$8</f>
        <v>ALTER TABLE ONLY milscm_2023_009.sny_202310_backup_merge_receiptd_iy_day</v>
      </c>
      <c r="AS10" s="78" t="str">
        <f>"ALTER TABLE "&amp;エンティティ一覧!$O$2&amp;"."&amp;D$8&amp;" OWNER TO pgmisgrp1;"</f>
        <v>ALTER TABLE milscm_2023_009.sny_202310_backup_merge_receiptd_iy_day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milscm_2023_009.sny_202310_backup_merge_receiptd_iy_day</v>
      </c>
      <c r="O11" s="78"/>
      <c r="P11" s="78"/>
      <c r="Q11" s="78"/>
      <c r="R11" s="78"/>
      <c r="S11" s="78"/>
      <c r="T11" s="78"/>
      <c r="AJ11" s="78" t="str">
        <f>"ADD CONSTRAINT "&amp;D$8&amp;"_pkey PRIMARY KEY"</f>
        <v>ADD CONSTRAINT sny_202310_backup_merge_receiptd_iy_day_pkey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milscm_2023_009.sny_202310_backup_merge_receiptd_iy_day.mil_karute_id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milscm_2023_009.sny_202310_backup_merge_receiptd_iy_day.receipt_no IS 'レセプト番号';</v>
      </c>
    </row>
    <row r="22" spans="1:52" s="25" customFormat="1" ht="34.799999999999997">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milscm_2023_009.sny_202310_backup_merge_receiptd_iy_day.karute_no IS 'カルテ番号等';</v>
      </c>
    </row>
    <row r="24" spans="1:52" s="25" customFormat="1" ht="34.799999999999997">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milscm_2023_009.sny_202310_backup_merge_receiptd_iy_day.santei_ymd IS '算定日';</v>
      </c>
    </row>
    <row r="26" spans="1:52" s="25" customFormat="1" ht="18"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ENT_01_C3-24</v>
      </c>
      <c r="E6" s="251"/>
      <c r="F6" s="251"/>
      <c r="G6" s="251"/>
      <c r="H6" s="251"/>
      <c r="I6" s="251"/>
      <c r="J6" s="252"/>
    </row>
    <row r="7" spans="1:45">
      <c r="B7" s="240" t="s">
        <v>115</v>
      </c>
      <c r="C7" s="241"/>
      <c r="D7" s="242" t="s">
        <v>1259</v>
      </c>
      <c r="E7" s="243"/>
      <c r="F7" s="243"/>
      <c r="G7" s="243"/>
      <c r="H7" s="243"/>
      <c r="I7" s="243"/>
      <c r="J7" s="244"/>
    </row>
    <row r="8" spans="1:45">
      <c r="B8" s="240" t="s">
        <v>116</v>
      </c>
      <c r="C8" s="241"/>
      <c r="D8" s="242" t="str">
        <f>エンティティ一覧!AE2&amp;"_"&amp;D5&amp;"_merge_receiptd_tr"</f>
        <v>sny_202310_backup_merge_receiptd_tr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milscm_2023_009.sny_202310_backup_merge_receiptd_tr;</v>
      </c>
      <c r="O10" s="78"/>
      <c r="P10" s="78"/>
      <c r="Q10" s="78"/>
      <c r="R10" s="78"/>
      <c r="S10" s="78"/>
      <c r="T10" s="78"/>
      <c r="AJ10" s="78" t="str">
        <f>"ALTER TABLE ONLY "&amp;エンティティ一覧!$O$2&amp;"."&amp;D$8</f>
        <v>ALTER TABLE ONLY milscm_2023_009.sny_202310_backup_merge_receiptd_tr</v>
      </c>
      <c r="AS10" s="78" t="str">
        <f>"ALTER TABLE "&amp;エンティティ一覧!$O$2&amp;"."&amp;D$8&amp;" OWNER TO pgmisgrp1;"</f>
        <v>ALTER TABLE milscm_2023_009.sny_202310_backup_merge_receiptd_tr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milscm_2023_009.sny_202310_backup_merge_receiptd_tr</v>
      </c>
      <c r="O11" s="78"/>
      <c r="P11" s="78"/>
      <c r="Q11" s="78"/>
      <c r="R11" s="78"/>
      <c r="S11" s="78"/>
      <c r="T11" s="78"/>
      <c r="AJ11" s="78" t="str">
        <f>"ADD CONSTRAINT "&amp;D$8&amp;"_pkey PRIMARY KEY"</f>
        <v>ADD CONSTRAINT sny_202310_backup_merge_receiptd_tr_pkey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8" si="0">UPPER(G13)</f>
        <v>TEXT</v>
      </c>
      <c r="R13" s="78" t="str">
        <f t="shared" ref="R13:R4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8"/>
      <c r="O14" s="78"/>
      <c r="P14" s="78" t="str">
        <f t="shared" ref="P14:P4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milscm_2023_009.sny_202310_backup_merge_receiptd_tr.mil_karute_id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48" si="5">IF(I15="○","NOT NULL","")</f>
        <v>NOT NULL</v>
      </c>
      <c r="T15" s="78" t="str">
        <f t="shared" ref="T15:T4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928</v>
      </c>
      <c r="D20" s="13" t="s">
        <v>929</v>
      </c>
      <c r="E20" s="7"/>
      <c r="F20" s="7" t="s">
        <v>867</v>
      </c>
      <c r="G20" s="7" t="str">
        <f t="shared" si="3"/>
        <v>text</v>
      </c>
      <c r="H20" s="58" t="s">
        <v>1213</v>
      </c>
      <c r="I20" s="23" t="s">
        <v>127</v>
      </c>
      <c r="J20" s="24" t="s">
        <v>1214</v>
      </c>
      <c r="M20" s="4"/>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milscm_2023_009.sny_202310_backup_merge_receiptd_tr.gyo_no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milscm_2023_009.sny_202310_backup_merge_receiptd_tr.karute_no IS 'カルテ番号等';</v>
      </c>
    </row>
    <row r="24" spans="1:45" s="25" customFormat="1" ht="34.799999999999997">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milscm_2023_009.sny_202310_backup_merge_receiptd_tr.receipt_sokatsu_kubun IS 'レセプト総括区分';</v>
      </c>
    </row>
    <row r="25" spans="1:45" s="25" customFormat="1" ht="30">
      <c r="A25" s="4"/>
      <c r="B25" s="21">
        <f t="shared" si="2"/>
        <v>13</v>
      </c>
      <c r="C25" s="13" t="s">
        <v>1186</v>
      </c>
      <c r="D25" s="13" t="s">
        <v>1187</v>
      </c>
      <c r="E25" s="7"/>
      <c r="F25" s="7" t="s">
        <v>204</v>
      </c>
      <c r="G25" s="7" t="str">
        <f t="shared" si="3"/>
        <v>integer</v>
      </c>
      <c r="H25" s="58"/>
      <c r="I25" s="23"/>
      <c r="J25" s="24"/>
      <c r="M25" s="4"/>
      <c r="N25" s="78"/>
      <c r="O25" s="78"/>
      <c r="P25" s="78" t="str">
        <f t="shared" si="4"/>
        <v>,receipt_no_tr</v>
      </c>
      <c r="Q25" s="78" t="str">
        <f t="shared" si="0"/>
        <v>INTEGER</v>
      </c>
      <c r="R25" s="78" t="str">
        <f t="shared" si="1"/>
        <v/>
      </c>
      <c r="S25" s="78" t="str">
        <f t="shared" si="5"/>
        <v/>
      </c>
      <c r="T25" s="78" t="str">
        <f t="shared" si="6"/>
        <v>-- レセプト番号（臓器提供者レセプト情報）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1188</v>
      </c>
      <c r="D26" s="13" t="s">
        <v>1189</v>
      </c>
      <c r="E26" s="7"/>
      <c r="F26" s="7" t="s">
        <v>867</v>
      </c>
      <c r="G26" s="7" t="str">
        <f t="shared" si="3"/>
        <v>text</v>
      </c>
      <c r="H26" s="58"/>
      <c r="I26" s="23"/>
      <c r="J26" s="24"/>
      <c r="M26" s="4"/>
      <c r="N26" s="78"/>
      <c r="O26" s="78"/>
      <c r="P26" s="78" t="str">
        <f t="shared" si="4"/>
        <v>,zoki_receipt_type</v>
      </c>
      <c r="Q26" s="78" t="str">
        <f t="shared" si="0"/>
        <v>TEXT</v>
      </c>
      <c r="R26" s="78" t="str">
        <f t="shared" si="1"/>
        <v/>
      </c>
      <c r="S26" s="78" t="str">
        <f t="shared" si="5"/>
        <v/>
      </c>
      <c r="T26" s="78" t="str">
        <f t="shared" si="6"/>
        <v>-- 臓器提供者レセプト種別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milscm_2023_009.sny_202310_backup_merge_receiptd_tr.zoki_receipt_type IS '臓器提供者レセプト種別';</v>
      </c>
    </row>
    <row r="27" spans="1:45" s="25" customFormat="1" ht="52.2">
      <c r="A27" s="4"/>
      <c r="B27" s="21">
        <f t="shared" si="2"/>
        <v>15</v>
      </c>
      <c r="C27" s="13" t="s">
        <v>1190</v>
      </c>
      <c r="D27" s="13" t="s">
        <v>1191</v>
      </c>
      <c r="E27" s="7"/>
      <c r="F27" s="7" t="s">
        <v>867</v>
      </c>
      <c r="G27" s="7" t="str">
        <f t="shared" si="3"/>
        <v>text</v>
      </c>
      <c r="H27" s="58"/>
      <c r="I27" s="23"/>
      <c r="J27" s="24" t="s">
        <v>951</v>
      </c>
      <c r="M27" s="4"/>
      <c r="N27" s="78"/>
      <c r="O27" s="78"/>
      <c r="P27" s="78" t="str">
        <f t="shared" si="4"/>
        <v>,shinryo_ym_tr</v>
      </c>
      <c r="Q27" s="78" t="str">
        <f t="shared" si="0"/>
        <v>TEXT</v>
      </c>
      <c r="R27" s="78" t="str">
        <f t="shared" si="1"/>
        <v/>
      </c>
      <c r="S27" s="78" t="str">
        <f t="shared" si="5"/>
        <v/>
      </c>
      <c r="T27" s="78" t="str">
        <f t="shared" si="6"/>
        <v>-- 診療年月（臓器提供者レセプト情報）</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942</v>
      </c>
      <c r="D28" s="13" t="s">
        <v>943</v>
      </c>
      <c r="E28" s="7"/>
      <c r="F28" s="7" t="s">
        <v>867</v>
      </c>
      <c r="G28" s="7" t="str">
        <f t="shared" si="3"/>
        <v>text</v>
      </c>
      <c r="H28" s="58"/>
      <c r="I28" s="23"/>
      <c r="J28" s="24"/>
      <c r="M28" s="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milscm_2023_009.sny_202310_backup_merge_receiptd_tr.reserve1 IS '予備1';</v>
      </c>
    </row>
    <row r="29" spans="1:45" s="25" customFormat="1">
      <c r="A29" s="4"/>
      <c r="B29" s="21">
        <f t="shared" si="2"/>
        <v>17</v>
      </c>
      <c r="C29" s="13" t="s">
        <v>1192</v>
      </c>
      <c r="D29" s="13" t="s">
        <v>965</v>
      </c>
      <c r="E29" s="7"/>
      <c r="F29" s="7" t="s">
        <v>867</v>
      </c>
      <c r="G29" s="7" t="str">
        <f t="shared" si="3"/>
        <v>text</v>
      </c>
      <c r="H29" s="58"/>
      <c r="I29" s="23"/>
      <c r="J29" s="24"/>
      <c r="M29" s="4"/>
      <c r="N29" s="78"/>
      <c r="O29" s="78"/>
      <c r="P29" s="78" t="str">
        <f t="shared" si="4"/>
        <v>,sex_kubun</v>
      </c>
      <c r="Q29" s="78" t="str">
        <f t="shared" si="0"/>
        <v>TEXT</v>
      </c>
      <c r="R29" s="78" t="str">
        <f t="shared" si="1"/>
        <v/>
      </c>
      <c r="S29" s="78" t="str">
        <f t="shared" si="5"/>
        <v/>
      </c>
      <c r="T29" s="78" t="str">
        <f t="shared" si="6"/>
        <v>-- 男女区分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milscm_2023_009.sny_202310_backup_merge_receiptd_tr.sex_kubun IS '男女区分';</v>
      </c>
    </row>
    <row r="30" spans="1:45" s="25" customFormat="1" ht="87">
      <c r="A30" s="4"/>
      <c r="B30" s="21">
        <f t="shared" si="2"/>
        <v>18</v>
      </c>
      <c r="C30" s="13" t="s">
        <v>569</v>
      </c>
      <c r="D30" s="13" t="s">
        <v>322</v>
      </c>
      <c r="E30" s="7"/>
      <c r="F30" s="7" t="s">
        <v>867</v>
      </c>
      <c r="G30" s="7" t="str">
        <f t="shared" si="3"/>
        <v>text</v>
      </c>
      <c r="H30" s="58"/>
      <c r="I30" s="23"/>
      <c r="J30" s="24" t="s">
        <v>1215</v>
      </c>
      <c r="M30" s="4"/>
      <c r="N30" s="78"/>
      <c r="O30" s="78"/>
      <c r="P30" s="78" t="str">
        <f t="shared" si="4"/>
        <v>,birthday</v>
      </c>
      <c r="Q30" s="78" t="str">
        <f t="shared" si="0"/>
        <v>TEXT</v>
      </c>
      <c r="R30" s="78" t="str">
        <f t="shared" si="1"/>
        <v/>
      </c>
      <c r="S30" s="78" t="str">
        <f t="shared" si="5"/>
        <v/>
      </c>
      <c r="T30" s="78" t="str">
        <f t="shared" si="6"/>
        <v>-- 生年月日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993</v>
      </c>
      <c r="D31" s="13" t="s">
        <v>994</v>
      </c>
      <c r="E31" s="7"/>
      <c r="F31" s="7" t="s">
        <v>867</v>
      </c>
      <c r="G31" s="7" t="str">
        <f t="shared" si="3"/>
        <v>text</v>
      </c>
      <c r="H31" s="58"/>
      <c r="I31" s="23"/>
      <c r="J31" s="24"/>
      <c r="M31" s="4"/>
      <c r="N31" s="78"/>
      <c r="O31" s="78"/>
      <c r="P31" s="78" t="str">
        <f t="shared" si="4"/>
        <v>,reserve2</v>
      </c>
      <c r="Q31" s="78" t="str">
        <f t="shared" si="0"/>
        <v>TEXT</v>
      </c>
      <c r="R31" s="78" t="str">
        <f t="shared" si="1"/>
        <v/>
      </c>
      <c r="S31" s="78" t="str">
        <f t="shared" si="5"/>
        <v/>
      </c>
      <c r="T31" s="78" t="str">
        <f t="shared" si="6"/>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milscm_2023_009.sny_202310_backup_merge_receiptd_tr.reserve2 IS '予備2';</v>
      </c>
    </row>
    <row r="32" spans="1:45" s="25" customFormat="1" ht="69.599999999999994">
      <c r="A32" s="4"/>
      <c r="B32" s="21">
        <f t="shared" si="2"/>
        <v>20</v>
      </c>
      <c r="C32" s="13" t="s">
        <v>143</v>
      </c>
      <c r="D32" s="13" t="s">
        <v>156</v>
      </c>
      <c r="E32" s="7"/>
      <c r="F32" s="7" t="s">
        <v>867</v>
      </c>
      <c r="G32" s="7" t="str">
        <f t="shared" si="3"/>
        <v>text</v>
      </c>
      <c r="H32" s="58"/>
      <c r="I32" s="23"/>
      <c r="J32" s="24" t="s">
        <v>1086</v>
      </c>
      <c r="M32" s="4"/>
      <c r="N32" s="78"/>
      <c r="O32" s="78"/>
      <c r="P32" s="78" t="str">
        <f t="shared" si="4"/>
        <v>,nyuin_ymd</v>
      </c>
      <c r="Q32" s="78" t="str">
        <f t="shared" si="0"/>
        <v>TEXT</v>
      </c>
      <c r="R32" s="78" t="str">
        <f t="shared" si="1"/>
        <v/>
      </c>
      <c r="S32" s="78" t="str">
        <f t="shared" si="5"/>
        <v/>
      </c>
      <c r="T32" s="78" t="str">
        <f t="shared" si="6"/>
        <v>-- 入院年月日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1193</v>
      </c>
      <c r="D33" s="13" t="s">
        <v>970</v>
      </c>
      <c r="E33" s="7"/>
      <c r="F33" s="7" t="s">
        <v>867</v>
      </c>
      <c r="G33" s="7" t="str">
        <f t="shared" si="3"/>
        <v>text</v>
      </c>
      <c r="H33" s="58"/>
      <c r="I33" s="23"/>
      <c r="J33" s="24" t="s">
        <v>1087</v>
      </c>
      <c r="M33" s="4"/>
      <c r="N33" s="78"/>
      <c r="O33" s="78"/>
      <c r="P33" s="78" t="str">
        <f t="shared" si="4"/>
        <v>,ward_kubun1</v>
      </c>
      <c r="Q33" s="78" t="str">
        <f t="shared" si="0"/>
        <v>TEXT</v>
      </c>
      <c r="R33" s="78" t="str">
        <f t="shared" si="1"/>
        <v/>
      </c>
      <c r="S33" s="78" t="str">
        <f t="shared" si="5"/>
        <v/>
      </c>
      <c r="T33" s="78" t="str">
        <f t="shared" si="6"/>
        <v>-- 病棟区分1</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1194</v>
      </c>
      <c r="D34" s="13" t="s">
        <v>972</v>
      </c>
      <c r="E34" s="7"/>
      <c r="F34" s="7" t="s">
        <v>867</v>
      </c>
      <c r="G34" s="7" t="str">
        <f t="shared" si="3"/>
        <v>text</v>
      </c>
      <c r="H34" s="58"/>
      <c r="I34" s="23"/>
      <c r="J34" s="24"/>
      <c r="M34" s="4"/>
      <c r="N34" s="78"/>
      <c r="O34" s="78"/>
      <c r="P34" s="78" t="str">
        <f t="shared" si="4"/>
        <v>,ward_kubun2</v>
      </c>
      <c r="Q34" s="78" t="str">
        <f t="shared" si="0"/>
        <v>TEXT</v>
      </c>
      <c r="R34" s="78" t="str">
        <f t="shared" si="1"/>
        <v/>
      </c>
      <c r="S34" s="78" t="str">
        <f t="shared" si="5"/>
        <v/>
      </c>
      <c r="T34" s="78" t="str">
        <f t="shared" si="6"/>
        <v>-- 病棟区分2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1195</v>
      </c>
      <c r="D35" s="13" t="s">
        <v>974</v>
      </c>
      <c r="E35" s="7"/>
      <c r="F35" s="7" t="s">
        <v>867</v>
      </c>
      <c r="G35" s="7" t="str">
        <f t="shared" si="3"/>
        <v>text</v>
      </c>
      <c r="H35" s="58"/>
      <c r="I35" s="23"/>
      <c r="J35" s="24"/>
      <c r="M35" s="4"/>
      <c r="N35" s="78"/>
      <c r="O35" s="78"/>
      <c r="P35" s="78" t="str">
        <f t="shared" si="4"/>
        <v>,ward_kubun3</v>
      </c>
      <c r="Q35" s="78" t="str">
        <f t="shared" si="0"/>
        <v>TEXT</v>
      </c>
      <c r="R35" s="78" t="str">
        <f t="shared" si="1"/>
        <v/>
      </c>
      <c r="S35" s="78" t="str">
        <f t="shared" si="5"/>
        <v/>
      </c>
      <c r="T35" s="78" t="str">
        <f t="shared" si="6"/>
        <v>-- 病棟区分3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1196</v>
      </c>
      <c r="D36" s="13" t="s">
        <v>976</v>
      </c>
      <c r="E36" s="7"/>
      <c r="F36" s="7" t="s">
        <v>867</v>
      </c>
      <c r="G36" s="7" t="str">
        <f t="shared" si="3"/>
        <v>text</v>
      </c>
      <c r="H36" s="58"/>
      <c r="I36" s="23"/>
      <c r="J36" s="24"/>
      <c r="M36" s="4"/>
      <c r="N36" s="78"/>
      <c r="O36" s="78"/>
      <c r="P36" s="78" t="str">
        <f t="shared" si="4"/>
        <v>,ward_kubun4</v>
      </c>
      <c r="Q36" s="78" t="str">
        <f t="shared" si="0"/>
        <v>TEXT</v>
      </c>
      <c r="R36" s="78" t="str">
        <f t="shared" si="1"/>
        <v/>
      </c>
      <c r="S36" s="78" t="str">
        <f t="shared" si="5"/>
        <v/>
      </c>
      <c r="T36" s="78" t="str">
        <f t="shared" si="6"/>
        <v>-- 病棟区分4</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995</v>
      </c>
      <c r="D37" s="13" t="s">
        <v>996</v>
      </c>
      <c r="E37" s="7"/>
      <c r="F37" s="7" t="s">
        <v>867</v>
      </c>
      <c r="G37" s="7" t="str">
        <f t="shared" si="3"/>
        <v>text</v>
      </c>
      <c r="H37" s="58"/>
      <c r="I37" s="23"/>
      <c r="J37" s="24"/>
      <c r="M37" s="4"/>
      <c r="N37" s="78"/>
      <c r="O37" s="78"/>
      <c r="P37" s="78" t="str">
        <f t="shared" si="4"/>
        <v>,reserve3</v>
      </c>
      <c r="Q37" s="78" t="str">
        <f t="shared" si="0"/>
        <v>TEXT</v>
      </c>
      <c r="R37" s="78" t="str">
        <f t="shared" si="1"/>
        <v/>
      </c>
      <c r="S37" s="78" t="str">
        <f t="shared" si="5"/>
        <v/>
      </c>
      <c r="T37" s="78" t="str">
        <f t="shared" si="6"/>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milscm_2023_009.sny_202310_backup_merge_receiptd_tr.reserve3 IS '予備3';</v>
      </c>
    </row>
    <row r="38" spans="1:45" s="25" customFormat="1">
      <c r="A38" s="4"/>
      <c r="B38" s="21">
        <f t="shared" si="2"/>
        <v>26</v>
      </c>
      <c r="C38" s="13" t="s">
        <v>1197</v>
      </c>
      <c r="D38" s="13" t="s">
        <v>980</v>
      </c>
      <c r="E38" s="7"/>
      <c r="F38" s="7" t="s">
        <v>867</v>
      </c>
      <c r="G38" s="7" t="str">
        <f t="shared" si="3"/>
        <v>text</v>
      </c>
      <c r="H38" s="58"/>
      <c r="I38" s="23"/>
      <c r="J38" s="24" t="s">
        <v>1088</v>
      </c>
      <c r="M38" s="4"/>
      <c r="N38" s="78"/>
      <c r="O38" s="78"/>
      <c r="P38" s="78" t="str">
        <f t="shared" si="4"/>
        <v>,receipt_tokki_code1</v>
      </c>
      <c r="Q38" s="78" t="str">
        <f t="shared" si="0"/>
        <v>TEXT</v>
      </c>
      <c r="R38" s="78" t="str">
        <f t="shared" si="1"/>
        <v/>
      </c>
      <c r="S38" s="78" t="str">
        <f t="shared" si="5"/>
        <v/>
      </c>
      <c r="T38" s="78" t="str">
        <f t="shared" si="6"/>
        <v>-- レセプト特記事項1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1198</v>
      </c>
      <c r="D39" s="13" t="s">
        <v>982</v>
      </c>
      <c r="E39" s="7"/>
      <c r="F39" s="7" t="s">
        <v>867</v>
      </c>
      <c r="G39" s="7" t="str">
        <f t="shared" si="3"/>
        <v>text</v>
      </c>
      <c r="H39" s="58"/>
      <c r="I39" s="23"/>
      <c r="J39" s="24"/>
      <c r="M39" s="4"/>
      <c r="N39" s="78"/>
      <c r="O39" s="78"/>
      <c r="P39" s="78" t="str">
        <f t="shared" si="4"/>
        <v>,receipt_tokki_code2</v>
      </c>
      <c r="Q39" s="78" t="str">
        <f t="shared" si="0"/>
        <v>TEXT</v>
      </c>
      <c r="R39" s="78" t="str">
        <f t="shared" si="1"/>
        <v/>
      </c>
      <c r="S39" s="78" t="str">
        <f t="shared" si="5"/>
        <v/>
      </c>
      <c r="T39" s="78" t="str">
        <f t="shared" si="6"/>
        <v>-- レセプト特記事項2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1199</v>
      </c>
      <c r="D40" s="13" t="s">
        <v>984</v>
      </c>
      <c r="E40" s="7"/>
      <c r="F40" s="7" t="s">
        <v>867</v>
      </c>
      <c r="G40" s="7" t="str">
        <f t="shared" si="3"/>
        <v>text</v>
      </c>
      <c r="H40" s="58"/>
      <c r="I40" s="23"/>
      <c r="J40" s="24"/>
      <c r="M40" s="4"/>
      <c r="N40" s="78"/>
      <c r="O40" s="78"/>
      <c r="P40" s="78" t="str">
        <f t="shared" si="4"/>
        <v>,receipt_tokki_code3</v>
      </c>
      <c r="Q40" s="78" t="str">
        <f t="shared" si="0"/>
        <v>TEXT</v>
      </c>
      <c r="R40" s="78" t="str">
        <f t="shared" si="1"/>
        <v/>
      </c>
      <c r="S40" s="78" t="str">
        <f t="shared" si="5"/>
        <v/>
      </c>
      <c r="T40" s="78" t="str">
        <f t="shared" si="6"/>
        <v>-- レセプト特記事項3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1200</v>
      </c>
      <c r="D41" s="13" t="s">
        <v>986</v>
      </c>
      <c r="E41" s="7"/>
      <c r="F41" s="7" t="s">
        <v>867</v>
      </c>
      <c r="G41" s="7" t="str">
        <f t="shared" si="3"/>
        <v>text</v>
      </c>
      <c r="H41" s="58"/>
      <c r="I41" s="23"/>
      <c r="J41" s="24"/>
      <c r="M41" s="4"/>
      <c r="N41" s="78"/>
      <c r="O41" s="78"/>
      <c r="P41" s="78" t="str">
        <f t="shared" si="4"/>
        <v>,receipt_tokki_code4</v>
      </c>
      <c r="Q41" s="78" t="str">
        <f t="shared" si="0"/>
        <v>TEXT</v>
      </c>
      <c r="R41" s="78" t="str">
        <f t="shared" si="1"/>
        <v/>
      </c>
      <c r="S41" s="78" t="str">
        <f t="shared" si="5"/>
        <v/>
      </c>
      <c r="T41" s="78" t="str">
        <f t="shared" si="6"/>
        <v>-- レセプト特記事項4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1201</v>
      </c>
      <c r="D42" s="13" t="s">
        <v>988</v>
      </c>
      <c r="E42" s="7"/>
      <c r="F42" s="7" t="s">
        <v>867</v>
      </c>
      <c r="G42" s="7" t="str">
        <f t="shared" si="3"/>
        <v>text</v>
      </c>
      <c r="H42" s="58"/>
      <c r="I42" s="23"/>
      <c r="J42" s="24"/>
      <c r="M42" s="4"/>
      <c r="N42" s="78"/>
      <c r="O42" s="78"/>
      <c r="P42" s="78" t="str">
        <f t="shared" si="4"/>
        <v>,receipt_tokki_code5</v>
      </c>
      <c r="Q42" s="78" t="str">
        <f t="shared" si="0"/>
        <v>TEXT</v>
      </c>
      <c r="R42" s="78" t="str">
        <f t="shared" si="1"/>
        <v/>
      </c>
      <c r="S42" s="78" t="str">
        <f t="shared" si="5"/>
        <v/>
      </c>
      <c r="T42" s="78" t="str">
        <f t="shared" si="6"/>
        <v>-- レセプト特記事項5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1202</v>
      </c>
      <c r="D43" s="13" t="s">
        <v>1203</v>
      </c>
      <c r="E43" s="7"/>
      <c r="F43" s="7" t="s">
        <v>867</v>
      </c>
      <c r="G43" s="7" t="str">
        <f t="shared" si="3"/>
        <v>text</v>
      </c>
      <c r="H43" s="58"/>
      <c r="I43" s="23"/>
      <c r="J43" s="24"/>
      <c r="M43" s="4"/>
      <c r="N43" s="78"/>
      <c r="O43" s="78"/>
      <c r="P43" s="78" t="str">
        <f t="shared" si="4"/>
        <v>,reserve4</v>
      </c>
      <c r="Q43" s="78" t="str">
        <f t="shared" si="0"/>
        <v>TEXT</v>
      </c>
      <c r="R43" s="78" t="str">
        <f t="shared" si="1"/>
        <v/>
      </c>
      <c r="S43" s="78" t="str">
        <f t="shared" si="5"/>
        <v/>
      </c>
      <c r="T43" s="78" t="str">
        <f t="shared" si="6"/>
        <v>-- 予備4</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milscm_2023_009.sny_202310_backup_merge_receiptd_tr.reserve4 IS '予備4';</v>
      </c>
    </row>
    <row r="44" spans="1:45" s="25" customFormat="1" ht="30">
      <c r="A44" s="4"/>
      <c r="B44" s="21">
        <f t="shared" si="2"/>
        <v>32</v>
      </c>
      <c r="C44" s="13" t="s">
        <v>1204</v>
      </c>
      <c r="D44" s="13" t="s">
        <v>1205</v>
      </c>
      <c r="E44" s="7"/>
      <c r="F44" s="7" t="s">
        <v>867</v>
      </c>
      <c r="G44" s="7" t="str">
        <f t="shared" si="3"/>
        <v>text</v>
      </c>
      <c r="H44" s="58"/>
      <c r="I44" s="23"/>
      <c r="J44" s="24"/>
      <c r="M44" s="4"/>
      <c r="N44" s="78"/>
      <c r="O44" s="78"/>
      <c r="P44" s="78" t="str">
        <f t="shared" si="4"/>
        <v>,karute_no_tr</v>
      </c>
      <c r="Q44" s="78" t="str">
        <f t="shared" si="0"/>
        <v>TEXT</v>
      </c>
      <c r="R44" s="78" t="str">
        <f t="shared" si="1"/>
        <v/>
      </c>
      <c r="S44" s="78" t="str">
        <f t="shared" si="5"/>
        <v/>
      </c>
      <c r="T44" s="78" t="str">
        <f t="shared" si="6"/>
        <v>-- カルテ番号等（臓器提供者レセプト情報）</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1206</v>
      </c>
      <c r="D45" s="13" t="s">
        <v>992</v>
      </c>
      <c r="E45" s="7"/>
      <c r="F45" s="7" t="s">
        <v>204</v>
      </c>
      <c r="G45" s="7" t="str">
        <f t="shared" si="3"/>
        <v>integer</v>
      </c>
      <c r="H45" s="58"/>
      <c r="I45" s="23"/>
      <c r="J45" s="24"/>
      <c r="M45" s="4"/>
      <c r="N45" s="78"/>
      <c r="O45" s="78"/>
      <c r="P45" s="78" t="str">
        <f t="shared" si="4"/>
        <v>,waribiki_tensu</v>
      </c>
      <c r="Q45" s="78" t="str">
        <f t="shared" si="0"/>
        <v>INTEGER</v>
      </c>
      <c r="R45" s="78" t="str">
        <f t="shared" si="1"/>
        <v/>
      </c>
      <c r="S45" s="78" t="str">
        <f t="shared" si="5"/>
        <v/>
      </c>
      <c r="T45" s="78" t="str">
        <f t="shared" si="6"/>
        <v>-- 割引点数単価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1207</v>
      </c>
      <c r="D46" s="13" t="s">
        <v>1208</v>
      </c>
      <c r="E46" s="7"/>
      <c r="F46" s="7" t="s">
        <v>867</v>
      </c>
      <c r="G46" s="7" t="str">
        <f t="shared" si="3"/>
        <v>text</v>
      </c>
      <c r="H46" s="58"/>
      <c r="I46" s="23"/>
      <c r="J46" s="24"/>
      <c r="M46" s="4"/>
      <c r="N46" s="78"/>
      <c r="O46" s="78"/>
      <c r="P46" s="78" t="str">
        <f t="shared" si="4"/>
        <v>,reserve5</v>
      </c>
      <c r="Q46" s="78" t="str">
        <f t="shared" si="0"/>
        <v>TEXT</v>
      </c>
      <c r="R46" s="78" t="str">
        <f t="shared" si="1"/>
        <v/>
      </c>
      <c r="S46" s="78" t="str">
        <f t="shared" si="5"/>
        <v/>
      </c>
      <c r="T46" s="78" t="str">
        <f t="shared" si="6"/>
        <v>-- 予備5</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milscm_2023_009.sny_202310_backup_merge_receiptd_tr.reserve5 IS '予備5';</v>
      </c>
    </row>
    <row r="47" spans="1:45" s="25" customFormat="1">
      <c r="A47" s="4"/>
      <c r="B47" s="21">
        <f t="shared" si="2"/>
        <v>35</v>
      </c>
      <c r="C47" s="13" t="s">
        <v>1209</v>
      </c>
      <c r="D47" s="13" t="s">
        <v>1210</v>
      </c>
      <c r="E47" s="7"/>
      <c r="F47" s="7" t="s">
        <v>867</v>
      </c>
      <c r="G47" s="7" t="str">
        <f t="shared" si="3"/>
        <v>text</v>
      </c>
      <c r="H47" s="58"/>
      <c r="I47" s="23"/>
      <c r="J47" s="24"/>
      <c r="M47" s="4"/>
      <c r="N47" s="78"/>
      <c r="O47" s="78"/>
      <c r="P47" s="78" t="str">
        <f t="shared" si="4"/>
        <v>,reserve6</v>
      </c>
      <c r="Q47" s="78" t="str">
        <f t="shared" si="0"/>
        <v>TEXT</v>
      </c>
      <c r="R47" s="78" t="str">
        <f t="shared" si="1"/>
        <v/>
      </c>
      <c r="S47" s="78" t="str">
        <f t="shared" si="5"/>
        <v/>
      </c>
      <c r="T47" s="78" t="str">
        <f t="shared" si="6"/>
        <v>-- 予備6</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milscm_2023_009.sny_202310_backup_merge_receiptd_tr.reserve6 IS '予備6';</v>
      </c>
    </row>
    <row r="48" spans="1:45" s="25" customFormat="1" ht="18" thickBot="1">
      <c r="A48" s="4"/>
      <c r="B48" s="27">
        <f>ROW()-12</f>
        <v>36</v>
      </c>
      <c r="C48" s="57" t="s">
        <v>1211</v>
      </c>
      <c r="D48" s="57" t="s">
        <v>1212</v>
      </c>
      <c r="E48" s="56"/>
      <c r="F48" s="56" t="s">
        <v>867</v>
      </c>
      <c r="G48" s="56" t="str">
        <f t="shared" si="3"/>
        <v>text</v>
      </c>
      <c r="H48" s="59"/>
      <c r="I48" s="60"/>
      <c r="J48" s="64"/>
      <c r="N48" s="78"/>
      <c r="O48" s="78"/>
      <c r="P48" s="78" t="str">
        <f t="shared" si="4"/>
        <v>,reserve7</v>
      </c>
      <c r="Q48" s="78" t="str">
        <f t="shared" si="0"/>
        <v>TEXT</v>
      </c>
      <c r="R48" s="78" t="str">
        <f t="shared" si="1"/>
        <v/>
      </c>
      <c r="S48" s="78" t="str">
        <f t="shared" si="5"/>
        <v/>
      </c>
      <c r="T48" s="78" t="str">
        <f t="shared" si="6"/>
        <v>-- 予備7</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milscm_2023_009.sny_202310_backup_merge_receiptd_tr.reserve7 IS '予備7';</v>
      </c>
    </row>
    <row r="49" spans="12:52">
      <c r="L49" s="25"/>
      <c r="M49" s="25"/>
      <c r="N49" s="78" t="s">
        <v>142</v>
      </c>
      <c r="O49" s="78"/>
      <c r="P49" s="78"/>
      <c r="Q49" s="78"/>
      <c r="R49" s="78"/>
      <c r="S49" s="78"/>
      <c r="T49" s="78"/>
      <c r="V49" s="25"/>
      <c r="W49" s="25"/>
      <c r="X49" s="25"/>
      <c r="Y49" s="25"/>
      <c r="Z49" s="25"/>
      <c r="AJ49" s="78"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ENT_01_C4-01</v>
      </c>
      <c r="E6" s="251"/>
      <c r="F6" s="251"/>
      <c r="G6" s="251"/>
      <c r="H6" s="251"/>
      <c r="I6" s="251"/>
      <c r="J6" s="252"/>
    </row>
    <row r="7" spans="1:45">
      <c r="B7" s="240" t="s">
        <v>115</v>
      </c>
      <c r="C7" s="241"/>
      <c r="D7" s="242" t="s">
        <v>1261</v>
      </c>
      <c r="E7" s="243"/>
      <c r="F7" s="243"/>
      <c r="G7" s="243"/>
      <c r="H7" s="243"/>
      <c r="I7" s="243"/>
      <c r="J7" s="244"/>
    </row>
    <row r="8" spans="1:45">
      <c r="B8" s="240" t="s">
        <v>116</v>
      </c>
      <c r="C8" s="241"/>
      <c r="D8" s="242" t="str">
        <f>エンティティ一覧!AE2&amp;"_"&amp;D5&amp;"_merge_mml_pi_master"</f>
        <v>sny_202310_backup_merge_mml_pi_master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milscm_2023_009.sny_202310_backup_merge_mml_pi_master;</v>
      </c>
      <c r="O10" s="78"/>
      <c r="P10" s="78"/>
      <c r="Q10" s="78"/>
      <c r="R10" s="78"/>
      <c r="S10" s="78"/>
      <c r="T10" s="78"/>
      <c r="AJ10" s="78" t="str">
        <f>"ALTER TABLE ONLY "&amp;エンティティ一覧!$O$2&amp;"."&amp;D$8</f>
        <v>ALTER TABLE ONLY milscm_2023_009.sny_202310_backup_merge_mml_pi_master</v>
      </c>
      <c r="AS10" s="78" t="str">
        <f>"ALTER TABLE "&amp;エンティティ一覧!$O$2&amp;"."&amp;D$8&amp;" OWNER TO pgmisgrp1;"</f>
        <v>ALTER TABLE milscm_2023_009.sny_202310_backup_merge_mml_pi_master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milscm_2023_009.sny_202310_backup_merge_mml_pi_master</v>
      </c>
      <c r="O11" s="78"/>
      <c r="P11" s="78"/>
      <c r="Q11" s="78"/>
      <c r="R11" s="78"/>
      <c r="S11" s="78"/>
      <c r="T11" s="78"/>
      <c r="AJ11" s="78" t="str">
        <f>"ADD CONSTRAINT "&amp;D$8&amp;"_pkey PRIMARY KEY"</f>
        <v>ADD CONSTRAINT sny_202310_backup_merge_mml_pi_master_pkey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1302</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milscm_2023_009.sny_202310_backup_merge_mml_pi_master.mil_karute_id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milscm_2023_009.sny_202310_backup_merge_mml_pi_master.facility_id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1304</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1264</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milscm_2023_009.sny_202310_backup_merge_mml_pi_master.data_type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milscm_2023_009.sny_202310_backup_merge_mml_pi_master.master_id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1269</v>
      </c>
      <c r="D20" s="13" t="s">
        <v>1270</v>
      </c>
      <c r="E20" s="7" t="s">
        <v>127</v>
      </c>
      <c r="F20" s="7" t="s">
        <v>204</v>
      </c>
      <c r="G20" s="7" t="str">
        <f t="shared" si="3"/>
        <v>integer</v>
      </c>
      <c r="H20" s="58"/>
      <c r="I20" s="23" t="s">
        <v>127</v>
      </c>
      <c r="J20" s="24" t="s">
        <v>1309</v>
      </c>
      <c r="M20" s="4"/>
      <c r="N20" s="78"/>
      <c r="O20" s="78"/>
      <c r="P20" s="78" t="str">
        <f t="shared" si="4"/>
        <v>,patient_seq</v>
      </c>
      <c r="Q20" s="78" t="str">
        <f t="shared" si="0"/>
        <v>INTEGER</v>
      </c>
      <c r="R20" s="78" t="str">
        <f t="shared" si="1"/>
        <v/>
      </c>
      <c r="S20" s="78" t="str">
        <f t="shared" si="5"/>
        <v>NOT NULL</v>
      </c>
      <c r="T20" s="78" t="str">
        <f t="shared" si="6"/>
        <v>-- 患者情報SEQ</v>
      </c>
      <c r="U20" s="4"/>
      <c r="AA20" s="4"/>
      <c r="AB20" s="4"/>
      <c r="AC20" s="4"/>
      <c r="AD20" s="4"/>
      <c r="AE20" s="4"/>
      <c r="AF20" s="4"/>
      <c r="AG20" s="4"/>
      <c r="AH20" s="4"/>
      <c r="AI20" s="4"/>
      <c r="AJ20" s="78" t="str">
        <f>IF(E20="○",IF(COUNTA(E$13:E20)=1,"",",")&amp;D20,"")</f>
        <v>,patient_seq</v>
      </c>
      <c r="AK20" s="4"/>
      <c r="AL20" s="4"/>
      <c r="AM20" s="4"/>
      <c r="AN20" s="4"/>
      <c r="AO20" s="4"/>
      <c r="AP20" s="4"/>
      <c r="AQ20" s="4"/>
      <c r="AR20" s="4"/>
      <c r="AS20" s="78"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1271</v>
      </c>
      <c r="D21" s="13" t="s">
        <v>1272</v>
      </c>
      <c r="E21" s="7"/>
      <c r="F21" s="7" t="s">
        <v>867</v>
      </c>
      <c r="G21" s="7" t="str">
        <f t="shared" si="3"/>
        <v>text</v>
      </c>
      <c r="H21" s="58"/>
      <c r="I21" s="23"/>
      <c r="J21" s="24"/>
      <c r="M21" s="4"/>
      <c r="N21" s="78"/>
      <c r="O21" s="78"/>
      <c r="P21" s="78" t="str">
        <f t="shared" si="4"/>
        <v>,main_id</v>
      </c>
      <c r="Q21" s="78" t="str">
        <f t="shared" si="0"/>
        <v>TEXT</v>
      </c>
      <c r="R21" s="78" t="str">
        <f t="shared" si="1"/>
        <v/>
      </c>
      <c r="S21" s="78" t="str">
        <f t="shared" si="5"/>
        <v/>
      </c>
      <c r="T21" s="78" t="str">
        <f t="shared" si="6"/>
        <v>-- 主ID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milscm_2023_009.sny_202310_backup_merge_mml_pi_master.main_id IS '主ID';</v>
      </c>
    </row>
    <row r="22" spans="1:45" s="25" customFormat="1">
      <c r="A22" s="4"/>
      <c r="B22" s="21">
        <f t="shared" si="2"/>
        <v>10</v>
      </c>
      <c r="C22" s="13" t="s">
        <v>1273</v>
      </c>
      <c r="D22" s="13" t="s">
        <v>1274</v>
      </c>
      <c r="E22" s="7"/>
      <c r="F22" s="7" t="s">
        <v>867</v>
      </c>
      <c r="G22" s="7" t="str">
        <f t="shared" si="3"/>
        <v>text</v>
      </c>
      <c r="H22" s="58"/>
      <c r="I22" s="23"/>
      <c r="J22" s="24"/>
      <c r="M22" s="4"/>
      <c r="N22" s="78"/>
      <c r="O22" s="78"/>
      <c r="P22" s="78" t="str">
        <f t="shared" si="4"/>
        <v>,main_id_type_code</v>
      </c>
      <c r="Q22" s="78" t="str">
        <f t="shared" si="0"/>
        <v>TEXT</v>
      </c>
      <c r="R22" s="78" t="str">
        <f t="shared" si="1"/>
        <v/>
      </c>
      <c r="S22" s="78" t="str">
        <f t="shared" si="5"/>
        <v/>
      </c>
      <c r="T22" s="78" t="str">
        <f t="shared" si="6"/>
        <v>-- 主IDの種類コード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1275</v>
      </c>
      <c r="D23" s="13" t="s">
        <v>1276</v>
      </c>
      <c r="E23" s="7"/>
      <c r="F23" s="7" t="s">
        <v>867</v>
      </c>
      <c r="G23" s="7" t="str">
        <f t="shared" si="3"/>
        <v>text</v>
      </c>
      <c r="H23" s="58"/>
      <c r="I23" s="23"/>
      <c r="J23" s="24"/>
      <c r="M23" s="4"/>
      <c r="N23" s="78"/>
      <c r="O23" s="78"/>
      <c r="P23" s="78" t="str">
        <f t="shared" si="4"/>
        <v>,main_id_name</v>
      </c>
      <c r="Q23" s="78" t="str">
        <f t="shared" si="0"/>
        <v>TEXT</v>
      </c>
      <c r="R23" s="78" t="str">
        <f t="shared" si="1"/>
        <v/>
      </c>
      <c r="S23" s="78" t="str">
        <f t="shared" si="5"/>
        <v/>
      </c>
      <c r="T23" s="78" t="str">
        <f t="shared" si="6"/>
        <v>-- 主IDテーブル名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1277</v>
      </c>
      <c r="D24" s="13" t="s">
        <v>1278</v>
      </c>
      <c r="E24" s="7"/>
      <c r="F24" s="7" t="s">
        <v>867</v>
      </c>
      <c r="G24" s="7" t="str">
        <f t="shared" si="3"/>
        <v>text</v>
      </c>
      <c r="H24" s="58"/>
      <c r="I24" s="23"/>
      <c r="J24" s="24"/>
      <c r="M24" s="4"/>
      <c r="N24" s="78"/>
      <c r="O24" s="78"/>
      <c r="P24" s="78" t="str">
        <f t="shared" si="4"/>
        <v>,main_id_check_digit</v>
      </c>
      <c r="Q24" s="78" t="str">
        <f t="shared" si="0"/>
        <v>TEXT</v>
      </c>
      <c r="R24" s="78" t="str">
        <f t="shared" si="1"/>
        <v/>
      </c>
      <c r="S24" s="78" t="str">
        <f t="shared" si="5"/>
        <v/>
      </c>
      <c r="T24" s="78" t="str">
        <f t="shared" si="6"/>
        <v>-- 主IDチェックディジット</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milscm_2023_009.sny_202310_backup_merge_mml_pi_master.main_id_check_digit IS '主IDチェックディジット';</v>
      </c>
    </row>
    <row r="25" spans="1:45" s="25" customFormat="1" ht="52.2">
      <c r="A25" s="4"/>
      <c r="B25" s="21">
        <f t="shared" si="2"/>
        <v>13</v>
      </c>
      <c r="C25" s="13" t="s">
        <v>1279</v>
      </c>
      <c r="D25" s="13" t="s">
        <v>1280</v>
      </c>
      <c r="E25" s="7"/>
      <c r="F25" s="7" t="s">
        <v>867</v>
      </c>
      <c r="G25" s="7" t="str">
        <f t="shared" si="3"/>
        <v>text</v>
      </c>
      <c r="H25" s="58"/>
      <c r="I25" s="23"/>
      <c r="J25" s="24" t="s">
        <v>1310</v>
      </c>
      <c r="M25" s="4"/>
      <c r="N25" s="78"/>
      <c r="O25" s="78"/>
      <c r="P25" s="78" t="str">
        <f t="shared" si="4"/>
        <v>,main_id_check_digit_system</v>
      </c>
      <c r="Q25" s="78" t="str">
        <f t="shared" si="0"/>
        <v>TEXT</v>
      </c>
      <c r="R25" s="78" t="str">
        <f t="shared" si="1"/>
        <v/>
      </c>
      <c r="S25" s="78" t="str">
        <f t="shared" si="5"/>
        <v/>
      </c>
      <c r="T25" s="78" t="str">
        <f t="shared" si="6"/>
        <v>-- 主IDチェックディジット方式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milscm_2023_009.sny_202310_backup_merge_mml_pi_master.main_id_check_digit_system IS '主IDチェックディジット方式';</v>
      </c>
    </row>
    <row r="26" spans="1:45" s="25" customFormat="1" ht="34.799999999999997">
      <c r="A26" s="4"/>
      <c r="B26" s="21">
        <f t="shared" si="2"/>
        <v>14</v>
      </c>
      <c r="C26" s="13" t="s">
        <v>569</v>
      </c>
      <c r="D26" s="13" t="s">
        <v>322</v>
      </c>
      <c r="E26" s="7"/>
      <c r="F26" s="7" t="s">
        <v>867</v>
      </c>
      <c r="G26" s="7" t="str">
        <f t="shared" si="3"/>
        <v>text</v>
      </c>
      <c r="H26" s="58"/>
      <c r="I26" s="23"/>
      <c r="J26" s="24" t="s">
        <v>1311</v>
      </c>
      <c r="M26" s="4"/>
      <c r="N26" s="78"/>
      <c r="O26" s="78"/>
      <c r="P26" s="78" t="str">
        <f t="shared" si="4"/>
        <v>,birthday</v>
      </c>
      <c r="Q26" s="78" t="str">
        <f t="shared" si="0"/>
        <v>TEXT</v>
      </c>
      <c r="R26" s="78" t="str">
        <f t="shared" si="1"/>
        <v/>
      </c>
      <c r="S26" s="78" t="str">
        <f t="shared" si="5"/>
        <v/>
      </c>
      <c r="T26" s="78" t="str">
        <f t="shared" si="6"/>
        <v>-- 生年月日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milscm_2023_009.sny_202310_backup_merge_mml_pi_master.birthday IS '生年月日';</v>
      </c>
    </row>
    <row r="27" spans="1:45" s="25" customFormat="1" ht="34.799999999999997">
      <c r="A27" s="4"/>
      <c r="B27" s="21">
        <f t="shared" si="2"/>
        <v>15</v>
      </c>
      <c r="C27" s="13" t="s">
        <v>571</v>
      </c>
      <c r="D27" s="13" t="s">
        <v>1281</v>
      </c>
      <c r="E27" s="7"/>
      <c r="F27" s="7" t="s">
        <v>867</v>
      </c>
      <c r="G27" s="7" t="str">
        <f t="shared" si="3"/>
        <v>text</v>
      </c>
      <c r="H27" s="58"/>
      <c r="I27" s="23"/>
      <c r="J27" s="24" t="s">
        <v>1312</v>
      </c>
      <c r="M27" s="4"/>
      <c r="N27" s="78"/>
      <c r="O27" s="78"/>
      <c r="P27" s="78" t="str">
        <f t="shared" si="4"/>
        <v>,sex</v>
      </c>
      <c r="Q27" s="78" t="str">
        <f t="shared" si="0"/>
        <v>TEXT</v>
      </c>
      <c r="R27" s="78" t="str">
        <f t="shared" si="1"/>
        <v/>
      </c>
      <c r="S27" s="78" t="str">
        <f t="shared" si="5"/>
        <v/>
      </c>
      <c r="T27" s="78" t="str">
        <f t="shared" si="6"/>
        <v>-- 性別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milscm_2023_009.sny_202310_backup_merge_mml_pi_master.sex IS '性別';</v>
      </c>
    </row>
    <row r="28" spans="1:45" s="25" customFormat="1">
      <c r="A28" s="4"/>
      <c r="B28" s="21">
        <f t="shared" si="2"/>
        <v>16</v>
      </c>
      <c r="C28" s="13" t="s">
        <v>964</v>
      </c>
      <c r="D28" s="13" t="s">
        <v>965</v>
      </c>
      <c r="E28" s="7"/>
      <c r="F28" s="7" t="s">
        <v>867</v>
      </c>
      <c r="G28" s="7" t="str">
        <f t="shared" si="3"/>
        <v>text</v>
      </c>
      <c r="H28" s="58"/>
      <c r="I28" s="23"/>
      <c r="J28" s="24" t="s">
        <v>1313</v>
      </c>
      <c r="M28" s="4"/>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milscm_2023_009.sny_202310_backup_merge_mml_pi_master.sex_kubun IS '男女区分';</v>
      </c>
    </row>
    <row r="29" spans="1:45" s="25" customFormat="1" ht="34.799999999999997">
      <c r="A29" s="4"/>
      <c r="B29" s="21">
        <f t="shared" si="2"/>
        <v>17</v>
      </c>
      <c r="C29" s="13" t="s">
        <v>1282</v>
      </c>
      <c r="D29" s="13" t="s">
        <v>1283</v>
      </c>
      <c r="E29" s="7"/>
      <c r="F29" s="7" t="s">
        <v>867</v>
      </c>
      <c r="G29" s="7" t="str">
        <f t="shared" si="3"/>
        <v>text</v>
      </c>
      <c r="H29" s="58"/>
      <c r="I29" s="23"/>
      <c r="J29" s="24" t="s">
        <v>1314</v>
      </c>
      <c r="M29" s="4"/>
      <c r="N29" s="78"/>
      <c r="O29" s="78"/>
      <c r="P29" s="78" t="str">
        <f t="shared" si="4"/>
        <v>,nationality_code</v>
      </c>
      <c r="Q29" s="78" t="str">
        <f t="shared" si="0"/>
        <v>TEXT</v>
      </c>
      <c r="R29" s="78" t="str">
        <f t="shared" si="1"/>
        <v/>
      </c>
      <c r="S29" s="78" t="str">
        <f t="shared" si="5"/>
        <v/>
      </c>
      <c r="T29" s="78" t="str">
        <f t="shared" si="6"/>
        <v>-- 国籍コード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1284</v>
      </c>
      <c r="D30" s="13" t="s">
        <v>1285</v>
      </c>
      <c r="E30" s="7"/>
      <c r="F30" s="7" t="s">
        <v>867</v>
      </c>
      <c r="G30" s="7" t="str">
        <f t="shared" si="3"/>
        <v>text</v>
      </c>
      <c r="H30" s="58"/>
      <c r="I30" s="23"/>
      <c r="J30" s="24"/>
      <c r="M30" s="4"/>
      <c r="N30" s="78"/>
      <c r="O30" s="78"/>
      <c r="P30" s="78" t="str">
        <f t="shared" si="4"/>
        <v>,subtype_code</v>
      </c>
      <c r="Q30" s="78" t="str">
        <f t="shared" si="0"/>
        <v>TEXT</v>
      </c>
      <c r="R30" s="78" t="str">
        <f t="shared" si="1"/>
        <v/>
      </c>
      <c r="S30" s="78" t="str">
        <f t="shared" si="5"/>
        <v/>
      </c>
      <c r="T30" s="78" t="str">
        <f t="shared" si="6"/>
        <v>-- 第2国籍コード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1286</v>
      </c>
      <c r="D31" s="13" t="s">
        <v>1287</v>
      </c>
      <c r="E31" s="7"/>
      <c r="F31" s="7" t="s">
        <v>867</v>
      </c>
      <c r="G31" s="7" t="str">
        <f t="shared" si="3"/>
        <v>text</v>
      </c>
      <c r="H31" s="58"/>
      <c r="I31" s="23"/>
      <c r="J31" s="24"/>
      <c r="M31" s="4"/>
      <c r="N31" s="78"/>
      <c r="O31" s="78"/>
      <c r="P31" s="78" t="str">
        <f t="shared" si="4"/>
        <v>,race</v>
      </c>
      <c r="Q31" s="78" t="str">
        <f t="shared" si="0"/>
        <v>TEXT</v>
      </c>
      <c r="R31" s="78" t="str">
        <f t="shared" si="1"/>
        <v/>
      </c>
      <c r="S31" s="78" t="str">
        <f t="shared" si="5"/>
        <v/>
      </c>
      <c r="T31" s="78" t="str">
        <f t="shared" si="6"/>
        <v>-- 人種、民族</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1288</v>
      </c>
      <c r="D32" s="13" t="s">
        <v>1289</v>
      </c>
      <c r="E32" s="7"/>
      <c r="F32" s="7" t="s">
        <v>867</v>
      </c>
      <c r="G32" s="7" t="str">
        <f t="shared" si="3"/>
        <v>text</v>
      </c>
      <c r="H32" s="58"/>
      <c r="I32" s="23"/>
      <c r="J32" s="24"/>
      <c r="M32" s="4"/>
      <c r="N32" s="78"/>
      <c r="O32" s="78"/>
      <c r="P32" s="78" t="str">
        <f t="shared" si="4"/>
        <v>,race_code</v>
      </c>
      <c r="Q32" s="78" t="str">
        <f t="shared" si="0"/>
        <v>TEXT</v>
      </c>
      <c r="R32" s="78" t="str">
        <f t="shared" si="1"/>
        <v/>
      </c>
      <c r="S32" s="78" t="str">
        <f t="shared" si="5"/>
        <v/>
      </c>
      <c r="T32" s="78" t="str">
        <f t="shared" si="6"/>
        <v>-- 人種、民族コード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1290</v>
      </c>
      <c r="D33" s="13" t="s">
        <v>1291</v>
      </c>
      <c r="E33" s="7"/>
      <c r="F33" s="7" t="s">
        <v>867</v>
      </c>
      <c r="G33" s="7" t="str">
        <f t="shared" si="3"/>
        <v>text</v>
      </c>
      <c r="H33" s="58"/>
      <c r="I33" s="23"/>
      <c r="J33" s="24"/>
      <c r="M33" s="4"/>
      <c r="N33" s="78"/>
      <c r="O33" s="78"/>
      <c r="P33" s="78" t="str">
        <f t="shared" si="4"/>
        <v>,race_code_id</v>
      </c>
      <c r="Q33" s="78" t="str">
        <f t="shared" si="0"/>
        <v>TEXT</v>
      </c>
      <c r="R33" s="78" t="str">
        <f t="shared" si="1"/>
        <v/>
      </c>
      <c r="S33" s="78" t="str">
        <f t="shared" si="5"/>
        <v/>
      </c>
      <c r="T33" s="78" t="str">
        <f t="shared" si="6"/>
        <v>-- 人種、民族使用テーブル</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milscm_2023_009.sny_202310_backup_merge_mml_pi_master.race_code_id IS '人種、民族使用テーブル';</v>
      </c>
    </row>
    <row r="34" spans="1:52" s="25" customFormat="1" ht="34.799999999999997">
      <c r="A34" s="4"/>
      <c r="B34" s="21">
        <f t="shared" si="2"/>
        <v>22</v>
      </c>
      <c r="C34" s="13" t="s">
        <v>1292</v>
      </c>
      <c r="D34" s="13" t="s">
        <v>1293</v>
      </c>
      <c r="E34" s="7"/>
      <c r="F34" s="7" t="s">
        <v>867</v>
      </c>
      <c r="G34" s="7" t="str">
        <f t="shared" si="3"/>
        <v>text</v>
      </c>
      <c r="H34" s="58"/>
      <c r="I34" s="23"/>
      <c r="J34" s="24" t="s">
        <v>1315</v>
      </c>
      <c r="M34" s="4"/>
      <c r="N34" s="78"/>
      <c r="O34" s="78"/>
      <c r="P34" s="78" t="str">
        <f t="shared" si="4"/>
        <v>,marital</v>
      </c>
      <c r="Q34" s="78" t="str">
        <f t="shared" si="0"/>
        <v>TEXT</v>
      </c>
      <c r="R34" s="78" t="str">
        <f t="shared" si="1"/>
        <v/>
      </c>
      <c r="S34" s="78" t="str">
        <f t="shared" si="5"/>
        <v/>
      </c>
      <c r="T34" s="78" t="str">
        <f t="shared" si="6"/>
        <v>-- 婚姻状態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1294</v>
      </c>
      <c r="D35" s="13" t="s">
        <v>1295</v>
      </c>
      <c r="E35" s="7"/>
      <c r="F35" s="7" t="s">
        <v>867</v>
      </c>
      <c r="G35" s="7" t="str">
        <f t="shared" si="3"/>
        <v>text</v>
      </c>
      <c r="H35" s="58"/>
      <c r="I35" s="23"/>
      <c r="J35" s="24"/>
      <c r="M35" s="4"/>
      <c r="N35" s="78"/>
      <c r="O35" s="78"/>
      <c r="P35" s="78" t="str">
        <f t="shared" si="4"/>
        <v>,account_number</v>
      </c>
      <c r="Q35" s="78" t="str">
        <f t="shared" si="0"/>
        <v>TEXT</v>
      </c>
      <c r="R35" s="78" t="str">
        <f t="shared" si="1"/>
        <v/>
      </c>
      <c r="S35" s="78" t="str">
        <f t="shared" si="5"/>
        <v/>
      </c>
      <c r="T35" s="78" t="str">
        <f t="shared" si="6"/>
        <v>-- 会計番号</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1296</v>
      </c>
      <c r="D36" s="13" t="s">
        <v>1297</v>
      </c>
      <c r="E36" s="7"/>
      <c r="F36" s="7" t="s">
        <v>867</v>
      </c>
      <c r="G36" s="7" t="str">
        <f t="shared" si="3"/>
        <v>text</v>
      </c>
      <c r="H36" s="58"/>
      <c r="I36" s="23"/>
      <c r="J36" s="24"/>
      <c r="M36" s="4"/>
      <c r="N36" s="78"/>
      <c r="O36" s="78"/>
      <c r="P36" s="78" t="str">
        <f t="shared" si="4"/>
        <v>,socialIdentification</v>
      </c>
      <c r="Q36" s="78" t="str">
        <f t="shared" si="0"/>
        <v>TEXT</v>
      </c>
      <c r="R36" s="78" t="str">
        <f t="shared" si="1"/>
        <v/>
      </c>
      <c r="S36" s="78" t="str">
        <f t="shared" si="5"/>
        <v/>
      </c>
      <c r="T36" s="78" t="str">
        <f t="shared" si="6"/>
        <v>-- 社会番号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1298</v>
      </c>
      <c r="D37" s="13" t="s">
        <v>1299</v>
      </c>
      <c r="E37" s="7"/>
      <c r="F37" s="7" t="s">
        <v>867</v>
      </c>
      <c r="G37" s="7" t="str">
        <f t="shared" si="3"/>
        <v>text</v>
      </c>
      <c r="H37" s="58"/>
      <c r="I37" s="23"/>
      <c r="J37" s="24" t="s">
        <v>1316</v>
      </c>
      <c r="M37" s="4"/>
      <c r="N37" s="78"/>
      <c r="O37" s="78"/>
      <c r="P37" s="78" t="str">
        <f t="shared" si="4"/>
        <v>,death_flag</v>
      </c>
      <c r="Q37" s="78" t="str">
        <f t="shared" si="0"/>
        <v>TEXT</v>
      </c>
      <c r="R37" s="78" t="str">
        <f t="shared" si="1"/>
        <v/>
      </c>
      <c r="S37" s="78" t="str">
        <f t="shared" si="5"/>
        <v/>
      </c>
      <c r="T37" s="78" t="str">
        <f t="shared" si="6"/>
        <v>-- 死亡フラグ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milscm_2023_009.sny_202310_backup_merge_mml_pi_master.death_flag IS '死亡フラグ';</v>
      </c>
    </row>
    <row r="38" spans="1:52" s="25" customFormat="1" ht="18" thickBot="1">
      <c r="A38" s="4"/>
      <c r="B38" s="27">
        <f>ROW()-12</f>
        <v>26</v>
      </c>
      <c r="C38" s="57" t="s">
        <v>1300</v>
      </c>
      <c r="D38" s="57" t="s">
        <v>1301</v>
      </c>
      <c r="E38" s="56"/>
      <c r="F38" s="56" t="s">
        <v>867</v>
      </c>
      <c r="G38" s="56" t="str">
        <f t="shared" si="3"/>
        <v>text</v>
      </c>
      <c r="H38" s="59"/>
      <c r="I38" s="60"/>
      <c r="J38" s="64" t="s">
        <v>1317</v>
      </c>
      <c r="N38" s="78"/>
      <c r="O38" s="78"/>
      <c r="P38" s="78" t="str">
        <f t="shared" si="4"/>
        <v>,death_date</v>
      </c>
      <c r="Q38" s="78" t="str">
        <f t="shared" si="0"/>
        <v>TEXT</v>
      </c>
      <c r="R38" s="78" t="str">
        <f t="shared" si="1"/>
        <v/>
      </c>
      <c r="S38" s="78" t="str">
        <f t="shared" si="5"/>
        <v/>
      </c>
      <c r="T38" s="78" t="str">
        <f t="shared" si="6"/>
        <v>-- 死亡日時</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milscm_2023_009.sny_202310_backup_merge_mml_pi_master.death_date IS '死亡日時';</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ENT_01_C4-03</v>
      </c>
      <c r="E6" s="251"/>
      <c r="F6" s="251"/>
      <c r="G6" s="251"/>
      <c r="H6" s="251"/>
      <c r="I6" s="251"/>
      <c r="J6" s="252"/>
    </row>
    <row r="7" spans="1:45">
      <c r="B7" s="240" t="s">
        <v>115</v>
      </c>
      <c r="C7" s="241"/>
      <c r="D7" s="242" t="s">
        <v>1319</v>
      </c>
      <c r="E7" s="243"/>
      <c r="F7" s="243"/>
      <c r="G7" s="243"/>
      <c r="H7" s="243"/>
      <c r="I7" s="243"/>
      <c r="J7" s="244"/>
    </row>
    <row r="8" spans="1:45">
      <c r="B8" s="240" t="s">
        <v>116</v>
      </c>
      <c r="C8" s="241"/>
      <c r="D8" s="242" t="str">
        <f>エンティティ一覧!AE2&amp;"_"&amp;D5&amp;"_merge_mml_rd_register"</f>
        <v>sny_202310_backup_merge_mml_rd_register</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milscm_2023_009.sny_202310_backup_merge_mml_rd_register;</v>
      </c>
      <c r="O10" s="78"/>
      <c r="P10" s="78"/>
      <c r="Q10" s="78"/>
      <c r="R10" s="78"/>
      <c r="S10" s="78"/>
      <c r="T10" s="78"/>
      <c r="AJ10" s="78" t="str">
        <f>"ALTER TABLE ONLY "&amp;エンティティ一覧!$O$2&amp;"."&amp;D$8</f>
        <v>ALTER TABLE ONLY milscm_2023_009.sny_202310_backup_merge_mml_rd_register</v>
      </c>
      <c r="AS10" s="78" t="str">
        <f>"ALTER TABLE "&amp;エンティティ一覧!$O$2&amp;"."&amp;D$8&amp;" OWNER TO pgmisgrp1;"</f>
        <v>ALTER TABLE milscm_2023_009.sny_202310_backup_merge_mml_rd_register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milscm_2023_009.sny_202310_backup_merge_mml_rd_register</v>
      </c>
      <c r="O11" s="78"/>
      <c r="P11" s="78"/>
      <c r="Q11" s="78"/>
      <c r="R11" s="78"/>
      <c r="S11" s="78"/>
      <c r="T11" s="78"/>
      <c r="AJ11" s="78" t="str">
        <f>"ADD CONSTRAINT "&amp;D$8&amp;"_pkey PRIMARY KEY"</f>
        <v>ADD CONSTRAINT sny_202310_backup_merge_mml_rd_register_pkey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milscm_2023_009.sny_202310_backup_merge_mml_rd_register.mil_karute_id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milscm_2023_009.sny_202310_backup_merge_mml_rd_register.facility_id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milscm_2023_009.sny_202310_backup_merge_mml_rd_register.data_type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milscm_2023_009.sny_202310_backup_merge_mml_rd_register.master_id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milscm_2023_009.sny_202310_backup_merge_mml_rd_register.uid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milscm_2023_009.sny_202310_backup_merge_mml_rd_register.tenki IS '転帰';</v>
      </c>
    </row>
    <row r="24" spans="1:52" s="25" customFormat="1" ht="18"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ENT_01_C4-04</v>
      </c>
      <c r="E6" s="251"/>
      <c r="F6" s="251"/>
      <c r="G6" s="251"/>
      <c r="H6" s="251"/>
      <c r="I6" s="251"/>
      <c r="J6" s="252"/>
    </row>
    <row r="7" spans="1:45">
      <c r="B7" s="240" t="s">
        <v>115</v>
      </c>
      <c r="C7" s="241"/>
      <c r="D7" s="242" t="s">
        <v>1338</v>
      </c>
      <c r="E7" s="243"/>
      <c r="F7" s="243"/>
      <c r="G7" s="243"/>
      <c r="H7" s="243"/>
      <c r="I7" s="243"/>
      <c r="J7" s="244"/>
    </row>
    <row r="8" spans="1:45">
      <c r="B8" s="240" t="s">
        <v>116</v>
      </c>
      <c r="C8" s="241"/>
      <c r="D8" s="242" t="str">
        <f>エンティティ一覧!AE2&amp;"_"&amp;D5&amp;"_merge_mml_rd_byomei"</f>
        <v>sny_202310_backup_merge_mml_rd_byomei</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milscm_2023_009.sny_202310_backup_merge_mml_rd_byomei;</v>
      </c>
      <c r="O10" s="78"/>
      <c r="P10" s="78"/>
      <c r="Q10" s="78"/>
      <c r="R10" s="78"/>
      <c r="S10" s="78"/>
      <c r="T10" s="78"/>
      <c r="AJ10" s="78" t="str">
        <f>"ALTER TABLE ONLY "&amp;エンティティ一覧!$O$2&amp;"."&amp;D$8</f>
        <v>ALTER TABLE ONLY milscm_2023_009.sny_202310_backup_merge_mml_rd_byomei</v>
      </c>
      <c r="AS10" s="78" t="str">
        <f>"ALTER TABLE "&amp;エンティティ一覧!$O$2&amp;"."&amp;D$8&amp;" OWNER TO pgmisgrp1;"</f>
        <v>ALTER TABLE milscm_2023_009.sny_202310_backup_merge_mml_rd_byomei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milscm_2023_009.sny_202310_backup_merge_mml_rd_byomei</v>
      </c>
      <c r="O11" s="78"/>
      <c r="P11" s="78"/>
      <c r="Q11" s="78"/>
      <c r="R11" s="78"/>
      <c r="S11" s="78"/>
      <c r="T11" s="78"/>
      <c r="AJ11" s="78" t="str">
        <f>"ADD CONSTRAINT "&amp;D$8&amp;"_pkey PRIMARY KEY"</f>
        <v>ADD CONSTRAINT sny_202310_backup_merge_mml_rd_byomei_pkey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milscm_2023_009.sny_202310_backup_merge_mml_rd_byomei.mil_karute_id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milscm_2023_009.sny_202310_backup_merge_mml_rd_byomei.facility_id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milscm_2023_009.sny_202310_backup_merge_mml_rd_byomei.data_type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milscm_2023_009.sny_202310_backup_merge_mml_rd_byomei.master_id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milscm_2023_009.sny_202310_backup_merge_mml_rd_byomei.uid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milscm_2023_009.sny_202310_backup_merge_mml_rd_byomei.byomei_code IS '病名コード値';</v>
      </c>
    </row>
    <row r="24" spans="1:52" s="25" customFormat="1" ht="18"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ENT_01_C4-05</v>
      </c>
      <c r="E6" s="251"/>
      <c r="F6" s="251"/>
      <c r="G6" s="251"/>
      <c r="H6" s="251"/>
      <c r="I6" s="251"/>
      <c r="J6" s="252"/>
    </row>
    <row r="7" spans="1:45">
      <c r="B7" s="240" t="s">
        <v>115</v>
      </c>
      <c r="C7" s="241"/>
      <c r="D7" s="242" t="s">
        <v>1352</v>
      </c>
      <c r="E7" s="243"/>
      <c r="F7" s="243"/>
      <c r="G7" s="243"/>
      <c r="H7" s="243"/>
      <c r="I7" s="243"/>
      <c r="J7" s="244"/>
    </row>
    <row r="8" spans="1:45">
      <c r="B8" s="240" t="s">
        <v>116</v>
      </c>
      <c r="C8" s="241"/>
      <c r="D8" s="242" t="str">
        <f>エンティティ一覧!AE2&amp;"_"&amp;D5&amp;"_merge_mml_rd_category"</f>
        <v>sny_202310_backup_merge_mml_rd_category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milscm_2023_009.sny_202310_backup_merge_mml_rd_category;</v>
      </c>
      <c r="O10" s="78"/>
      <c r="P10" s="78"/>
      <c r="Q10" s="78"/>
      <c r="R10" s="78"/>
      <c r="S10" s="78"/>
      <c r="T10" s="78"/>
      <c r="AJ10" s="78" t="str">
        <f>"ALTER TABLE ONLY "&amp;エンティティ一覧!$O$2&amp;"."&amp;D$8</f>
        <v>ALTER TABLE ONLY milscm_2023_009.sny_202310_backup_merge_mml_rd_category</v>
      </c>
      <c r="AS10" s="78" t="str">
        <f>"ALTER TABLE "&amp;エンティティ一覧!$O$2&amp;"."&amp;D$8&amp;" OWNER TO pgmisgrp1;"</f>
        <v>ALTER TABLE milscm_2023_009.sny_202310_backup_merge_mml_rd_category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milscm_2023_009.sny_202310_backup_merge_mml_rd_category</v>
      </c>
      <c r="O11" s="78"/>
      <c r="P11" s="78"/>
      <c r="Q11" s="78"/>
      <c r="R11" s="78"/>
      <c r="S11" s="78"/>
      <c r="T11" s="78"/>
      <c r="AJ11" s="78" t="str">
        <f>"ADD CONSTRAINT "&amp;D$8&amp;"_pkey PRIMARY KEY"</f>
        <v>ADD CONSTRAINT sny_202310_backup_merge_mml_rd_category_pkey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milscm_2023_009.sny_202310_backup_merge_mml_rd_category.mil_karute_id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milscm_2023_009.sny_202310_backup_merge_mml_rd_category.facility_id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milscm_2023_009.sny_202310_backup_merge_mml_rd_category.data_type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milscm_2023_009.sny_202310_backup_merge_mml_rd_category.master_id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milscm_2023_009.sny_202310_backup_merge_mml_rd_category.uid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1353</v>
      </c>
      <c r="D21" s="13" t="s">
        <v>1354</v>
      </c>
      <c r="E21" s="7" t="s">
        <v>127</v>
      </c>
      <c r="F21" s="7" t="s">
        <v>204</v>
      </c>
      <c r="G21" s="7" t="str">
        <f t="shared" si="3"/>
        <v>integer</v>
      </c>
      <c r="H21" s="58"/>
      <c r="I21" s="23" t="s">
        <v>127</v>
      </c>
      <c r="J21" s="24" t="s">
        <v>1359</v>
      </c>
      <c r="M21" s="4"/>
      <c r="N21" s="78"/>
      <c r="O21" s="78"/>
      <c r="P21" s="78" t="str">
        <f t="shared" si="4"/>
        <v>,bunrui_seq</v>
      </c>
      <c r="Q21" s="78" t="str">
        <f t="shared" si="0"/>
        <v>INTEGER</v>
      </c>
      <c r="R21" s="78" t="str">
        <f t="shared" si="1"/>
        <v/>
      </c>
      <c r="S21" s="78" t="str">
        <f t="shared" si="5"/>
        <v>NOT NULL</v>
      </c>
      <c r="T21" s="78" t="str">
        <f t="shared" si="6"/>
        <v>-- 分類SEQ</v>
      </c>
      <c r="U21" s="4"/>
      <c r="AA21" s="4"/>
      <c r="AB21" s="4"/>
      <c r="AC21" s="4"/>
      <c r="AD21" s="4"/>
      <c r="AE21" s="4"/>
      <c r="AF21" s="4"/>
      <c r="AG21" s="4"/>
      <c r="AH21" s="4"/>
      <c r="AI21" s="4"/>
      <c r="AJ21" s="78" t="str">
        <f>IF(E21="○",IF(COUNTA(E$13:E21)=1,"",",")&amp;D21,"")</f>
        <v>,bunrui_seq</v>
      </c>
      <c r="AK21" s="4"/>
      <c r="AL21" s="4"/>
      <c r="AM21" s="4"/>
      <c r="AN21" s="4"/>
      <c r="AO21" s="4"/>
      <c r="AP21" s="4"/>
      <c r="AQ21" s="4"/>
      <c r="AR21" s="4"/>
      <c r="AS21" s="78"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1355</v>
      </c>
      <c r="D22" s="13" t="s">
        <v>1356</v>
      </c>
      <c r="E22" s="7"/>
      <c r="F22" s="7" t="s">
        <v>867</v>
      </c>
      <c r="G22" s="7" t="str">
        <f t="shared" si="3"/>
        <v>text</v>
      </c>
      <c r="H22" s="58"/>
      <c r="I22" s="23"/>
      <c r="J22" s="24" t="s">
        <v>1360</v>
      </c>
      <c r="M22" s="4"/>
      <c r="N22" s="78"/>
      <c r="O22" s="78"/>
      <c r="P22" s="78" t="str">
        <f t="shared" si="4"/>
        <v>,bunrui_name</v>
      </c>
      <c r="Q22" s="78" t="str">
        <f t="shared" si="0"/>
        <v>TEXT</v>
      </c>
      <c r="R22" s="78" t="str">
        <f t="shared" si="1"/>
        <v/>
      </c>
      <c r="S22" s="78" t="str">
        <f t="shared" si="5"/>
        <v/>
      </c>
      <c r="T22" s="78" t="str">
        <f t="shared" si="6"/>
        <v>-- 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milscm_2023_009.sny_202310_backup_merge_mml_rd_category.bunrui_name IS '分類名';</v>
      </c>
    </row>
    <row r="23" spans="1:52" s="25" customFormat="1" ht="87.6" thickBot="1">
      <c r="A23" s="4"/>
      <c r="B23" s="27">
        <f>ROW()-12</f>
        <v>11</v>
      </c>
      <c r="C23" s="57" t="s">
        <v>1357</v>
      </c>
      <c r="D23" s="57" t="s">
        <v>1358</v>
      </c>
      <c r="E23" s="56"/>
      <c r="F23" s="56" t="s">
        <v>867</v>
      </c>
      <c r="G23" s="56" t="str">
        <f t="shared" si="3"/>
        <v>text</v>
      </c>
      <c r="H23" s="59"/>
      <c r="I23" s="60"/>
      <c r="J23" s="64" t="s">
        <v>1361</v>
      </c>
      <c r="N23" s="78"/>
      <c r="O23" s="78"/>
      <c r="P23" s="78" t="str">
        <f t="shared" si="4"/>
        <v>,bunrui_code</v>
      </c>
      <c r="Q23" s="78" t="str">
        <f t="shared" si="0"/>
        <v>TEXT</v>
      </c>
      <c r="R23" s="78" t="str">
        <f t="shared" si="1"/>
        <v/>
      </c>
      <c r="S23" s="78" t="str">
        <f t="shared" si="5"/>
        <v/>
      </c>
      <c r="T23" s="78" t="str">
        <f t="shared" si="6"/>
        <v>-- 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milscm_2023_009.sny_202310_backup_merge_mml_rd_category.bunrui_code IS '分類コード';</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ENT_01_C4-06</v>
      </c>
      <c r="E6" s="251"/>
      <c r="F6" s="251"/>
      <c r="G6" s="251"/>
      <c r="H6" s="251"/>
      <c r="I6" s="251"/>
      <c r="J6" s="252"/>
    </row>
    <row r="7" spans="1:45">
      <c r="B7" s="240" t="s">
        <v>115</v>
      </c>
      <c r="C7" s="241"/>
      <c r="D7" s="242" t="s">
        <v>1363</v>
      </c>
      <c r="E7" s="243"/>
      <c r="F7" s="243"/>
      <c r="G7" s="243"/>
      <c r="H7" s="243"/>
      <c r="I7" s="243"/>
      <c r="J7" s="244"/>
    </row>
    <row r="8" spans="1:45">
      <c r="B8" s="240" t="s">
        <v>116</v>
      </c>
      <c r="C8" s="241"/>
      <c r="D8" s="242" t="str">
        <f>エンティティ一覧!AE2&amp;"_"&amp;D5&amp;"_merge_mml_pc_progress_course"</f>
        <v>sny_202310_backup_merge_mml_pc_progress_course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milscm_2023_009.sny_202310_backup_merge_mml_pc_progress_course;</v>
      </c>
      <c r="O10" s="78"/>
      <c r="P10" s="78"/>
      <c r="Q10" s="78"/>
      <c r="R10" s="78"/>
      <c r="S10" s="78"/>
      <c r="T10" s="78"/>
      <c r="AJ10" s="78" t="str">
        <f>"ALTER TABLE ONLY "&amp;エンティティ一覧!$O$2&amp;"."&amp;D$8</f>
        <v>ALTER TABLE ONLY milscm_2023_009.sny_202310_backup_merge_mml_pc_progress_course</v>
      </c>
      <c r="AS10" s="78" t="str">
        <f>"ALTER TABLE "&amp;エンティティ一覧!$O$2&amp;"."&amp;D$8&amp;" OWNER TO pgmisgrp1;"</f>
        <v>ALTER TABLE milscm_2023_009.sny_202310_backup_merge_mml_pc_progress_course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milscm_2023_009.sny_202310_backup_merge_mml_pc_progress_course</v>
      </c>
      <c r="O11" s="78"/>
      <c r="P11" s="78"/>
      <c r="Q11" s="78"/>
      <c r="R11" s="78"/>
      <c r="S11" s="78"/>
      <c r="T11" s="78"/>
      <c r="AJ11" s="78" t="str">
        <f>"ADD CONSTRAINT "&amp;D$8&amp;"_pkey PRIMARY KEY"</f>
        <v>ADD CONSTRAINT sny_202310_backup_merge_mml_pc_progress_course_pkey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milscm_2023_009.sny_202310_backup_merge_mml_pc_progress_course.mil_karute_id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milscm_2023_009.sny_202310_backup_merge_mml_pc_progress_course.facility_id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milscm_2023_009.sny_202310_backup_merge_mml_pc_progress_course.data_type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milscm_2023_009.sny_202310_backup_merge_mml_pc_progress_course.master_id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milscm_2023_009.sny_202310_backup_merge_mml_pc_progress_course.uid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milscm_2023_009.sny_202310_backup_merge_mml_pc_progress_course.keika_seq IS '経過記録SEQ';</v>
      </c>
    </row>
    <row r="21" spans="1:52" s="25" customFormat="1" ht="35.4"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ENT_01_C4-07</v>
      </c>
      <c r="E6" s="251"/>
      <c r="F6" s="251"/>
      <c r="G6" s="251"/>
      <c r="H6" s="251"/>
      <c r="I6" s="251"/>
      <c r="J6" s="252"/>
    </row>
    <row r="7" spans="1:45">
      <c r="B7" s="240" t="s">
        <v>115</v>
      </c>
      <c r="C7" s="241"/>
      <c r="D7" s="242" t="s">
        <v>1371</v>
      </c>
      <c r="E7" s="243"/>
      <c r="F7" s="243"/>
      <c r="G7" s="243"/>
      <c r="H7" s="243"/>
      <c r="I7" s="243"/>
      <c r="J7" s="244"/>
    </row>
    <row r="8" spans="1:45">
      <c r="B8" s="240" t="s">
        <v>116</v>
      </c>
      <c r="C8" s="241"/>
      <c r="D8" s="242" t="str">
        <f>エンティティ一覧!AE2&amp;"_"&amp;D5&amp;"_merge_mml_pc_problem"</f>
        <v>sny_202310_backup_merge_mml_pc_problem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milscm_2023_009.sny_202310_backup_merge_mml_pc_problem;</v>
      </c>
      <c r="O10" s="78"/>
      <c r="P10" s="78"/>
      <c r="Q10" s="78"/>
      <c r="R10" s="78"/>
      <c r="S10" s="78"/>
      <c r="T10" s="78"/>
      <c r="AJ10" s="78" t="str">
        <f>"ALTER TABLE ONLY "&amp;エンティティ一覧!$O$2&amp;"."&amp;D$8</f>
        <v>ALTER TABLE ONLY milscm_2023_009.sny_202310_backup_merge_mml_pc_problem</v>
      </c>
      <c r="AS10" s="78" t="str">
        <f>"ALTER TABLE "&amp;エンティティ一覧!$O$2&amp;"."&amp;D$8&amp;" OWNER TO pgmisgrp1;"</f>
        <v>ALTER TABLE milscm_2023_009.sny_202310_backup_merge_mml_pc_problem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milscm_2023_009.sny_202310_backup_merge_mml_pc_problem</v>
      </c>
      <c r="O11" s="78"/>
      <c r="P11" s="78"/>
      <c r="Q11" s="78"/>
      <c r="R11" s="78"/>
      <c r="S11" s="78"/>
      <c r="T11" s="78"/>
      <c r="AJ11" s="78" t="str">
        <f>"ADD CONSTRAINT "&amp;D$8&amp;"_pkey PRIMARY KEY"</f>
        <v>ADD CONSTRAINT sny_202310_backup_merge_mml_pc_problem_pkey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milscm_2023_009.sny_202310_backup_merge_mml_pc_problem.mil_karute_id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milscm_2023_009.sny_202310_backup_merge_mml_pc_problem.facility_id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milscm_2023_009.sny_202310_backup_merge_mml_pc_problem.data_type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milscm_2023_009.sny_202310_backup_merge_mml_pc_problem.master_id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milscm_2023_009.sny_202310_backup_merge_mml_pc_problem.uid IS '文書ユニークID';</v>
      </c>
    </row>
    <row r="20" spans="1:45"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milscm_2023_009.sny_202310_backup_merge_mml_pc_problem.problem_seq IS 'プロブレムSEQ';</v>
      </c>
    </row>
    <row r="22" spans="1:45" s="25" customFormat="1" ht="34.799999999999997">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milscm_2023_009.sny_202310_backup_merge_mml_pc_problem.problem_shippei_name IS 'プロブレム名（疾病名）';</v>
      </c>
    </row>
    <row r="23" spans="1:45" s="25" customFormat="1" ht="69.599999999999994">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milscm_2023_009.sny_202310_backup_merge_mml_pc_problem.shindan_name_uid IS '診断名のuid';</v>
      </c>
    </row>
    <row r="24" spans="1:45" s="25" customFormat="1" ht="34.799999999999997">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milscm_2023_009.sny_202310_backup_merge_mml_pc_problem.free_note IS '自由文章表現';</v>
      </c>
    </row>
    <row r="25" spans="1:45" s="25" customFormat="1" ht="34.799999999999997">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milscm_2023_009.sny_202310_backup_merge_mml_pc_problem.free_expression_objective IS '客観的自由記載';</v>
      </c>
    </row>
    <row r="26" spans="1:45" s="25" customFormat="1" ht="34.799999999999997">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milscm_2023_009.sny_202310_backup_merge_mml_pc_problem.test_result IS '検査結果';</v>
      </c>
    </row>
    <row r="27" spans="1:45" s="25" customFormat="1" ht="34.799999999999997">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milscm_2023_009.sny_202310_backup_merge_mml_pc_problem.shohou_jisshi_kiroku IS '処方実施記録';</v>
      </c>
    </row>
    <row r="28" spans="1:45" s="25" customFormat="1" ht="34.799999999999997">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milscm_2023_009.sny_202310_backup_merge_mml_pc_problem.shochi_jisshi_kiroku IS '処置実施記録';</v>
      </c>
    </row>
    <row r="29" spans="1:45" s="25" customFormat="1" ht="34.799999999999997">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milscm_2023_009.sny_202310_backup_merge_mml_pc_problem.kensa_order IS '検査オーダー';</v>
      </c>
    </row>
    <row r="30" spans="1:45" s="25" customFormat="1" ht="34.799999999999997">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milscm_2023_009.sny_202310_backup_merge_mml_pc_problem.shohou_order IS '処方オーダー';</v>
      </c>
    </row>
    <row r="31" spans="1:45" s="25" customFormat="1" ht="34.799999999999997">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milscm_2023_009.sny_202310_backup_merge_mml_pc_problem.chiryo_order IS '治療処置オーダー';</v>
      </c>
    </row>
    <row r="32" spans="1:45" s="25" customFormat="1" ht="35.4"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ENT_01_C4-08</v>
      </c>
      <c r="E6" s="251"/>
      <c r="F6" s="251"/>
      <c r="G6" s="251"/>
      <c r="H6" s="251"/>
      <c r="I6" s="251"/>
      <c r="J6" s="252"/>
    </row>
    <row r="7" spans="1:45">
      <c r="B7" s="240" t="s">
        <v>115</v>
      </c>
      <c r="C7" s="241"/>
      <c r="D7" s="242" t="s">
        <v>1409</v>
      </c>
      <c r="E7" s="243"/>
      <c r="F7" s="243"/>
      <c r="G7" s="243"/>
      <c r="H7" s="243"/>
      <c r="I7" s="243"/>
      <c r="J7" s="244"/>
    </row>
    <row r="8" spans="1:45">
      <c r="B8" s="240" t="s">
        <v>116</v>
      </c>
      <c r="C8" s="241"/>
      <c r="D8" s="242" t="str">
        <f>エンティティ一覧!AE2&amp;"_"&amp;D5&amp;"_merge_mml_pc_physical_exam"</f>
        <v>sny_202310_backup_merge_mml_pc_physical_exam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milscm_2023_009.sny_202310_backup_merge_mml_pc_physical_exam;</v>
      </c>
      <c r="O10" s="78"/>
      <c r="P10" s="78"/>
      <c r="Q10" s="78"/>
      <c r="R10" s="78"/>
      <c r="S10" s="78"/>
      <c r="T10" s="78"/>
      <c r="AJ10" s="78" t="str">
        <f>"ALTER TABLE ONLY "&amp;エンティティ一覧!$O$2&amp;"."&amp;D$8</f>
        <v>ALTER TABLE ONLY milscm_2023_009.sny_202310_backup_merge_mml_pc_physical_exam</v>
      </c>
      <c r="AS10" s="78" t="str">
        <f>"ALTER TABLE "&amp;エンティティ一覧!$O$2&amp;"."&amp;D$8&amp;" OWNER TO pgmisgrp1;"</f>
        <v>ALTER TABLE milscm_2023_009.sny_202310_backup_merge_mml_pc_physical_exam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milscm_2023_009.sny_202310_backup_merge_mml_pc_physical_exam</v>
      </c>
      <c r="O11" s="78"/>
      <c r="P11" s="78"/>
      <c r="Q11" s="78"/>
      <c r="R11" s="78"/>
      <c r="S11" s="78"/>
      <c r="T11" s="78"/>
      <c r="AJ11" s="78" t="str">
        <f>"ADD CONSTRAINT "&amp;D$8&amp;"_pkey PRIMARY KEY"</f>
        <v>ADD CONSTRAINT sny_202310_backup_merge_mml_pc_physical_exam_pkey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milscm_2023_009.sny_202310_backup_merge_mml_pc_physical_exam.mil_karute_id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milscm_2023_009.sny_202310_backup_merge_mml_pc_physical_exam.facility_id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milscm_2023_009.sny_202310_backup_merge_mml_pc_physical_exam.data_type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milscm_2023_009.sny_202310_backup_merge_mml_pc_physical_exam.master_id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milscm_2023_009.sny_202310_backup_merge_mml_pc_physical_exam.uid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milscm_2023_009.sny_202310_backup_merge_mml_pc_physical_exam.syoken_value IS '身体所見結果';</v>
      </c>
    </row>
    <row r="25" spans="1:52" s="25" customFormat="1" ht="35.4"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ENT_01_C4-15</v>
      </c>
      <c r="E6" s="251"/>
      <c r="F6" s="251"/>
      <c r="G6" s="251"/>
      <c r="H6" s="251"/>
      <c r="I6" s="251"/>
      <c r="J6" s="252"/>
    </row>
    <row r="7" spans="1:45">
      <c r="B7" s="240" t="s">
        <v>115</v>
      </c>
      <c r="C7" s="241"/>
      <c r="D7" s="242" t="s">
        <v>1423</v>
      </c>
      <c r="E7" s="243"/>
      <c r="F7" s="243"/>
      <c r="G7" s="243"/>
      <c r="H7" s="243"/>
      <c r="I7" s="243"/>
      <c r="J7" s="244"/>
    </row>
    <row r="8" spans="1:45">
      <c r="B8" s="240" t="s">
        <v>116</v>
      </c>
      <c r="C8" s="241"/>
      <c r="D8" s="242" t="str">
        <f>エンティティ一覧!AE2&amp;"_"&amp;D5&amp;"_merge_mml_pc_assessment"</f>
        <v>sny_202310_backup_merge_mml_pc_assessment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milscm_2023_009.sny_202310_backup_merge_mml_pc_assessment;</v>
      </c>
      <c r="O10" s="78"/>
      <c r="P10" s="78"/>
      <c r="Q10" s="78"/>
      <c r="R10" s="78"/>
      <c r="S10" s="78"/>
      <c r="T10" s="78"/>
      <c r="AJ10" s="78" t="str">
        <f>"ALTER TABLE ONLY "&amp;エンティティ一覧!$O$2&amp;"."&amp;D$8</f>
        <v>ALTER TABLE ONLY milscm_2023_009.sny_202310_backup_merge_mml_pc_assessment</v>
      </c>
      <c r="AS10" s="78" t="str">
        <f>"ALTER TABLE "&amp;エンティティ一覧!$O$2&amp;"."&amp;D$8&amp;" OWNER TO pgmisgrp1;"</f>
        <v>ALTER TABLE milscm_2023_009.sny_202310_backup_merge_mml_pc_assessment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milscm_2023_009.sny_202310_backup_merge_mml_pc_assessment</v>
      </c>
      <c r="O11" s="78"/>
      <c r="P11" s="78"/>
      <c r="Q11" s="78"/>
      <c r="R11" s="78"/>
      <c r="S11" s="78"/>
      <c r="T11" s="78"/>
      <c r="AJ11" s="78" t="str">
        <f>"ADD CONSTRAINT "&amp;D$8&amp;"_pkey PRIMARY KEY"</f>
        <v>ADD CONSTRAINT sny_202310_backup_merge_mml_pc_assessment_pkey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milscm_2023_009.sny_202310_backup_merge_mml_pc_assessment.mil_karute_id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milscm_2023_009.sny_202310_backup_merge_mml_pc_assessment.facility_id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milscm_2023_009.sny_202310_backup_merge_mml_pc_assessment.data_type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milscm_2023_009.sny_202310_backup_merge_mml_pc_assessment.master_id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milscm_2023_009.sny_202310_backup_merge_mml_pc_assessment.uid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milscm_2023_009.sny_202310_backup_merge_mml_pc_assessment.assessment_item_seq IS 'アセスメントSEQ';</v>
      </c>
    </row>
    <row r="23" spans="1:52" s="25" customFormat="1" ht="35.4"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ENT_01_C4-22</v>
      </c>
      <c r="E6" s="251"/>
      <c r="F6" s="251"/>
      <c r="G6" s="251"/>
      <c r="H6" s="251"/>
      <c r="I6" s="251"/>
      <c r="J6" s="252"/>
    </row>
    <row r="7" spans="1:45">
      <c r="B7" s="240" t="s">
        <v>115</v>
      </c>
      <c r="C7" s="241"/>
      <c r="D7" s="242" t="s">
        <v>1431</v>
      </c>
      <c r="E7" s="243"/>
      <c r="F7" s="243"/>
      <c r="G7" s="243"/>
      <c r="H7" s="243"/>
      <c r="I7" s="243"/>
      <c r="J7" s="244"/>
    </row>
    <row r="8" spans="1:45">
      <c r="B8" s="240" t="s">
        <v>116</v>
      </c>
      <c r="C8" s="241"/>
      <c r="D8" s="242" t="str">
        <f>エンティティ一覧!AE2&amp;"_"&amp;D5&amp;"_merge_mml_pc_external_reference"</f>
        <v>sny_202310_backup_merge_mml_pc_external_reference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milscm_2023_009.sny_202310_backup_merge_mml_pc_external_reference;</v>
      </c>
      <c r="O10" s="78"/>
      <c r="P10" s="78"/>
      <c r="Q10" s="78"/>
      <c r="R10" s="78"/>
      <c r="S10" s="78"/>
      <c r="T10" s="78"/>
      <c r="AJ10" s="78" t="str">
        <f>"ALTER TABLE ONLY "&amp;エンティティ一覧!$O$2&amp;"."&amp;D$8</f>
        <v>ALTER TABLE ONLY milscm_2023_009.sny_202310_backup_merge_mml_pc_external_reference</v>
      </c>
      <c r="AS10" s="78" t="str">
        <f>"ALTER TABLE "&amp;エンティティ一覧!$O$2&amp;"."&amp;D$8&amp;" OWNER TO pgmisgrp1;"</f>
        <v>ALTER TABLE milscm_2023_009.sny_202310_backup_merge_mml_pc_external_reference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milscm_2023_009.sny_202310_backup_merge_mml_pc_external_reference</v>
      </c>
      <c r="O11" s="78"/>
      <c r="P11" s="78"/>
      <c r="Q11" s="78"/>
      <c r="R11" s="78"/>
      <c r="S11" s="78"/>
      <c r="T11" s="78"/>
      <c r="AJ11" s="78" t="str">
        <f>"ADD CONSTRAINT "&amp;D$8&amp;"_pkey PRIMARY KEY"</f>
        <v>ADD CONSTRAINT sny_202310_backup_merge_mml_pc_external_reference_pkey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milscm_2023_009.sny_202310_backup_merge_mml_pc_external_reference.mil_karute_id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milscm_2023_009.sny_202310_backup_merge_mml_pc_external_reference.facility_id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milscm_2023_009.sny_202310_backup_merge_mml_pc_external_reference.data_type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milscm_2023_009.sny_202310_backup_merge_mml_pc_external_reference.master_id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milscm_2023_009.sny_202310_backup_merge_mml_pc_external_reference.uid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milscm_2023_009.sny_202310_backup_merge_mml_pc_external_reference.keika_seq IS '経過記録SEQ';</v>
      </c>
    </row>
    <row r="21" spans="1:52" s="25" customFormat="1" ht="174">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milscm_2023_009.sny_202310_backup_merge_mml_pc_external_reference.content_type IS 'コンテンツ種別';</v>
      </c>
    </row>
    <row r="24" spans="1:52" s="25" customFormat="1" ht="34.799999999999997">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milscm_2023_009.sny_202310_backup_merge_mml_pc_external_reference.gaibu_sansyo_saki IS '外部参照先';</v>
      </c>
    </row>
    <row r="27" spans="1:52" s="25" customFormat="1" ht="18"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ENT_01_C4-23</v>
      </c>
      <c r="E6" s="251"/>
      <c r="F6" s="251"/>
      <c r="G6" s="251"/>
      <c r="H6" s="251"/>
      <c r="I6" s="251"/>
      <c r="J6" s="252"/>
    </row>
    <row r="7" spans="1:45">
      <c r="B7" s="240" t="s">
        <v>115</v>
      </c>
      <c r="C7" s="241"/>
      <c r="D7" s="242" t="s">
        <v>1454</v>
      </c>
      <c r="E7" s="243"/>
      <c r="F7" s="243"/>
      <c r="G7" s="243"/>
      <c r="H7" s="243"/>
      <c r="I7" s="243"/>
      <c r="J7" s="244"/>
    </row>
    <row r="8" spans="1:45">
      <c r="B8" s="240" t="s">
        <v>116</v>
      </c>
      <c r="C8" s="241"/>
      <c r="D8" s="242" t="str">
        <f>エンティティ一覧!AE2&amp;"_"&amp;D5&amp;"_merge_mml_sm_summary"</f>
        <v>sny_202310_backup_merge_mml_sm_summary</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milscm_2023_009.sny_202310_backup_merge_mml_sm_summary;</v>
      </c>
      <c r="O10" s="78"/>
      <c r="P10" s="78"/>
      <c r="Q10" s="78"/>
      <c r="R10" s="78"/>
      <c r="S10" s="78"/>
      <c r="T10" s="78"/>
      <c r="AJ10" s="78" t="str">
        <f>"ALTER TABLE ONLY "&amp;エンティティ一覧!$O$2&amp;"."&amp;D$8</f>
        <v>ALTER TABLE ONLY milscm_2023_009.sny_202310_backup_merge_mml_sm_summary</v>
      </c>
      <c r="AS10" s="78" t="str">
        <f>"ALTER TABLE "&amp;エンティティ一覧!$O$2&amp;"."&amp;D$8&amp;" OWNER TO pgmisgrp1;"</f>
        <v>ALTER TABLE milscm_2023_009.sny_202310_backup_merge_mml_sm_summary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milscm_2023_009.sny_202310_backup_merge_mml_sm_summary</v>
      </c>
      <c r="O11" s="78"/>
      <c r="P11" s="78"/>
      <c r="Q11" s="78"/>
      <c r="R11" s="78"/>
      <c r="S11" s="78"/>
      <c r="T11" s="78"/>
      <c r="AJ11" s="78" t="str">
        <f>"ADD CONSTRAINT "&amp;D$8&amp;"_pkey PRIMARY KEY"</f>
        <v>ADD CONSTRAINT sny_202310_backup_merge_mml_sm_summary_pkey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milscm_2023_009.sny_202310_backup_merge_mml_sm_summary.mil_karute_id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milscm_2023_009.sny_202310_backup_merge_mml_sm_summary.facility_id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milscm_2023_009.sny_202310_backup_merge_mml_sm_summary.data_type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milscm_2023_009.sny_202310_backup_merge_mml_sm_summary.master_id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milscm_2023_009.sny_202310_backup_merge_mml_sm_summary.summary_seq IS '臨床サマリーSEQ';</v>
      </c>
    </row>
    <row r="21" spans="1:45" s="25" customFormat="1" ht="34.799999999999997">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milscm_2023_009.sny_202310_backup_merge_mml_sm_summary.history_start_ymd IS 'サマリー対象期間の開始日';</v>
      </c>
    </row>
    <row r="22" spans="1:45" s="25" customFormat="1" ht="34.799999999999997">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milscm_2023_009.sny_202310_backup_merge_mml_sm_summary.death_info IS '死亡関連情報';</v>
      </c>
    </row>
    <row r="24" spans="1:45" s="25" customFormat="1" ht="34.799999999999997">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milscm_2023_009.sny_202310_backup_merge_mml_sm_summary.death_date IS '死亡日時';</v>
      </c>
    </row>
    <row r="25" spans="1:45" s="25" customFormat="1" ht="34.799999999999997">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milscm_2023_009.sny_202310_backup_merge_mml_sm_summary.death_autopsy_flag IS '剖検の有無';</v>
      </c>
    </row>
    <row r="26" spans="1:45" s="25" customFormat="1" ht="34.799999999999997">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milscm_2023_009.sny_202310_backup_merge_mml_sm_summary.chief_complaints IS '主訴';</v>
      </c>
    </row>
    <row r="27" spans="1:45" s="25" customFormat="1" ht="34.799999999999997">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milscm_2023_009.sny_202310_backup_merge_mml_sm_summary.patient_profile IS '患者プロフィール';</v>
      </c>
    </row>
    <row r="28" spans="1:45" s="25" customFormat="1" ht="34.799999999999997">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milscm_2023_009.sny_202310_backup_merge_mml_sm_summary.nyuin_history IS '入院までの経過';</v>
      </c>
    </row>
    <row r="29" spans="1:45" s="25" customFormat="1" ht="34.799999999999997">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milscm_2023_009.sny_202310_backup_merge_mml_sm_summary.nyuin_physical_exam IS '入院時理学所見';</v>
      </c>
    </row>
    <row r="30" spans="1:45" s="25" customFormat="1" ht="34.799999999999997">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milscm_2023_009.sny_202310_backup_merge_mml_sm_summary.taiin_findings IS '退院時所見';</v>
      </c>
    </row>
    <row r="31" spans="1:45" s="25" customFormat="1" ht="34.799999999999997">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milscm_2023_009.sny_202310_backup_merge_mml_sm_summary.taiin_medication IS '退院時処方';</v>
      </c>
    </row>
    <row r="32" spans="1:45" s="25" customFormat="1" ht="34.799999999999997">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milscm_2023_009.sny_202310_backup_merge_mml_sm_summary.taiin_chiryo_plan IS '退院後治療方針';</v>
      </c>
    </row>
    <row r="33" spans="1:52" s="25" customFormat="1" ht="35.4"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ENT_01_C4-24</v>
      </c>
      <c r="E6" s="251"/>
      <c r="F6" s="251"/>
      <c r="G6" s="251"/>
      <c r="H6" s="251"/>
      <c r="I6" s="251"/>
      <c r="J6" s="252"/>
    </row>
    <row r="7" spans="1:45">
      <c r="B7" s="240" t="s">
        <v>115</v>
      </c>
      <c r="C7" s="241"/>
      <c r="D7" s="242" t="s">
        <v>1496</v>
      </c>
      <c r="E7" s="243"/>
      <c r="F7" s="243"/>
      <c r="G7" s="243"/>
      <c r="H7" s="243"/>
      <c r="I7" s="243"/>
      <c r="J7" s="244"/>
    </row>
    <row r="8" spans="1:45">
      <c r="B8" s="240" t="s">
        <v>116</v>
      </c>
      <c r="C8" s="241"/>
      <c r="D8" s="242" t="str">
        <f>エンティティ一覧!AE2&amp;"_"&amp;D5&amp;"_merge_mml_sm_out_patient"</f>
        <v>sny_202310_backup_merge_mml_sm_out_patient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milscm_2023_009.sny_202310_backup_merge_mml_sm_out_patient;</v>
      </c>
      <c r="O10" s="78"/>
      <c r="P10" s="78"/>
      <c r="Q10" s="78"/>
      <c r="R10" s="78"/>
      <c r="S10" s="78"/>
      <c r="T10" s="78"/>
      <c r="AJ10" s="78" t="str">
        <f>"ALTER TABLE ONLY "&amp;エンティティ一覧!$O$2&amp;"."&amp;D$8</f>
        <v>ALTER TABLE ONLY milscm_2023_009.sny_202310_backup_merge_mml_sm_out_patient</v>
      </c>
      <c r="AS10" s="78" t="str">
        <f>"ALTER TABLE "&amp;エンティティ一覧!$O$2&amp;"."&amp;D$8&amp;" OWNER TO pgmisgrp1;"</f>
        <v>ALTER TABLE milscm_2023_009.sny_202310_backup_merge_mml_sm_out_patient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milscm_2023_009.sny_202310_backup_merge_mml_sm_out_patient</v>
      </c>
      <c r="O11" s="78"/>
      <c r="P11" s="78"/>
      <c r="Q11" s="78"/>
      <c r="R11" s="78"/>
      <c r="S11" s="78"/>
      <c r="T11" s="78"/>
      <c r="AJ11" s="78" t="str">
        <f>"ADD CONSTRAINT "&amp;D$8&amp;"_pkey PRIMARY KEY"</f>
        <v>ADD CONSTRAINT sny_202310_backup_merge_mml_sm_out_patient_pkey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milscm_2023_009.sny_202310_backup_merge_mml_sm_out_patient.mil_karute_id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milscm_2023_009.sny_202310_backup_merge_mml_sm_out_patient.facility_id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milscm_2023_009.sny_202310_backup_merge_mml_sm_out_patient.data_type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milscm_2023_009.sny_202310_backup_merge_mml_sm_out_patient.master_id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milscm_2023_009.sny_202310_backup_merge_mml_sm_out_patient.gairai_seq IS '個々の外来受診歴SEQ';</v>
      </c>
    </row>
    <row r="22" spans="1:52" s="25" customFormat="1" ht="34.799999999999997">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milscm_2023_009.sny_202310_backup_merge_mml_sm_out_patient.gairai_state IS '外来受診状態';</v>
      </c>
    </row>
    <row r="24" spans="1:52" s="25" customFormat="1" ht="52.2">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milscm_2023_009.sny_202310_backup_merge_mml_sm_out_patient.first_flag IS '初診フラグ';</v>
      </c>
    </row>
    <row r="25" spans="1:52" s="25" customFormat="1" ht="52.8"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ENT_01_C4-25</v>
      </c>
      <c r="E6" s="251"/>
      <c r="F6" s="251"/>
      <c r="G6" s="251"/>
      <c r="H6" s="251"/>
      <c r="I6" s="251"/>
      <c r="J6" s="252"/>
    </row>
    <row r="7" spans="1:45">
      <c r="B7" s="240" t="s">
        <v>115</v>
      </c>
      <c r="C7" s="241"/>
      <c r="D7" s="242" t="s">
        <v>1513</v>
      </c>
      <c r="E7" s="243"/>
      <c r="F7" s="243"/>
      <c r="G7" s="243"/>
      <c r="H7" s="243"/>
      <c r="I7" s="243"/>
      <c r="J7" s="244"/>
    </row>
    <row r="8" spans="1:45">
      <c r="B8" s="240" t="s">
        <v>116</v>
      </c>
      <c r="C8" s="241"/>
      <c r="D8" s="242" t="str">
        <f>エンティティ一覧!AE2&amp;"_"&amp;D5&amp;"_merge_mml_sm_in_patient"</f>
        <v>sny_202310_backup_merge_mml_sm_in_patient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milscm_2023_009.sny_202310_backup_merge_mml_sm_in_patient;</v>
      </c>
      <c r="O10" s="78"/>
      <c r="P10" s="78"/>
      <c r="Q10" s="78"/>
      <c r="R10" s="78"/>
      <c r="S10" s="78"/>
      <c r="T10" s="78"/>
      <c r="AJ10" s="78" t="str">
        <f>"ALTER TABLE ONLY "&amp;エンティティ一覧!$O$2&amp;"."&amp;D$8</f>
        <v>ALTER TABLE ONLY milscm_2023_009.sny_202310_backup_merge_mml_sm_in_patient</v>
      </c>
      <c r="AS10" s="78" t="str">
        <f>"ALTER TABLE "&amp;エンティティ一覧!$O$2&amp;"."&amp;D$8&amp;" OWNER TO pgmisgrp1;"</f>
        <v>ALTER TABLE milscm_2023_009.sny_202310_backup_merge_mml_sm_in_patient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milscm_2023_009.sny_202310_backup_merge_mml_sm_in_patient</v>
      </c>
      <c r="O11" s="78"/>
      <c r="P11" s="78"/>
      <c r="Q11" s="78"/>
      <c r="R11" s="78"/>
      <c r="S11" s="78"/>
      <c r="T11" s="78"/>
      <c r="AJ11" s="78" t="str">
        <f>"ADD CONSTRAINT "&amp;D$8&amp;"_pkey PRIMARY KEY"</f>
        <v>ADD CONSTRAINT sny_202310_backup_merge_mml_sm_in_patient_pkey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milscm_2023_009.sny_202310_backup_merge_mml_sm_in_patient.mil_karute_id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milscm_2023_009.sny_202310_backup_merge_mml_sm_in_patient.facility_id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milscm_2023_009.sny_202310_backup_merge_mml_sm_in_patient.data_type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milscm_2023_009.sny_202310_backup_merge_mml_sm_in_patient.master_id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milscm_2023_009.sny_202310_backup_merge_mml_sm_in_patient.nyuin_seq IS '個々の入院歴SEQ';</v>
      </c>
    </row>
    <row r="22" spans="1:52" s="25" customFormat="1" ht="34.799999999999997">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milscm_2023_009.sny_202310_backup_merge_mml_sm_in_patient.nyuin_ymd IS '入院（転入）日';</v>
      </c>
    </row>
    <row r="23" spans="1:52" s="25" customFormat="1" ht="34.799999999999997">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milscm_2023_009.sny_202310_backup_merge_mml_sm_in_patient.nyuin_state IS '入院時状態';</v>
      </c>
    </row>
    <row r="24" spans="1:52" s="25" customFormat="1" ht="52.2">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milscm_2023_009.sny_202310_backup_merge_mml_sm_in_patient.emergency_nyuin_flag IS '緊急入院フラグ';</v>
      </c>
    </row>
    <row r="25" spans="1:52" s="25" customFormat="1" ht="87">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milscm_2023_009.sny_202310_backup_merge_mml_sm_in_patient.shokai_moto_facility IS '紹介元施設';</v>
      </c>
    </row>
    <row r="26" spans="1:52" s="25" customFormat="1" ht="34.799999999999997">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milscm_2023_009.sny_202310_backup_merge_mml_sm_in_patient.taiin_ymd IS '退院（転出）日';</v>
      </c>
    </row>
    <row r="27" spans="1:52" s="25" customFormat="1" ht="34.799999999999997">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milscm_2023_009.sny_202310_backup_merge_mml_sm_in_patient.taiin_state IS '退院時状態';</v>
      </c>
    </row>
    <row r="28" spans="1:52" s="25" customFormat="1" ht="52.2">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milscm_2023_009.sny_202310_backup_merge_mml_sm_in_patient.taiin_tenki IS '退院時転帰';</v>
      </c>
    </row>
    <row r="29" spans="1:52" s="25" customFormat="1" ht="87.6"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ENT_01_C4-29</v>
      </c>
      <c r="E6" s="251"/>
      <c r="F6" s="251"/>
      <c r="G6" s="251"/>
      <c r="H6" s="251"/>
      <c r="I6" s="251"/>
      <c r="J6" s="252"/>
    </row>
    <row r="7" spans="1:45">
      <c r="B7" s="240" t="s">
        <v>115</v>
      </c>
      <c r="C7" s="241"/>
      <c r="D7" s="242" t="s">
        <v>1539</v>
      </c>
      <c r="E7" s="243"/>
      <c r="F7" s="243"/>
      <c r="G7" s="243"/>
      <c r="H7" s="243"/>
      <c r="I7" s="243"/>
      <c r="J7" s="244"/>
    </row>
    <row r="8" spans="1:45">
      <c r="B8" s="240" t="s">
        <v>116</v>
      </c>
      <c r="C8" s="241"/>
      <c r="D8" s="242" t="str">
        <f>エンティティ一覧!AE2&amp;"_"&amp;D5&amp;"_merge_mml_sm_clinical_course"</f>
        <v>sny_202310_backup_merge_mml_sm_clinical_course</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milscm_2023_009.sny_202310_backup_merge_mml_sm_clinical_course;</v>
      </c>
      <c r="O10" s="78"/>
      <c r="P10" s="78"/>
      <c r="Q10" s="78"/>
      <c r="R10" s="78"/>
      <c r="S10" s="78"/>
      <c r="T10" s="78"/>
      <c r="AJ10" s="78" t="str">
        <f>"ALTER TABLE ONLY "&amp;エンティティ一覧!$O$2&amp;"."&amp;D$8</f>
        <v>ALTER TABLE ONLY milscm_2023_009.sny_202310_backup_merge_mml_sm_clinical_course</v>
      </c>
      <c r="AS10" s="78" t="str">
        <f>"ALTER TABLE "&amp;エンティティ一覧!$O$2&amp;"."&amp;D$8&amp;" OWNER TO pgmisgrp1;"</f>
        <v>ALTER TABLE milscm_2023_009.sny_202310_backup_merge_mml_sm_clinical_course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milscm_2023_009.sny_202310_backup_merge_mml_sm_clinical_course</v>
      </c>
      <c r="O11" s="78"/>
      <c r="P11" s="78"/>
      <c r="Q11" s="78"/>
      <c r="R11" s="78"/>
      <c r="S11" s="78"/>
      <c r="T11" s="78"/>
      <c r="AJ11" s="78" t="str">
        <f>"ADD CONSTRAINT "&amp;D$8&amp;"_pkey PRIMARY KEY"</f>
        <v>ADD CONSTRAINT sny_202310_backup_merge_mml_sm_clinical_course_pkey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milscm_2023_009.sny_202310_backup_merge_mml_sm_clinical_course.mil_karute_id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milscm_2023_009.sny_202310_backup_merge_mml_sm_clinical_course.facility_id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milscm_2023_009.sny_202310_backup_merge_mml_sm_clinical_course.data_type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milscm_2023_009.sny_202310_backup_merge_mml_sm_clinical_course.master_id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milscm_2023_009.sny_202310_backup_merge_mml_sm_clinical_course.keika_seq IS '経過記録SEQ';</v>
      </c>
    </row>
    <row r="22" spans="1:52" s="25" customFormat="1" ht="34.799999999999997">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milscm_2023_009.sny_202310_backup_merge_mml_sm_clinical_course.keika_kiroku IS '経過記録';</v>
      </c>
    </row>
    <row r="23" spans="1:52" s="25" customFormat="1" ht="34.799999999999997">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milscm_2023_009.sny_202310_backup_merge_mml_sm_clinical_course.event_date IS 'イベント発生日時';</v>
      </c>
    </row>
    <row r="24" spans="1:52" s="25" customFormat="1" ht="52.2">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milscm_2023_009.sny_202310_backup_merge_mml_sm_clinical_course.kanren_doc_uid IS '関連文書のuid';</v>
      </c>
    </row>
    <row r="25" spans="1:52" s="25" customFormat="1" ht="70.2"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ENT_01_C4-30</v>
      </c>
      <c r="E6" s="251"/>
      <c r="F6" s="251"/>
      <c r="G6" s="251"/>
      <c r="H6" s="251"/>
      <c r="I6" s="251"/>
      <c r="J6" s="252"/>
    </row>
    <row r="7" spans="1:45">
      <c r="B7" s="240" t="s">
        <v>115</v>
      </c>
      <c r="C7" s="241"/>
      <c r="D7" s="242" t="s">
        <v>1554</v>
      </c>
      <c r="E7" s="243"/>
      <c r="F7" s="243"/>
      <c r="G7" s="243"/>
      <c r="H7" s="243"/>
      <c r="I7" s="243"/>
      <c r="J7" s="244"/>
    </row>
    <row r="8" spans="1:45">
      <c r="B8" s="240" t="s">
        <v>116</v>
      </c>
      <c r="C8" s="241"/>
      <c r="D8" s="242" t="str">
        <f>エンティティ一覧!AE2&amp;"_"&amp;D5&amp;"_merge_mml_sm_test_results"</f>
        <v>sny_202310_backup_merge_mml_sm_test_results</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milscm_2023_009.sny_202310_backup_merge_mml_sm_test_results;</v>
      </c>
      <c r="O10" s="78"/>
      <c r="P10" s="78"/>
      <c r="Q10" s="78"/>
      <c r="R10" s="78"/>
      <c r="S10" s="78"/>
      <c r="T10" s="78"/>
      <c r="AJ10" s="78" t="str">
        <f>"ALTER TABLE ONLY "&amp;エンティティ一覧!$O$2&amp;"."&amp;D$8</f>
        <v>ALTER TABLE ONLY milscm_2023_009.sny_202310_backup_merge_mml_sm_test_results</v>
      </c>
      <c r="AS10" s="78" t="str">
        <f>"ALTER TABLE "&amp;エンティティ一覧!$O$2&amp;"."&amp;D$8&amp;" OWNER TO pgmisgrp1;"</f>
        <v>ALTER TABLE milscm_2023_009.sny_202310_backup_merge_mml_sm_test_results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milscm_2023_009.sny_202310_backup_merge_mml_sm_test_results</v>
      </c>
      <c r="O11" s="78"/>
      <c r="P11" s="78"/>
      <c r="Q11" s="78"/>
      <c r="R11" s="78"/>
      <c r="S11" s="78"/>
      <c r="T11" s="78"/>
      <c r="AJ11" s="78" t="str">
        <f>"ADD CONSTRAINT "&amp;D$8&amp;"_pkey PRIMARY KEY"</f>
        <v>ADD CONSTRAINT sny_202310_backup_merge_mml_sm_test_results_pkey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milscm_2023_009.sny_202310_backup_merge_mml_sm_test_results.mil_karute_id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milscm_2023_009.sny_202310_backup_merge_mml_sm_test_results.facility_id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milscm_2023_009.sny_202310_backup_merge_mml_sm_test_results.data_type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milscm_2023_009.sny_202310_backup_merge_mml_sm_test_results.master_id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milscm_2023_009.sny_202310_backup_merge_mml_sm_test_results.kensa_seq IS '個々の検査結果SEQ';</v>
      </c>
    </row>
    <row r="22" spans="1:52" s="25" customFormat="1" ht="34.799999999999997">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milscm_2023_009.sny_202310_backup_merge_mml_sm_test_results.kensa_result_value IS '個々の検査結果';</v>
      </c>
    </row>
    <row r="23" spans="1:52" s="25" customFormat="1" ht="35.4"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ENT_01_C4-31</v>
      </c>
      <c r="E6" s="251"/>
      <c r="F6" s="251"/>
      <c r="G6" s="251"/>
      <c r="H6" s="251"/>
      <c r="I6" s="251"/>
      <c r="J6" s="252"/>
    </row>
    <row r="7" spans="1:45">
      <c r="B7" s="240" t="s">
        <v>115</v>
      </c>
      <c r="C7" s="241"/>
      <c r="D7" s="242" t="s">
        <v>1563</v>
      </c>
      <c r="E7" s="243"/>
      <c r="F7" s="243"/>
      <c r="G7" s="243"/>
      <c r="H7" s="243"/>
      <c r="I7" s="243"/>
      <c r="J7" s="244"/>
    </row>
    <row r="8" spans="1:45">
      <c r="B8" s="240" t="s">
        <v>116</v>
      </c>
      <c r="C8" s="241"/>
      <c r="D8" s="242" t="str">
        <f>エンティティ一覧!AE2&amp;"_"&amp;D5&amp;"_merge_mml_lb_test"</f>
        <v>sny_202310_backup_merge_mml_lb_test</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milscm_2023_009.sny_202310_backup_merge_mml_lb_test;</v>
      </c>
      <c r="O10" s="78"/>
      <c r="P10" s="78"/>
      <c r="Q10" s="78"/>
      <c r="R10" s="78"/>
      <c r="S10" s="78"/>
      <c r="T10" s="78"/>
      <c r="AJ10" s="78" t="str">
        <f>"ALTER TABLE ONLY "&amp;エンティティ一覧!$O$2&amp;"."&amp;D$8</f>
        <v>ALTER TABLE ONLY milscm_2023_009.sny_202310_backup_merge_mml_lb_test</v>
      </c>
      <c r="AS10" s="78" t="str">
        <f>"ALTER TABLE "&amp;エンティティ一覧!$O$2&amp;"."&amp;D$8&amp;" OWNER TO pgmisgrp1;"</f>
        <v>ALTER TABLE milscm_2023_009.sny_202310_backup_merge_mml_lb_test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milscm_2023_009.sny_202310_backup_merge_mml_lb_test</v>
      </c>
      <c r="O11" s="78"/>
      <c r="P11" s="78"/>
      <c r="Q11" s="78"/>
      <c r="R11" s="78"/>
      <c r="S11" s="78"/>
      <c r="T11" s="78"/>
      <c r="AJ11" s="78" t="str">
        <f>"ADD CONSTRAINT "&amp;D$8&amp;"_pkey PRIMARY KEY"</f>
        <v>ADD CONSTRAINT sny_202310_backup_merge_mml_lb_test_pkey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milscm_2023_009.sny_202310_backup_merge_mml_lb_test.mil_karute_id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milscm_2023_009.sny_202310_backup_merge_mml_lb_test.facility_id IS '施設ID';</v>
      </c>
    </row>
    <row r="16" spans="1:45" s="25" customFormat="1" ht="69.599999999999994">
      <c r="A16" s="4"/>
      <c r="B16" s="21">
        <f t="shared" si="2"/>
        <v>4</v>
      </c>
      <c r="C16" s="13" t="s">
        <v>1262</v>
      </c>
      <c r="D16" s="13" t="s">
        <v>1263</v>
      </c>
      <c r="E16" s="7"/>
      <c r="F16" s="7" t="s">
        <v>867</v>
      </c>
      <c r="G16" s="7" t="str">
        <f t="shared" ref="G16:G20" si="7">IF(F16="フラグ","boolean",IF(F16="文字列","text",IF(F16="整数","integer",IF(F16="実数","numeric",""))))</f>
        <v>text</v>
      </c>
      <c r="H16" s="58"/>
      <c r="I16" s="23" t="s">
        <v>127</v>
      </c>
      <c r="J16" s="24" t="s">
        <v>1331</v>
      </c>
      <c r="M16" s="4"/>
      <c r="N16" s="78"/>
      <c r="O16" s="78"/>
      <c r="P16" s="78" t="str">
        <f t="shared" ref="P16:P20" si="8">IF(B16&lt;&gt;1,","&amp;D16,D16)</f>
        <v>,shinryo_ymd</v>
      </c>
      <c r="Q16" s="78" t="str">
        <f t="shared" ref="Q16:Q20" si="9">UPPER(G16)</f>
        <v>TEXT</v>
      </c>
      <c r="R16" s="78" t="str">
        <f t="shared" ref="R16:R20" si="10">IF(H16&lt;&gt;"","default "&amp;IF(G16="text","'"&amp;H16&amp;"'",H16),"")</f>
        <v/>
      </c>
      <c r="S16" s="78" t="str">
        <f t="shared" ref="S16:S20" si="11">IF(I16="○","NOT NULL","")</f>
        <v>NOT NULL</v>
      </c>
      <c r="T16" s="78" t="str">
        <f t="shared" ref="T16:T20" si="12">"-- "&amp;C16</f>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1320</v>
      </c>
      <c r="D17" s="13" t="s">
        <v>208</v>
      </c>
      <c r="E17" s="7"/>
      <c r="F17" s="7" t="s">
        <v>867</v>
      </c>
      <c r="G17" s="7" t="str">
        <f t="shared" si="7"/>
        <v>text</v>
      </c>
      <c r="H17" s="58" t="s">
        <v>1305</v>
      </c>
      <c r="I17" s="23" t="s">
        <v>127</v>
      </c>
      <c r="J17" s="24" t="s">
        <v>1306</v>
      </c>
      <c r="M17" s="4"/>
      <c r="N17" s="78"/>
      <c r="O17" s="78"/>
      <c r="P17" s="78" t="str">
        <f t="shared" si="8"/>
        <v>,data_type</v>
      </c>
      <c r="Q17" s="78" t="str">
        <f t="shared" si="9"/>
        <v>TEXT</v>
      </c>
      <c r="R17" s="78" t="str">
        <f t="shared" si="10"/>
        <v>default 'MML'</v>
      </c>
      <c r="S17" s="78" t="str">
        <f t="shared" si="11"/>
        <v>NOT NULL</v>
      </c>
      <c r="T17" s="78" t="str">
        <f t="shared" si="12"/>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milscm_2023_009.sny_202310_backup_merge_mml_lb_test.data_type IS 'データ種別';</v>
      </c>
    </row>
    <row r="18" spans="1:45" s="25" customFormat="1" ht="34.799999999999997">
      <c r="A18" s="4"/>
      <c r="B18" s="21">
        <f t="shared" si="2"/>
        <v>6</v>
      </c>
      <c r="C18" s="13" t="s">
        <v>1265</v>
      </c>
      <c r="D18" s="13" t="s">
        <v>1266</v>
      </c>
      <c r="E18" s="7" t="s">
        <v>127</v>
      </c>
      <c r="F18" s="7" t="s">
        <v>867</v>
      </c>
      <c r="G18" s="7" t="str">
        <f t="shared" si="7"/>
        <v>text</v>
      </c>
      <c r="H18" s="58"/>
      <c r="I18" s="23" t="s">
        <v>127</v>
      </c>
      <c r="J18" s="24" t="s">
        <v>1307</v>
      </c>
      <c r="M18" s="4"/>
      <c r="N18" s="78"/>
      <c r="O18" s="78"/>
      <c r="P18" s="78" t="str">
        <f t="shared" si="8"/>
        <v>,master_id</v>
      </c>
      <c r="Q18" s="78" t="str">
        <f t="shared" si="9"/>
        <v>TEXT</v>
      </c>
      <c r="R18" s="78" t="str">
        <f t="shared" si="10"/>
        <v/>
      </c>
      <c r="S18" s="78" t="str">
        <f t="shared" si="11"/>
        <v>NOT NULL</v>
      </c>
      <c r="T18" s="78" t="str">
        <f t="shared" si="12"/>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milscm_2023_009.sny_202310_backup_merge_mml_lb_test.master_id IS '患者ID';</v>
      </c>
    </row>
    <row r="19" spans="1:45" s="25" customFormat="1" ht="34.799999999999997">
      <c r="A19" s="4"/>
      <c r="B19" s="21">
        <f t="shared" si="2"/>
        <v>7</v>
      </c>
      <c r="C19" s="13" t="s">
        <v>1267</v>
      </c>
      <c r="D19" s="13" t="s">
        <v>1268</v>
      </c>
      <c r="E19" s="7" t="s">
        <v>127</v>
      </c>
      <c r="F19" s="7" t="s">
        <v>867</v>
      </c>
      <c r="G19" s="7" t="str">
        <f t="shared" si="7"/>
        <v>text</v>
      </c>
      <c r="H19" s="58"/>
      <c r="I19" s="23" t="s">
        <v>127</v>
      </c>
      <c r="J19" s="24" t="s">
        <v>1308</v>
      </c>
      <c r="M19" s="4"/>
      <c r="N19" s="78"/>
      <c r="O19" s="78"/>
      <c r="P19" s="78" t="str">
        <f t="shared" si="8"/>
        <v>,uid</v>
      </c>
      <c r="Q19" s="78" t="str">
        <f t="shared" si="9"/>
        <v>TEXT</v>
      </c>
      <c r="R19" s="78" t="str">
        <f t="shared" si="10"/>
        <v/>
      </c>
      <c r="S19" s="78" t="str">
        <f t="shared" si="11"/>
        <v>NOT NULL</v>
      </c>
      <c r="T19" s="78" t="str">
        <f t="shared" si="12"/>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1564</v>
      </c>
      <c r="D20" s="13" t="s">
        <v>1565</v>
      </c>
      <c r="E20" s="7" t="s">
        <v>127</v>
      </c>
      <c r="F20" s="7" t="s">
        <v>204</v>
      </c>
      <c r="G20" s="7" t="str">
        <f t="shared" si="7"/>
        <v>integer</v>
      </c>
      <c r="H20" s="58"/>
      <c r="I20" s="23" t="s">
        <v>127</v>
      </c>
      <c r="J20" s="24" t="s">
        <v>1602</v>
      </c>
      <c r="M20" s="4"/>
      <c r="N20" s="78"/>
      <c r="O20" s="78"/>
      <c r="P20" s="78" t="str">
        <f t="shared" si="8"/>
        <v>,kenreki_seq</v>
      </c>
      <c r="Q20" s="78" t="str">
        <f t="shared" si="9"/>
        <v>INTEGER</v>
      </c>
      <c r="R20" s="78" t="str">
        <f t="shared" si="10"/>
        <v/>
      </c>
      <c r="S20" s="78" t="str">
        <f t="shared" si="11"/>
        <v>NOT NULL</v>
      </c>
      <c r="T20" s="78" t="str">
        <f t="shared" si="12"/>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milscm_2023_009.sny_202310_backup_merge_mml_lb_test.irai_id IS '依頼ID';</v>
      </c>
    </row>
    <row r="22" spans="1:45" s="25" customFormat="1" ht="52.2">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milscm_2023_009.sny_202310_backup_merge_mml_lb_test.sample_time IS '採取日時';</v>
      </c>
    </row>
    <row r="23" spans="1:45" s="25" customFormat="1" ht="34.799999999999997">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milscm_2023_009.sny_202310_backup_merge_mml_lb_test.uketsuke_time IS '受付日時';</v>
      </c>
    </row>
    <row r="24" spans="1:45" s="25" customFormat="1" ht="34.799999999999997">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milscm_2023_009.sny_202310_backup_merge_mml_lb_test.status IS '報告状態';</v>
      </c>
    </row>
    <row r="26" spans="1:45" s="25" customFormat="1" ht="52.2">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milscm_2023_009.sny_202310_backup_merge_mml_lb_test.set_name IS 'セット名';</v>
      </c>
    </row>
    <row r="28" spans="1:45" s="25" customFormat="1" ht="34.799999999999997">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milscm_2023_009.sny_202310_backup_merge_mml_lb_test.set_name_code IS 'セット名コード';</v>
      </c>
    </row>
    <row r="29" spans="1:45" s="25" customFormat="1" ht="34.799999999999997">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milscm_2023_009.sny_202310_backup_merge_mml_lb_test.irai_facility_code IS '依頼施設コード';</v>
      </c>
    </row>
    <row r="32" spans="1:45" s="25" customFormat="1" ht="34.799999999999997">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milscm_2023_009.sny_202310_backup_merge_mml_lb_test.irai_department IS '依頼診療科';</v>
      </c>
    </row>
    <row r="34" spans="1:52" s="25" customFormat="1" ht="34.799999999999997">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milscm_2023_009.sny_202310_backup_merge_mml_lb_test.irai_ward IS '依頼病棟';</v>
      </c>
    </row>
    <row r="36" spans="1:52" s="25" customFormat="1" ht="34.799999999999997">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milscm_2023_009.sny_202310_backup_merge_mml_lb_test.irai_ward_code IS '依頼病棟コード';</v>
      </c>
    </row>
    <row r="37" spans="1:52" s="25" customFormat="1" ht="34.799999999999997">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milscm_2023_009.sny_202310_backup_merge_mml_lb_test.irai_ward_code_id IS '依頼病棟コードID';</v>
      </c>
    </row>
    <row r="38" spans="1:52" s="25" customFormat="1" ht="18"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ENT_01_C4-33</v>
      </c>
      <c r="E6" s="251"/>
      <c r="F6" s="251"/>
      <c r="G6" s="251"/>
      <c r="H6" s="251"/>
      <c r="I6" s="251"/>
      <c r="J6" s="252"/>
    </row>
    <row r="7" spans="1:45">
      <c r="B7" s="240" t="s">
        <v>115</v>
      </c>
      <c r="C7" s="241"/>
      <c r="D7" s="242" t="s">
        <v>1621</v>
      </c>
      <c r="E7" s="243"/>
      <c r="F7" s="243"/>
      <c r="G7" s="243"/>
      <c r="H7" s="243"/>
      <c r="I7" s="243"/>
      <c r="J7" s="244"/>
    </row>
    <row r="8" spans="1:45">
      <c r="B8" s="240" t="s">
        <v>116</v>
      </c>
      <c r="C8" s="241"/>
      <c r="D8" s="242" t="str">
        <f>エンティティ一覧!AE2&amp;"_"&amp;D5&amp;"_merge_mml_lb_specimen"</f>
        <v>sny_202310_backup_merge_mml_lb_specimen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milscm_2023_009.sny_202310_backup_merge_mml_lb_specimen;</v>
      </c>
      <c r="O10" s="78"/>
      <c r="P10" s="78"/>
      <c r="Q10" s="78"/>
      <c r="R10" s="78"/>
      <c r="S10" s="78"/>
      <c r="T10" s="78"/>
      <c r="AJ10" s="78" t="str">
        <f>"ALTER TABLE ONLY "&amp;エンティティ一覧!$O$2&amp;"."&amp;D$8</f>
        <v>ALTER TABLE ONLY milscm_2023_009.sny_202310_backup_merge_mml_lb_specimen</v>
      </c>
      <c r="AS10" s="78" t="str">
        <f>"ALTER TABLE "&amp;エンティティ一覧!$O$2&amp;"."&amp;D$8&amp;" OWNER TO pgmisgrp1;"</f>
        <v>ALTER TABLE milscm_2023_009.sny_202310_backup_merge_mml_lb_specimen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milscm_2023_009.sny_202310_backup_merge_mml_lb_specimen</v>
      </c>
      <c r="O11" s="78"/>
      <c r="P11" s="78"/>
      <c r="Q11" s="78"/>
      <c r="R11" s="78"/>
      <c r="S11" s="78"/>
      <c r="T11" s="78"/>
      <c r="AJ11" s="78" t="str">
        <f>"ADD CONSTRAINT "&amp;D$8&amp;"_pkey PRIMARY KEY"</f>
        <v>ADD CONSTRAINT sny_202310_backup_merge_mml_lb_specimen_pkey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milscm_2023_009.sny_202310_backup_merge_mml_lb_specimen.mil_karute_id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milscm_2023_009.sny_202310_backup_merge_mml_lb_specimen.facility_id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milscm_2023_009.sny_202310_backup_merge_mml_lb_specimen.data_type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milscm_2023_009.sny_202310_backup_merge_mml_lb_specimen.master_id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milscm_2023_009.sny_202310_backup_merge_mml_lb_specimen.labo_test_seq IS '検体結果情報SEQ';</v>
      </c>
    </row>
    <row r="22" spans="1:52" s="25" customFormat="1" ht="69.599999999999994">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milscm_2023_009.sny_202310_backup_merge_mml_lb_specimen.specimen_name IS '検体材料';</v>
      </c>
    </row>
    <row r="24" spans="1:52" s="25" customFormat="1" ht="34.799999999999997">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milscm_2023_009.sny_202310_backup_merge_mml_lb_specimen.sp_code IS '検体材料コード';</v>
      </c>
    </row>
    <row r="25" spans="1:52" s="25" customFormat="1" ht="52.2">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milscm_2023_009.sny_202310_backup_merge_mml_lb_specimen.sp_code_id IS '検体材料コードのテーブル名';</v>
      </c>
    </row>
    <row r="26" spans="1:52" s="25" customFormat="1" ht="18"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ENT_01_C4-35</v>
      </c>
      <c r="E6" s="251"/>
      <c r="F6" s="251"/>
      <c r="G6" s="251"/>
      <c r="H6" s="251"/>
      <c r="I6" s="251"/>
      <c r="J6" s="252"/>
    </row>
    <row r="7" spans="1:45">
      <c r="B7" s="240" t="s">
        <v>115</v>
      </c>
      <c r="C7" s="241"/>
      <c r="D7" s="242" t="s">
        <v>1640</v>
      </c>
      <c r="E7" s="243"/>
      <c r="F7" s="243"/>
      <c r="G7" s="243"/>
      <c r="H7" s="243"/>
      <c r="I7" s="243"/>
      <c r="J7" s="244"/>
    </row>
    <row r="8" spans="1:45">
      <c r="B8" s="240" t="s">
        <v>116</v>
      </c>
      <c r="C8" s="241"/>
      <c r="D8" s="242" t="str">
        <f>エンティティ一覧!AE2&amp;"_"&amp;D5&amp;"_merge_mml_lb_item"</f>
        <v>sny_202310_backup_merge_mml_lb_item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milscm_2023_009.sny_202310_backup_merge_mml_lb_item;</v>
      </c>
      <c r="O10" s="78"/>
      <c r="P10" s="78"/>
      <c r="Q10" s="78"/>
      <c r="R10" s="78"/>
      <c r="S10" s="78"/>
      <c r="T10" s="78"/>
      <c r="AJ10" s="78" t="str">
        <f>"ALTER TABLE ONLY "&amp;エンティティ一覧!$O$2&amp;"."&amp;D$8</f>
        <v>ALTER TABLE ONLY milscm_2023_009.sny_202310_backup_merge_mml_lb_item</v>
      </c>
      <c r="AS10" s="78" t="str">
        <f>"ALTER TABLE "&amp;エンティティ一覧!$O$2&amp;"."&amp;D$8&amp;" OWNER TO pgmisgrp1;"</f>
        <v>ALTER TABLE milscm_2023_009.sny_202310_backup_merge_mml_lb_item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milscm_2023_009.sny_202310_backup_merge_mml_lb_item</v>
      </c>
      <c r="O11" s="78"/>
      <c r="P11" s="78"/>
      <c r="Q11" s="78"/>
      <c r="R11" s="78"/>
      <c r="S11" s="78"/>
      <c r="T11" s="78"/>
      <c r="AJ11" s="78" t="str">
        <f>"ADD CONSTRAINT "&amp;D$8&amp;"_pkey PRIMARY KEY"</f>
        <v>ADD CONSTRAINT sny_202310_backup_merge_mml_lb_item_pkey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milscm_2023_009.sny_202310_backup_merge_mml_lb_item.data_type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milscm_2023_009.sny_202310_backup_merge_mml_lb_item.master_id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milscm_2023_009.sny_202310_backup_merge_mml_lb_item.normal_value IS '文字列で示す基準値';</v>
      </c>
    </row>
    <row r="36" spans="1:52" s="25" customFormat="1" ht="52.2">
      <c r="A36" s="4"/>
      <c r="B36" s="21">
        <f t="shared" si="2"/>
        <v>24</v>
      </c>
      <c r="C36" s="13" t="s">
        <v>1669</v>
      </c>
      <c r="D36" s="13" t="s">
        <v>1670</v>
      </c>
      <c r="E36" s="7"/>
      <c r="F36" s="7" t="s">
        <v>867</v>
      </c>
      <c r="G36" s="7" t="str">
        <f t="shared" ref="G36:G37" si="7">IF(F36="フラグ","boolean",IF(F36="文字列","text",IF(F36="整数","integer",IF(F36="実数","numeric",""))))</f>
        <v>text</v>
      </c>
      <c r="H36" s="58"/>
      <c r="I36" s="23"/>
      <c r="J36" s="24" t="s">
        <v>1693</v>
      </c>
      <c r="M36" s="4"/>
      <c r="N36" s="78"/>
      <c r="O36" s="78"/>
      <c r="P36" s="78" t="str">
        <f t="shared" ref="P36:P37" si="8">IF(B36&lt;&gt;1,","&amp;D36,D36)</f>
        <v>,out_flag</v>
      </c>
      <c r="Q36" s="78" t="str">
        <f t="shared" ref="Q36:Q37" si="9">UPPER(G36)</f>
        <v>TEXT</v>
      </c>
      <c r="R36" s="78" t="str">
        <f t="shared" ref="R36:R37" si="10">IF(H36&lt;&gt;"","default "&amp;IF(G36="text","'"&amp;H36&amp;"'",H36),"")</f>
        <v/>
      </c>
      <c r="S36" s="78" t="str">
        <f t="shared" ref="S36:S37" si="11">IF(I36="○","NOT NULL","")</f>
        <v/>
      </c>
      <c r="T36" s="78" t="str">
        <f t="shared" ref="T36:T37" si="12">"-- "&amp;C36</f>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1671</v>
      </c>
      <c r="D37" s="13" t="s">
        <v>276</v>
      </c>
      <c r="E37" s="7"/>
      <c r="F37" s="7" t="s">
        <v>867</v>
      </c>
      <c r="G37" s="7" t="str">
        <f t="shared" si="7"/>
        <v>text</v>
      </c>
      <c r="H37" s="58"/>
      <c r="I37" s="23"/>
      <c r="J37" s="24" t="s">
        <v>1694</v>
      </c>
      <c r="M37" s="4"/>
      <c r="N37" s="78"/>
      <c r="O37" s="78"/>
      <c r="P37" s="78" t="str">
        <f t="shared" si="8"/>
        <v>,unit</v>
      </c>
      <c r="Q37" s="78" t="str">
        <f t="shared" si="9"/>
        <v>TEXT</v>
      </c>
      <c r="R37" s="78" t="str">
        <f t="shared" si="10"/>
        <v/>
      </c>
      <c r="S37" s="78" t="str">
        <f t="shared" si="11"/>
        <v/>
      </c>
      <c r="T37" s="78" t="str">
        <f t="shared" si="12"/>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milscm_2023_009.sny_202310_backup_merge_mml_lb_item.unit IS '単位';</v>
      </c>
    </row>
    <row r="38" spans="1:52" s="25" customFormat="1" ht="34.799999999999997">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milscm_2023_009.sny_202310_backup_merge_mml_lb_item.unit_code IS '単位コード';</v>
      </c>
    </row>
    <row r="39" spans="1:52" s="25" customFormat="1" ht="34.799999999999997">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milscm_2023_009.sny_202310_backup_merge_mml_lb_item.unit_code_id IS '単位コードID';</v>
      </c>
    </row>
    <row r="40" spans="1:52" s="25" customFormat="1" ht="18"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ENT_01_C4-37</v>
      </c>
      <c r="E6" s="251"/>
      <c r="F6" s="251"/>
      <c r="G6" s="251"/>
      <c r="H6" s="251"/>
      <c r="I6" s="251"/>
      <c r="J6" s="252"/>
    </row>
    <row r="7" spans="1:45">
      <c r="B7" s="240" t="s">
        <v>115</v>
      </c>
      <c r="C7" s="241"/>
      <c r="D7" s="242" t="s">
        <v>1698</v>
      </c>
      <c r="E7" s="243"/>
      <c r="F7" s="243"/>
      <c r="G7" s="243"/>
      <c r="H7" s="243"/>
      <c r="I7" s="243"/>
      <c r="J7" s="244"/>
    </row>
    <row r="8" spans="1:45">
      <c r="B8" s="240" t="s">
        <v>116</v>
      </c>
      <c r="C8" s="241"/>
      <c r="D8" s="242" t="str">
        <f>エンティティ一覧!AE2&amp;"_"&amp;D5&amp;"_merge_mml_vs_vitalsign"</f>
        <v>sny_202310_backup_merge_mml_vs_vitalsign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milscm_2023_009.sny_202310_backup_merge_mml_vs_vitalsign;</v>
      </c>
      <c r="O10" s="78"/>
      <c r="P10" s="78"/>
      <c r="Q10" s="78"/>
      <c r="R10" s="78"/>
      <c r="S10" s="78"/>
      <c r="T10" s="78"/>
      <c r="AJ10" s="78" t="str">
        <f>"ALTER TABLE ONLY "&amp;エンティティ一覧!$O$2&amp;"."&amp;D$8</f>
        <v>ALTER TABLE ONLY milscm_2023_009.sny_202310_backup_merge_mml_vs_vitalsign</v>
      </c>
      <c r="AS10" s="78" t="str">
        <f>"ALTER TABLE "&amp;エンティティ一覧!$O$2&amp;"."&amp;D$8&amp;" OWNER TO pgmisgrp1;"</f>
        <v>ALTER TABLE milscm_2023_009.sny_202310_backup_merge_mml_vs_vitalsign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milscm_2023_009.sny_202310_backup_merge_mml_vs_vitalsign</v>
      </c>
      <c r="O11" s="78"/>
      <c r="P11" s="78"/>
      <c r="Q11" s="78"/>
      <c r="R11" s="78"/>
      <c r="S11" s="78"/>
      <c r="T11" s="78"/>
      <c r="AJ11" s="78" t="str">
        <f>"ADD CONSTRAINT "&amp;D$8&amp;"_pkey PRIMARY KEY"</f>
        <v>ADD CONSTRAINT sny_202310_backup_merge_mml_vs_vitalsign_pkey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milscm_2023_009.sny_202310_backup_merge_mml_vs_vitalsign.mil_karute_id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milscm_2023_009.sny_202310_backup_merge_mml_vs_vitalsign.facility_id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milscm_2023_009.sny_202310_backup_merge_mml_vs_vitalsign.data_type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milscm_2023_009.sny_202310_backup_merge_mml_vs_vitalsign.master_id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1701</v>
      </c>
      <c r="D21" s="13" t="s">
        <v>1702</v>
      </c>
      <c r="E21" s="7"/>
      <c r="F21" s="7" t="s">
        <v>867</v>
      </c>
      <c r="G21" s="7" t="str">
        <f t="shared" si="3"/>
        <v>text</v>
      </c>
      <c r="H21" s="58"/>
      <c r="I21" s="23"/>
      <c r="J21" s="24" t="s">
        <v>1723</v>
      </c>
      <c r="M21" s="4"/>
      <c r="N21" s="78"/>
      <c r="O21" s="78"/>
      <c r="P21" s="78" t="str">
        <f t="shared" si="4"/>
        <v>,department_name</v>
      </c>
      <c r="Q21" s="78" t="str">
        <f t="shared" si="0"/>
        <v>TEXT</v>
      </c>
      <c r="R21" s="78" t="str">
        <f t="shared" si="1"/>
        <v/>
      </c>
      <c r="S21" s="78" t="str">
        <f t="shared" si="5"/>
        <v/>
      </c>
      <c r="T21" s="78" t="str">
        <f t="shared" si="6"/>
        <v>-- 診療科名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milscm_2023_009.sny_202310_backup_merge_mml_vs_vitalsign.department_name IS '診療科名';</v>
      </c>
    </row>
    <row r="22" spans="1:45" s="25" customFormat="1" ht="34.799999999999997">
      <c r="A22" s="4"/>
      <c r="B22" s="21">
        <f t="shared" si="2"/>
        <v>10</v>
      </c>
      <c r="C22" s="13" t="s">
        <v>605</v>
      </c>
      <c r="D22" s="13" t="s">
        <v>1703</v>
      </c>
      <c r="E22" s="7"/>
      <c r="F22" s="7" t="s">
        <v>867</v>
      </c>
      <c r="G22" s="7" t="str">
        <f t="shared" si="3"/>
        <v>text</v>
      </c>
      <c r="H22" s="58"/>
      <c r="I22" s="23"/>
      <c r="J22" s="24" t="s">
        <v>1724</v>
      </c>
      <c r="M22" s="4"/>
      <c r="N22" s="78"/>
      <c r="O22" s="78"/>
      <c r="P22" s="78" t="str">
        <f t="shared" si="4"/>
        <v>,department_code</v>
      </c>
      <c r="Q22" s="78" t="str">
        <f t="shared" si="0"/>
        <v>TEXT</v>
      </c>
      <c r="R22" s="78" t="str">
        <f t="shared" si="1"/>
        <v/>
      </c>
      <c r="S22" s="78" t="str">
        <f t="shared" si="5"/>
        <v/>
      </c>
      <c r="T22" s="78" t="str">
        <f t="shared" si="6"/>
        <v>-- 診療科コード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1704</v>
      </c>
      <c r="D23" s="13" t="s">
        <v>1705</v>
      </c>
      <c r="E23" s="7"/>
      <c r="F23" s="7" t="s">
        <v>867</v>
      </c>
      <c r="G23" s="7" t="str">
        <f t="shared" si="3"/>
        <v>text</v>
      </c>
      <c r="H23" s="58"/>
      <c r="I23" s="23"/>
      <c r="J23" s="24" t="s">
        <v>1725</v>
      </c>
      <c r="M23" s="4"/>
      <c r="N23" s="78"/>
      <c r="O23" s="78"/>
      <c r="P23" s="78" t="str">
        <f t="shared" si="4"/>
        <v>,ward</v>
      </c>
      <c r="Q23" s="78" t="str">
        <f t="shared" si="0"/>
        <v>TEXT</v>
      </c>
      <c r="R23" s="78" t="str">
        <f t="shared" si="1"/>
        <v/>
      </c>
      <c r="S23" s="78" t="str">
        <f t="shared" si="5"/>
        <v/>
      </c>
      <c r="T23" s="78" t="str">
        <f t="shared" si="6"/>
        <v>-- 病棟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milscm_2023_009.sny_202310_backup_merge_mml_vs_vitalsign.ward IS '病棟';</v>
      </c>
    </row>
    <row r="24" spans="1:45" s="25" customFormat="1" ht="34.799999999999997">
      <c r="A24" s="4"/>
      <c r="B24" s="21">
        <f t="shared" si="2"/>
        <v>12</v>
      </c>
      <c r="C24" s="13" t="s">
        <v>238</v>
      </c>
      <c r="D24" s="13" t="s">
        <v>239</v>
      </c>
      <c r="E24" s="7"/>
      <c r="F24" s="7" t="s">
        <v>867</v>
      </c>
      <c r="G24" s="7" t="str">
        <f t="shared" si="3"/>
        <v>text</v>
      </c>
      <c r="H24" s="58"/>
      <c r="I24" s="23"/>
      <c r="J24" s="24" t="s">
        <v>1726</v>
      </c>
      <c r="M24" s="4"/>
      <c r="N24" s="78"/>
      <c r="O24" s="78"/>
      <c r="P24" s="78" t="str">
        <f t="shared" si="4"/>
        <v>,ward_code</v>
      </c>
      <c r="Q24" s="78" t="str">
        <f t="shared" si="0"/>
        <v>TEXT</v>
      </c>
      <c r="R24" s="78" t="str">
        <f t="shared" si="1"/>
        <v/>
      </c>
      <c r="S24" s="78" t="str">
        <f t="shared" si="5"/>
        <v/>
      </c>
      <c r="T24" s="78" t="str">
        <f t="shared" si="6"/>
        <v>-- 病棟コード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milscm_2023_009.sny_202310_backup_merge_mml_vs_vitalsign.ward_code IS '病棟コード';</v>
      </c>
    </row>
    <row r="25" spans="1:45" s="25" customFormat="1" ht="34.799999999999997">
      <c r="A25" s="4"/>
      <c r="B25" s="21">
        <f t="shared" si="2"/>
        <v>13</v>
      </c>
      <c r="C25" s="13" t="s">
        <v>1706</v>
      </c>
      <c r="D25" s="13" t="s">
        <v>1707</v>
      </c>
      <c r="E25" s="7"/>
      <c r="F25" s="7" t="s">
        <v>867</v>
      </c>
      <c r="G25" s="7" t="str">
        <f t="shared" si="3"/>
        <v>text</v>
      </c>
      <c r="H25" s="58"/>
      <c r="I25" s="23"/>
      <c r="J25" s="24" t="s">
        <v>1727</v>
      </c>
      <c r="M25" s="4"/>
      <c r="N25" s="78"/>
      <c r="O25" s="78"/>
      <c r="P25" s="78" t="str">
        <f t="shared" si="4"/>
        <v>,ward_code_id</v>
      </c>
      <c r="Q25" s="78" t="str">
        <f t="shared" si="0"/>
        <v>TEXT</v>
      </c>
      <c r="R25" s="78" t="str">
        <f t="shared" si="1"/>
        <v/>
      </c>
      <c r="S25" s="78" t="str">
        <f t="shared" si="5"/>
        <v/>
      </c>
      <c r="T25" s="78" t="str">
        <f t="shared" si="6"/>
        <v>-- 病棟コードID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milscm_2023_009.sny_202310_backup_merge_mml_vs_vitalsign.ward_code_id IS '病棟コードID';</v>
      </c>
    </row>
    <row r="26" spans="1:45" s="25" customFormat="1" ht="34.799999999999997">
      <c r="A26" s="4"/>
      <c r="B26" s="21">
        <f t="shared" si="2"/>
        <v>14</v>
      </c>
      <c r="C26" s="13" t="s">
        <v>1708</v>
      </c>
      <c r="D26" s="13" t="s">
        <v>1709</v>
      </c>
      <c r="E26" s="7"/>
      <c r="F26" s="7" t="s">
        <v>867</v>
      </c>
      <c r="G26" s="7" t="str">
        <f t="shared" si="3"/>
        <v>text</v>
      </c>
      <c r="H26" s="58"/>
      <c r="I26" s="23"/>
      <c r="J26" s="24" t="s">
        <v>1728</v>
      </c>
      <c r="M26" s="4"/>
      <c r="N26" s="78"/>
      <c r="O26" s="78"/>
      <c r="P26" s="78" t="str">
        <f t="shared" si="4"/>
        <v>,vital_sign_time</v>
      </c>
      <c r="Q26" s="78" t="str">
        <f t="shared" si="0"/>
        <v>TEXT</v>
      </c>
      <c r="R26" s="78" t="str">
        <f t="shared" si="1"/>
        <v/>
      </c>
      <c r="S26" s="78" t="str">
        <f t="shared" si="5"/>
        <v/>
      </c>
      <c r="T26" s="78" t="str">
        <f t="shared" si="6"/>
        <v>-- バイタルサインの計測時間</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1710</v>
      </c>
      <c r="D27" s="13" t="s">
        <v>1711</v>
      </c>
      <c r="E27" s="7"/>
      <c r="F27" s="7" t="s">
        <v>867</v>
      </c>
      <c r="G27" s="7" t="str">
        <f t="shared" si="3"/>
        <v>text</v>
      </c>
      <c r="H27" s="58"/>
      <c r="I27" s="23"/>
      <c r="J27" s="24" t="s">
        <v>1729</v>
      </c>
      <c r="M27" s="4"/>
      <c r="N27" s="78"/>
      <c r="O27" s="78"/>
      <c r="P27" s="78" t="str">
        <f t="shared" si="4"/>
        <v>,keisoku_tejun</v>
      </c>
      <c r="Q27" s="78" t="str">
        <f t="shared" si="0"/>
        <v>TEXT</v>
      </c>
      <c r="R27" s="78" t="str">
        <f t="shared" si="1"/>
        <v/>
      </c>
      <c r="S27" s="78" t="str">
        <f t="shared" si="5"/>
        <v/>
      </c>
      <c r="T27" s="78" t="str">
        <f t="shared" si="6"/>
        <v>-- 計測手順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1712</v>
      </c>
      <c r="D28" s="13" t="s">
        <v>1713</v>
      </c>
      <c r="E28" s="7"/>
      <c r="F28" s="7" t="s">
        <v>867</v>
      </c>
      <c r="G28" s="7" t="str">
        <f t="shared" si="3"/>
        <v>text</v>
      </c>
      <c r="H28" s="58"/>
      <c r="I28" s="23"/>
      <c r="J28" s="24" t="s">
        <v>1730</v>
      </c>
      <c r="M28" s="4"/>
      <c r="N28" s="78"/>
      <c r="O28" s="78"/>
      <c r="P28" s="78" t="str">
        <f t="shared" si="4"/>
        <v>,keisoku_device</v>
      </c>
      <c r="Q28" s="78" t="str">
        <f t="shared" si="0"/>
        <v>TEXT</v>
      </c>
      <c r="R28" s="78" t="str">
        <f t="shared" si="1"/>
        <v/>
      </c>
      <c r="S28" s="78" t="str">
        <f t="shared" si="5"/>
        <v/>
      </c>
      <c r="T28" s="78" t="str">
        <f t="shared" si="6"/>
        <v>-- 計測器具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1714</v>
      </c>
      <c r="D29" s="13" t="s">
        <v>1715</v>
      </c>
      <c r="E29" s="7"/>
      <c r="F29" s="7" t="s">
        <v>867</v>
      </c>
      <c r="G29" s="7" t="str">
        <f t="shared" si="3"/>
        <v>text</v>
      </c>
      <c r="H29" s="58"/>
      <c r="I29" s="23"/>
      <c r="J29" s="24" t="s">
        <v>1731</v>
      </c>
      <c r="M29" s="4"/>
      <c r="N29" s="78"/>
      <c r="O29" s="78"/>
      <c r="P29" s="78" t="str">
        <f t="shared" si="4"/>
        <v>,keisoku_bui</v>
      </c>
      <c r="Q29" s="78" t="str">
        <f t="shared" si="0"/>
        <v>TEXT</v>
      </c>
      <c r="R29" s="78" t="str">
        <f t="shared" si="1"/>
        <v/>
      </c>
      <c r="S29" s="78" t="str">
        <f t="shared" si="5"/>
        <v/>
      </c>
      <c r="T29" s="78" t="str">
        <f t="shared" si="6"/>
        <v>-- 計測部位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1716</v>
      </c>
      <c r="D30" s="13" t="s">
        <v>1717</v>
      </c>
      <c r="E30" s="7"/>
      <c r="F30" s="7" t="s">
        <v>867</v>
      </c>
      <c r="G30" s="7" t="str">
        <f t="shared" si="3"/>
        <v>text</v>
      </c>
      <c r="H30" s="58"/>
      <c r="I30" s="23"/>
      <c r="J30" s="24" t="s">
        <v>1732</v>
      </c>
      <c r="M30" s="4"/>
      <c r="N30" s="78"/>
      <c r="O30" s="78"/>
      <c r="P30" s="78" t="str">
        <f t="shared" si="4"/>
        <v>,keisoku_position</v>
      </c>
      <c r="Q30" s="78" t="str">
        <f t="shared" si="0"/>
        <v>TEXT</v>
      </c>
      <c r="R30" s="78" t="str">
        <f t="shared" si="1"/>
        <v/>
      </c>
      <c r="S30" s="78" t="str">
        <f t="shared" si="5"/>
        <v/>
      </c>
      <c r="T30" s="78" t="str">
        <f t="shared" si="6"/>
        <v>-- 計測時体位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milscm_2023_009.sny_202310_backup_merge_mml_vs_vitalsign.keisoku_position IS '計測時体位';</v>
      </c>
    </row>
    <row r="31" spans="1:45" s="25" customFormat="1" ht="30">
      <c r="A31" s="4"/>
      <c r="B31" s="21">
        <f t="shared" si="2"/>
        <v>19</v>
      </c>
      <c r="C31" s="13" t="s">
        <v>1718</v>
      </c>
      <c r="D31" s="13" t="s">
        <v>1719</v>
      </c>
      <c r="E31" s="7"/>
      <c r="F31" s="7" t="s">
        <v>867</v>
      </c>
      <c r="G31" s="7" t="str">
        <f t="shared" si="3"/>
        <v>text</v>
      </c>
      <c r="H31" s="58"/>
      <c r="I31" s="23"/>
      <c r="J31" s="24" t="s">
        <v>1733</v>
      </c>
      <c r="M31" s="4"/>
      <c r="N31" s="78"/>
      <c r="O31" s="78"/>
      <c r="P31" s="78" t="str">
        <f t="shared" si="4"/>
        <v>,keisoku_method_comment</v>
      </c>
      <c r="Q31" s="78" t="str">
        <f t="shared" si="0"/>
        <v>TEXT</v>
      </c>
      <c r="R31" s="78" t="str">
        <f t="shared" si="1"/>
        <v/>
      </c>
      <c r="S31" s="78" t="str">
        <f t="shared" si="5"/>
        <v/>
      </c>
      <c r="T31" s="78" t="str">
        <f t="shared" si="6"/>
        <v>-- 計測方法コメント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milscm_2023_009.sny_202310_backup_merge_mml_vs_vitalsign.keisoku_method_comment IS '計測方法コメント';</v>
      </c>
    </row>
    <row r="32" spans="1:45" s="25" customFormat="1" ht="18" thickBot="1">
      <c r="A32" s="4"/>
      <c r="B32" s="27">
        <f>ROW()-12</f>
        <v>20</v>
      </c>
      <c r="C32" s="57" t="s">
        <v>1720</v>
      </c>
      <c r="D32" s="57" t="s">
        <v>1721</v>
      </c>
      <c r="E32" s="56"/>
      <c r="F32" s="56" t="s">
        <v>867</v>
      </c>
      <c r="G32" s="56" t="str">
        <f t="shared" si="3"/>
        <v>text</v>
      </c>
      <c r="H32" s="59"/>
      <c r="I32" s="60"/>
      <c r="J32" s="64" t="s">
        <v>1734</v>
      </c>
      <c r="N32" s="78"/>
      <c r="O32" s="78"/>
      <c r="P32" s="78" t="str">
        <f t="shared" si="4"/>
        <v>,kiroku_comment</v>
      </c>
      <c r="Q32" s="78" t="str">
        <f t="shared" si="0"/>
        <v>TEXT</v>
      </c>
      <c r="R32" s="78" t="str">
        <f t="shared" si="1"/>
        <v/>
      </c>
      <c r="S32" s="78" t="str">
        <f t="shared" si="5"/>
        <v/>
      </c>
      <c r="T32" s="78" t="str">
        <f t="shared" si="6"/>
        <v>-- 記録コメント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milscm_2023_009.sny_202310_backup_merge_mml_vs_vitalsign.kiroku_comment IS '記録コメント';</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ENT_01_C4-38</v>
      </c>
      <c r="E6" s="251"/>
      <c r="F6" s="251"/>
      <c r="G6" s="251"/>
      <c r="H6" s="251"/>
      <c r="I6" s="251"/>
      <c r="J6" s="252"/>
    </row>
    <row r="7" spans="1:45">
      <c r="B7" s="240" t="s">
        <v>115</v>
      </c>
      <c r="C7" s="241"/>
      <c r="D7" s="242" t="s">
        <v>1735</v>
      </c>
      <c r="E7" s="243"/>
      <c r="F7" s="243"/>
      <c r="G7" s="243"/>
      <c r="H7" s="243"/>
      <c r="I7" s="243"/>
      <c r="J7" s="244"/>
    </row>
    <row r="8" spans="1:45">
      <c r="B8" s="240" t="s">
        <v>116</v>
      </c>
      <c r="C8" s="241"/>
      <c r="D8" s="242" t="str">
        <f>エンティティ一覧!AE2&amp;"_"&amp;D5&amp;"_merge_mml_vs_item"</f>
        <v>sny_202310_backup_merge_mml_vs_item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milscm_2023_009.sny_202310_backup_merge_mml_vs_item;</v>
      </c>
      <c r="O10" s="78"/>
      <c r="P10" s="78"/>
      <c r="Q10" s="78"/>
      <c r="R10" s="78"/>
      <c r="S10" s="78"/>
      <c r="T10" s="78"/>
      <c r="AJ10" s="78" t="str">
        <f>"ALTER TABLE ONLY "&amp;エンティティ一覧!$O$2&amp;"."&amp;D$8</f>
        <v>ALTER TABLE ONLY milscm_2023_009.sny_202310_backup_merge_mml_vs_item</v>
      </c>
      <c r="AS10" s="78" t="str">
        <f>"ALTER TABLE "&amp;エンティティ一覧!$O$2&amp;"."&amp;D$8&amp;" OWNER TO pgmisgrp1;"</f>
        <v>ALTER TABLE milscm_2023_009.sny_202310_backup_merge_mml_vs_item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milscm_2023_009.sny_202310_backup_merge_mml_vs_item</v>
      </c>
      <c r="O11" s="78"/>
      <c r="P11" s="78"/>
      <c r="Q11" s="78"/>
      <c r="R11" s="78"/>
      <c r="S11" s="78"/>
      <c r="T11" s="78"/>
      <c r="AJ11" s="78" t="str">
        <f>"ADD CONSTRAINT "&amp;D$8&amp;"_pkey PRIMARY KEY"</f>
        <v>ADD CONSTRAINT sny_202310_backup_merge_mml_vs_item_pkey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milscm_2023_009.sny_202310_backup_merge_mml_vs_item.data_type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milscm_2023_009.sny_202310_backup_merge_mml_vs_item.master_id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1736</v>
      </c>
      <c r="D21" s="13" t="s">
        <v>1737</v>
      </c>
      <c r="E21" s="7" t="s">
        <v>127</v>
      </c>
      <c r="F21" s="7" t="s">
        <v>204</v>
      </c>
      <c r="G21" s="7" t="str">
        <f t="shared" si="3"/>
        <v>integer</v>
      </c>
      <c r="H21" s="58"/>
      <c r="I21" s="23" t="s">
        <v>127</v>
      </c>
      <c r="J21" s="24" t="s">
        <v>1744</v>
      </c>
      <c r="M21" s="4"/>
      <c r="N21" s="78"/>
      <c r="O21" s="78"/>
      <c r="P21" s="78" t="str">
        <f t="shared" si="4"/>
        <v>,item_seq</v>
      </c>
      <c r="Q21" s="78" t="str">
        <f t="shared" si="0"/>
        <v>INTEGER</v>
      </c>
      <c r="R21" s="78" t="str">
        <f t="shared" si="1"/>
        <v/>
      </c>
      <c r="S21" s="78" t="str">
        <f t="shared" si="5"/>
        <v>NOT NULL</v>
      </c>
      <c r="T21" s="78" t="str">
        <f t="shared" si="6"/>
        <v>-- 項目SEQ</v>
      </c>
      <c r="U21" s="4"/>
      <c r="AA21" s="4"/>
      <c r="AB21" s="4"/>
      <c r="AC21" s="4"/>
      <c r="AD21" s="4"/>
      <c r="AE21" s="4"/>
      <c r="AF21" s="4"/>
      <c r="AG21" s="4"/>
      <c r="AH21" s="4"/>
      <c r="AI21" s="4"/>
      <c r="AJ21" s="78" t="str">
        <f>IF(E21="○",IF(COUNTA(E$13:E21)=1,"",",")&amp;D21,"")</f>
        <v>,item_seq</v>
      </c>
      <c r="AK21" s="4"/>
      <c r="AL21" s="4"/>
      <c r="AM21" s="4"/>
      <c r="AN21" s="4"/>
      <c r="AO21" s="4"/>
      <c r="AP21" s="4"/>
      <c r="AQ21" s="4"/>
      <c r="AR21" s="4"/>
      <c r="AS21" s="78" t="str">
        <f>"COMMENT ON COLUMN "&amp;エンティティ一覧!$O$2&amp;"."&amp;D$8&amp;"."&amp;D21&amp;" IS '"&amp;C21&amp;"';"</f>
        <v>COMMENT ON COLUMN milscm_2023_009.sny_202310_backup_merge_mml_vs_item.item_seq IS '項目SEQ';</v>
      </c>
    </row>
    <row r="22" spans="1:52" s="25" customFormat="1" ht="34.799999999999997">
      <c r="A22" s="4"/>
      <c r="B22" s="21">
        <f t="shared" si="2"/>
        <v>10</v>
      </c>
      <c r="C22" s="13" t="s">
        <v>1643</v>
      </c>
      <c r="D22" s="13" t="s">
        <v>1644</v>
      </c>
      <c r="E22" s="7"/>
      <c r="F22" s="7" t="s">
        <v>867</v>
      </c>
      <c r="G22" s="7" t="str">
        <f t="shared" si="3"/>
        <v>text</v>
      </c>
      <c r="H22" s="58"/>
      <c r="I22" s="23"/>
      <c r="J22" s="24" t="s">
        <v>1745</v>
      </c>
      <c r="M22" s="4"/>
      <c r="N22" s="78"/>
      <c r="O22" s="78"/>
      <c r="P22" s="78" t="str">
        <f t="shared" si="4"/>
        <v>,item_name</v>
      </c>
      <c r="Q22" s="78" t="str">
        <f t="shared" si="0"/>
        <v>TEXT</v>
      </c>
      <c r="R22" s="78" t="str">
        <f t="shared" si="1"/>
        <v/>
      </c>
      <c r="S22" s="78" t="str">
        <f t="shared" si="5"/>
        <v/>
      </c>
      <c r="T22" s="78" t="str">
        <f t="shared" si="6"/>
        <v>-- 項目名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milscm_2023_009.sny_202310_backup_merge_mml_vs_item.item_name IS '項目名';</v>
      </c>
    </row>
    <row r="23" spans="1:52" s="25" customFormat="1" ht="30">
      <c r="A23" s="4"/>
      <c r="B23" s="21">
        <f t="shared" si="2"/>
        <v>11</v>
      </c>
      <c r="C23" s="13" t="s">
        <v>1738</v>
      </c>
      <c r="D23" s="13" t="s">
        <v>1739</v>
      </c>
      <c r="E23" s="7"/>
      <c r="F23" s="7" t="s">
        <v>867</v>
      </c>
      <c r="G23" s="7" t="str">
        <f t="shared" si="3"/>
        <v>text</v>
      </c>
      <c r="H23" s="58"/>
      <c r="I23" s="23"/>
      <c r="J23" s="24" t="s">
        <v>1746</v>
      </c>
      <c r="M23" s="4"/>
      <c r="N23" s="78"/>
      <c r="O23" s="78"/>
      <c r="P23" s="78" t="str">
        <f t="shared" si="4"/>
        <v>,vital_sign_value</v>
      </c>
      <c r="Q23" s="78" t="str">
        <f t="shared" si="0"/>
        <v>TEXT</v>
      </c>
      <c r="R23" s="78" t="str">
        <f t="shared" si="1"/>
        <v/>
      </c>
      <c r="S23" s="78" t="str">
        <f t="shared" si="5"/>
        <v/>
      </c>
      <c r="T23" s="78" t="str">
        <f t="shared" si="6"/>
        <v>-- 文字列で表記されるバイタルサインの値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milscm_2023_009.sny_202310_backup_merge_mml_vs_item.vital_sign_value IS '文字列で表記されるバイタルサインの値';</v>
      </c>
    </row>
    <row r="24" spans="1:52" s="25" customFormat="1" ht="30">
      <c r="A24" s="4"/>
      <c r="B24" s="21">
        <f t="shared" si="2"/>
        <v>12</v>
      </c>
      <c r="C24" s="13" t="s">
        <v>1740</v>
      </c>
      <c r="D24" s="13" t="s">
        <v>1741</v>
      </c>
      <c r="E24" s="7"/>
      <c r="F24" s="7" t="s">
        <v>867</v>
      </c>
      <c r="G24" s="7" t="str">
        <f t="shared" si="3"/>
        <v>text</v>
      </c>
      <c r="H24" s="58"/>
      <c r="I24" s="23"/>
      <c r="J24" s="24" t="s">
        <v>1747</v>
      </c>
      <c r="M24" s="4"/>
      <c r="N24" s="78"/>
      <c r="O24" s="78"/>
      <c r="P24" s="78" t="str">
        <f t="shared" si="4"/>
        <v>,vital_sign_num_value</v>
      </c>
      <c r="Q24" s="78" t="str">
        <f t="shared" si="0"/>
        <v>TEXT</v>
      </c>
      <c r="R24" s="78" t="str">
        <f t="shared" si="1"/>
        <v/>
      </c>
      <c r="S24" s="78" t="str">
        <f t="shared" si="5"/>
        <v/>
      </c>
      <c r="T24" s="78" t="str">
        <f t="shared" si="6"/>
        <v>-- 数値で表記されるバイタルサインの値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milscm_2023_009.sny_202310_backup_merge_mml_vs_item.vital_sign_num_value IS '数値で表記されるバイタルサインの値';</v>
      </c>
    </row>
    <row r="25" spans="1:52" s="25" customFormat="1" ht="35.4" thickBot="1">
      <c r="A25" s="4"/>
      <c r="B25" s="27">
        <f>ROW()-12</f>
        <v>13</v>
      </c>
      <c r="C25" s="57" t="s">
        <v>1742</v>
      </c>
      <c r="D25" s="57" t="s">
        <v>1743</v>
      </c>
      <c r="E25" s="56"/>
      <c r="F25" s="56" t="s">
        <v>867</v>
      </c>
      <c r="G25" s="56" t="str">
        <f t="shared" si="3"/>
        <v>text</v>
      </c>
      <c r="H25" s="59"/>
      <c r="I25" s="60"/>
      <c r="J25" s="64" t="s">
        <v>1748</v>
      </c>
      <c r="N25" s="78"/>
      <c r="O25" s="78"/>
      <c r="P25" s="78" t="str">
        <f t="shared" si="4"/>
        <v>,vital_sign_unit</v>
      </c>
      <c r="Q25" s="78" t="str">
        <f t="shared" si="0"/>
        <v>TEXT</v>
      </c>
      <c r="R25" s="78" t="str">
        <f t="shared" si="1"/>
        <v/>
      </c>
      <c r="S25" s="78" t="str">
        <f t="shared" si="5"/>
        <v/>
      </c>
      <c r="T25" s="78" t="str">
        <f t="shared" si="6"/>
        <v>-- バイタルサインの単位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milscm_2023_009.sny_202310_backup_merge_mml_vs_item.vital_sign_unit IS 'バイタルサインの単位';</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ENT_01_C4-40</v>
      </c>
      <c r="E6" s="251"/>
      <c r="F6" s="251"/>
      <c r="G6" s="251"/>
      <c r="H6" s="251"/>
      <c r="I6" s="251"/>
      <c r="J6" s="252"/>
    </row>
    <row r="7" spans="1:45">
      <c r="B7" s="240" t="s">
        <v>115</v>
      </c>
      <c r="C7" s="241"/>
      <c r="D7" s="242" t="s">
        <v>1749</v>
      </c>
      <c r="E7" s="243"/>
      <c r="F7" s="243"/>
      <c r="G7" s="243"/>
      <c r="H7" s="243"/>
      <c r="I7" s="243"/>
      <c r="J7" s="244"/>
    </row>
    <row r="8" spans="1:45">
      <c r="B8" s="240" t="s">
        <v>116</v>
      </c>
      <c r="C8" s="241"/>
      <c r="D8" s="242" t="str">
        <f>エンティティ一覧!AE2&amp;"_"&amp;D5&amp;"_merge_mml_fs_vitalsign"</f>
        <v>sny_202310_backup_merge_mml_fs_vitalsign</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milscm_2023_009.sny_202310_backup_merge_mml_fs_vitalsign;</v>
      </c>
      <c r="O10" s="78"/>
      <c r="P10" s="78"/>
      <c r="Q10" s="78"/>
      <c r="R10" s="78"/>
      <c r="S10" s="78"/>
      <c r="T10" s="78"/>
      <c r="AJ10" s="78" t="str">
        <f>"ALTER TABLE ONLY "&amp;エンティティ一覧!$O$2&amp;"."&amp;D$8</f>
        <v>ALTER TABLE ONLY milscm_2023_009.sny_202310_backup_merge_mml_fs_vitalsign</v>
      </c>
      <c r="AS10" s="78" t="str">
        <f>"ALTER TABLE "&amp;エンティティ一覧!$O$2&amp;"."&amp;D$8&amp;" OWNER TO pgmisgrp1;"</f>
        <v>ALTER TABLE milscm_2023_009.sny_202310_backup_merge_mml_fs_vitalsign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milscm_2023_009.sny_202310_backup_merge_mml_fs_vitalsign</v>
      </c>
      <c r="O11" s="78"/>
      <c r="P11" s="78"/>
      <c r="Q11" s="78"/>
      <c r="R11" s="78"/>
      <c r="S11" s="78"/>
      <c r="T11" s="78"/>
      <c r="AJ11" s="78" t="str">
        <f>"ADD CONSTRAINT "&amp;D$8&amp;"_pkey PRIMARY KEY"</f>
        <v>ADD CONSTRAINT sny_202310_backup_merge_mml_fs_vitalsign_pkey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milscm_2023_009.sny_202310_backup_merge_mml_fs_vitalsign.mil_karute_id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milscm_2023_009.sny_202310_backup_merge_mml_fs_vitalsign.facility_id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milscm_2023_009.sny_202310_backup_merge_mml_fs_vitalsign.data_type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milscm_2023_009.sny_202310_backup_merge_mml_fs_vitalsign.master_id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1701</v>
      </c>
      <c r="D22" s="13" t="s">
        <v>1702</v>
      </c>
      <c r="E22" s="7"/>
      <c r="F22" s="7" t="s">
        <v>867</v>
      </c>
      <c r="G22" s="7" t="str">
        <f t="shared" si="3"/>
        <v>text</v>
      </c>
      <c r="H22" s="58"/>
      <c r="I22" s="23"/>
      <c r="J22" s="24" t="s">
        <v>1723</v>
      </c>
      <c r="M22" s="4"/>
      <c r="N22" s="78"/>
      <c r="O22" s="78"/>
      <c r="P22" s="78" t="str">
        <f t="shared" si="4"/>
        <v>,department_name</v>
      </c>
      <c r="Q22" s="78" t="str">
        <f t="shared" si="0"/>
        <v>TEXT</v>
      </c>
      <c r="R22" s="78" t="str">
        <f t="shared" si="1"/>
        <v/>
      </c>
      <c r="S22" s="78" t="str">
        <f t="shared" si="5"/>
        <v/>
      </c>
      <c r="T22" s="78" t="str">
        <f t="shared" si="6"/>
        <v>-- 診療科名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milscm_2023_009.sny_202310_backup_merge_mml_fs_vitalsign.department_name IS '診療科名';</v>
      </c>
    </row>
    <row r="23" spans="1:45" s="25" customFormat="1" ht="34.799999999999997">
      <c r="A23" s="4"/>
      <c r="B23" s="21">
        <f t="shared" si="2"/>
        <v>11</v>
      </c>
      <c r="C23" s="13" t="s">
        <v>605</v>
      </c>
      <c r="D23" s="13" t="s">
        <v>1703</v>
      </c>
      <c r="E23" s="7"/>
      <c r="F23" s="7" t="s">
        <v>867</v>
      </c>
      <c r="G23" s="7" t="str">
        <f t="shared" si="3"/>
        <v>text</v>
      </c>
      <c r="H23" s="58"/>
      <c r="I23" s="23"/>
      <c r="J23" s="24" t="s">
        <v>1724</v>
      </c>
      <c r="M23" s="4"/>
      <c r="N23" s="78"/>
      <c r="O23" s="78"/>
      <c r="P23" s="78" t="str">
        <f t="shared" si="4"/>
        <v>,department_code</v>
      </c>
      <c r="Q23" s="78" t="str">
        <f t="shared" si="0"/>
        <v>TEXT</v>
      </c>
      <c r="R23" s="78" t="str">
        <f t="shared" si="1"/>
        <v/>
      </c>
      <c r="S23" s="78" t="str">
        <f t="shared" si="5"/>
        <v/>
      </c>
      <c r="T23" s="78" t="str">
        <f t="shared" si="6"/>
        <v>-- 診療科コード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1704</v>
      </c>
      <c r="D24" s="13" t="s">
        <v>1705</v>
      </c>
      <c r="E24" s="7"/>
      <c r="F24" s="7" t="s">
        <v>867</v>
      </c>
      <c r="G24" s="7" t="str">
        <f t="shared" si="3"/>
        <v>text</v>
      </c>
      <c r="H24" s="58"/>
      <c r="I24" s="23"/>
      <c r="J24" s="24" t="s">
        <v>1725</v>
      </c>
      <c r="M24" s="4"/>
      <c r="N24" s="78"/>
      <c r="O24" s="78"/>
      <c r="P24" s="78" t="str">
        <f t="shared" si="4"/>
        <v>,ward</v>
      </c>
      <c r="Q24" s="78" t="str">
        <f t="shared" si="0"/>
        <v>TEXT</v>
      </c>
      <c r="R24" s="78" t="str">
        <f t="shared" si="1"/>
        <v/>
      </c>
      <c r="S24" s="78" t="str">
        <f t="shared" si="5"/>
        <v/>
      </c>
      <c r="T24" s="78" t="str">
        <f t="shared" si="6"/>
        <v>-- 病棟</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milscm_2023_009.sny_202310_backup_merge_mml_fs_vitalsign.ward IS '病棟';</v>
      </c>
    </row>
    <row r="25" spans="1:45" s="25" customFormat="1" ht="34.799999999999997">
      <c r="A25" s="4"/>
      <c r="B25" s="21">
        <f t="shared" si="2"/>
        <v>13</v>
      </c>
      <c r="C25" s="13" t="s">
        <v>238</v>
      </c>
      <c r="D25" s="13" t="s">
        <v>239</v>
      </c>
      <c r="E25" s="7"/>
      <c r="F25" s="7" t="s">
        <v>867</v>
      </c>
      <c r="G25" s="7" t="str">
        <f t="shared" si="3"/>
        <v>text</v>
      </c>
      <c r="H25" s="58"/>
      <c r="I25" s="23"/>
      <c r="J25" s="24" t="s">
        <v>1726</v>
      </c>
      <c r="M25" s="4"/>
      <c r="N25" s="78"/>
      <c r="O25" s="78"/>
      <c r="P25" s="78" t="str">
        <f t="shared" si="4"/>
        <v>,ward_code</v>
      </c>
      <c r="Q25" s="78" t="str">
        <f t="shared" si="0"/>
        <v>TEXT</v>
      </c>
      <c r="R25" s="78" t="str">
        <f t="shared" si="1"/>
        <v/>
      </c>
      <c r="S25" s="78" t="str">
        <f t="shared" si="5"/>
        <v/>
      </c>
      <c r="T25" s="78" t="str">
        <f t="shared" si="6"/>
        <v>-- 病棟コード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milscm_2023_009.sny_202310_backup_merge_mml_fs_vitalsign.ward_code IS '病棟コード';</v>
      </c>
    </row>
    <row r="26" spans="1:45" s="25" customFormat="1" ht="34.799999999999997">
      <c r="A26" s="4"/>
      <c r="B26" s="21">
        <f t="shared" si="2"/>
        <v>14</v>
      </c>
      <c r="C26" s="13" t="s">
        <v>1706</v>
      </c>
      <c r="D26" s="13" t="s">
        <v>1707</v>
      </c>
      <c r="E26" s="7"/>
      <c r="F26" s="7" t="s">
        <v>867</v>
      </c>
      <c r="G26" s="7" t="str">
        <f t="shared" si="3"/>
        <v>text</v>
      </c>
      <c r="H26" s="58"/>
      <c r="I26" s="23"/>
      <c r="J26" s="24" t="s">
        <v>1727</v>
      </c>
      <c r="M26" s="4"/>
      <c r="N26" s="78"/>
      <c r="O26" s="78"/>
      <c r="P26" s="78" t="str">
        <f t="shared" si="4"/>
        <v>,ward_code_id</v>
      </c>
      <c r="Q26" s="78" t="str">
        <f t="shared" si="0"/>
        <v>TEXT</v>
      </c>
      <c r="R26" s="78" t="str">
        <f t="shared" si="1"/>
        <v/>
      </c>
      <c r="S26" s="78" t="str">
        <f t="shared" si="5"/>
        <v/>
      </c>
      <c r="T26" s="78" t="str">
        <f t="shared" si="6"/>
        <v>-- 病棟コードID</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1708</v>
      </c>
      <c r="D27" s="13" t="s">
        <v>1709</v>
      </c>
      <c r="E27" s="7"/>
      <c r="F27" s="7" t="s">
        <v>867</v>
      </c>
      <c r="G27" s="7" t="str">
        <f t="shared" si="3"/>
        <v>text</v>
      </c>
      <c r="H27" s="58"/>
      <c r="I27" s="23"/>
      <c r="J27" s="24" t="s">
        <v>1317</v>
      </c>
      <c r="M27" s="4"/>
      <c r="N27" s="78"/>
      <c r="O27" s="78"/>
      <c r="P27" s="78" t="str">
        <f t="shared" si="4"/>
        <v>,vital_sign_time</v>
      </c>
      <c r="Q27" s="78" t="str">
        <f t="shared" si="0"/>
        <v>TEXT</v>
      </c>
      <c r="R27" s="78" t="str">
        <f t="shared" si="1"/>
        <v/>
      </c>
      <c r="S27" s="78" t="str">
        <f t="shared" si="5"/>
        <v/>
      </c>
      <c r="T27" s="78" t="str">
        <f t="shared" si="6"/>
        <v>-- バイタルサインの計測時間</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1710</v>
      </c>
      <c r="D28" s="13" t="s">
        <v>1711</v>
      </c>
      <c r="E28" s="7"/>
      <c r="F28" s="7" t="s">
        <v>867</v>
      </c>
      <c r="G28" s="7" t="str">
        <f t="shared" si="3"/>
        <v>text</v>
      </c>
      <c r="H28" s="58"/>
      <c r="I28" s="23"/>
      <c r="J28" s="24" t="s">
        <v>1729</v>
      </c>
      <c r="M28" s="4"/>
      <c r="N28" s="78"/>
      <c r="O28" s="78"/>
      <c r="P28" s="78" t="str">
        <f t="shared" si="4"/>
        <v>,keisoku_tejun</v>
      </c>
      <c r="Q28" s="78" t="str">
        <f t="shared" si="0"/>
        <v>TEXT</v>
      </c>
      <c r="R28" s="78" t="str">
        <f t="shared" si="1"/>
        <v/>
      </c>
      <c r="S28" s="78" t="str">
        <f t="shared" si="5"/>
        <v/>
      </c>
      <c r="T28" s="78" t="str">
        <f t="shared" si="6"/>
        <v>-- 計測手順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1712</v>
      </c>
      <c r="D29" s="13" t="s">
        <v>1713</v>
      </c>
      <c r="E29" s="7"/>
      <c r="F29" s="7" t="s">
        <v>867</v>
      </c>
      <c r="G29" s="7" t="str">
        <f t="shared" si="3"/>
        <v>text</v>
      </c>
      <c r="H29" s="58"/>
      <c r="I29" s="23"/>
      <c r="J29" s="24" t="s">
        <v>1730</v>
      </c>
      <c r="M29" s="4"/>
      <c r="N29" s="78"/>
      <c r="O29" s="78"/>
      <c r="P29" s="78" t="str">
        <f t="shared" si="4"/>
        <v>,keisoku_device</v>
      </c>
      <c r="Q29" s="78" t="str">
        <f t="shared" si="0"/>
        <v>TEXT</v>
      </c>
      <c r="R29" s="78" t="str">
        <f t="shared" si="1"/>
        <v/>
      </c>
      <c r="S29" s="78" t="str">
        <f t="shared" si="5"/>
        <v/>
      </c>
      <c r="T29" s="78" t="str">
        <f t="shared" si="6"/>
        <v>-- 計測器具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1714</v>
      </c>
      <c r="D30" s="13" t="s">
        <v>1715</v>
      </c>
      <c r="E30" s="7"/>
      <c r="F30" s="7" t="s">
        <v>867</v>
      </c>
      <c r="G30" s="7" t="str">
        <f t="shared" si="3"/>
        <v>text</v>
      </c>
      <c r="H30" s="58"/>
      <c r="I30" s="23"/>
      <c r="J30" s="24" t="s">
        <v>1731</v>
      </c>
      <c r="M30" s="4"/>
      <c r="N30" s="78"/>
      <c r="O30" s="78"/>
      <c r="P30" s="78" t="str">
        <f t="shared" si="4"/>
        <v>,keisoku_bui</v>
      </c>
      <c r="Q30" s="78" t="str">
        <f t="shared" si="0"/>
        <v>TEXT</v>
      </c>
      <c r="R30" s="78" t="str">
        <f t="shared" si="1"/>
        <v/>
      </c>
      <c r="S30" s="78" t="str">
        <f t="shared" si="5"/>
        <v/>
      </c>
      <c r="T30" s="78" t="str">
        <f t="shared" si="6"/>
        <v>-- 計測部位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1716</v>
      </c>
      <c r="D31" s="13" t="s">
        <v>1717</v>
      </c>
      <c r="E31" s="7"/>
      <c r="F31" s="7" t="s">
        <v>867</v>
      </c>
      <c r="G31" s="7" t="str">
        <f t="shared" si="3"/>
        <v>text</v>
      </c>
      <c r="H31" s="58"/>
      <c r="I31" s="23"/>
      <c r="J31" s="24" t="s">
        <v>1732</v>
      </c>
      <c r="M31" s="4"/>
      <c r="N31" s="78"/>
      <c r="O31" s="78"/>
      <c r="P31" s="78" t="str">
        <f t="shared" si="4"/>
        <v>,keisoku_position</v>
      </c>
      <c r="Q31" s="78" t="str">
        <f t="shared" si="0"/>
        <v>TEXT</v>
      </c>
      <c r="R31" s="78" t="str">
        <f t="shared" si="1"/>
        <v/>
      </c>
      <c r="S31" s="78" t="str">
        <f t="shared" si="5"/>
        <v/>
      </c>
      <c r="T31" s="78" t="str">
        <f t="shared" si="6"/>
        <v>-- 計測時体位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milscm_2023_009.sny_202310_backup_merge_mml_fs_vitalsign.keisoku_position IS '計測時体位';</v>
      </c>
    </row>
    <row r="32" spans="1:45" s="25" customFormat="1" ht="30">
      <c r="A32" s="4"/>
      <c r="B32" s="21">
        <f t="shared" si="2"/>
        <v>20</v>
      </c>
      <c r="C32" s="13" t="s">
        <v>1718</v>
      </c>
      <c r="D32" s="13" t="s">
        <v>1719</v>
      </c>
      <c r="E32" s="7"/>
      <c r="F32" s="7" t="s">
        <v>867</v>
      </c>
      <c r="G32" s="7" t="str">
        <f t="shared" si="3"/>
        <v>text</v>
      </c>
      <c r="H32" s="58"/>
      <c r="I32" s="23"/>
      <c r="J32" s="24" t="s">
        <v>1733</v>
      </c>
      <c r="M32" s="4"/>
      <c r="N32" s="78"/>
      <c r="O32" s="78"/>
      <c r="P32" s="78" t="str">
        <f t="shared" si="4"/>
        <v>,keisoku_method_comment</v>
      </c>
      <c r="Q32" s="78" t="str">
        <f t="shared" si="0"/>
        <v>TEXT</v>
      </c>
      <c r="R32" s="78" t="str">
        <f t="shared" si="1"/>
        <v/>
      </c>
      <c r="S32" s="78" t="str">
        <f t="shared" si="5"/>
        <v/>
      </c>
      <c r="T32" s="78" t="str">
        <f t="shared" si="6"/>
        <v>-- 計測方法コメント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milscm_2023_009.sny_202310_backup_merge_mml_fs_vitalsign.keisoku_method_comment IS '計測方法コメント';</v>
      </c>
    </row>
    <row r="33" spans="1:52" s="25" customFormat="1" ht="18" thickBot="1">
      <c r="A33" s="4"/>
      <c r="B33" s="27">
        <f>ROW()-12</f>
        <v>21</v>
      </c>
      <c r="C33" s="57" t="s">
        <v>1720</v>
      </c>
      <c r="D33" s="57" t="s">
        <v>1721</v>
      </c>
      <c r="E33" s="56"/>
      <c r="F33" s="56" t="s">
        <v>867</v>
      </c>
      <c r="G33" s="56" t="str">
        <f t="shared" si="3"/>
        <v>text</v>
      </c>
      <c r="H33" s="59"/>
      <c r="I33" s="60"/>
      <c r="J33" s="64" t="s">
        <v>1734</v>
      </c>
      <c r="N33" s="78"/>
      <c r="O33" s="78"/>
      <c r="P33" s="78" t="str">
        <f t="shared" si="4"/>
        <v>,kiroku_comment</v>
      </c>
      <c r="Q33" s="78" t="str">
        <f t="shared" si="0"/>
        <v>TEXT</v>
      </c>
      <c r="R33" s="78" t="str">
        <f t="shared" si="1"/>
        <v/>
      </c>
      <c r="S33" s="78" t="str">
        <f t="shared" si="5"/>
        <v/>
      </c>
      <c r="T33" s="78" t="str">
        <f t="shared" si="6"/>
        <v>-- 記録コメント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milscm_2023_009.sny_202310_backup_merge_mml_fs_vitalsign.kiroku_comment IS '記録コメント';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01</v>
      </c>
      <c r="E4" s="227"/>
      <c r="F4" s="227"/>
      <c r="G4" s="227"/>
      <c r="H4" s="227"/>
      <c r="I4" s="227"/>
      <c r="J4" s="228"/>
    </row>
    <row r="5" spans="1:45">
      <c r="B5" s="240" t="s">
        <v>3723</v>
      </c>
      <c r="C5" s="241"/>
      <c r="D5" s="250" t="str">
        <f>VLOOKUP(D7,エンティティ一覧!A1:'エンティティ一覧'!AM10147,7,FALSE)</f>
        <v>backup</v>
      </c>
      <c r="E5" s="251"/>
      <c r="F5" s="251"/>
      <c r="G5" s="251"/>
      <c r="H5" s="251"/>
      <c r="I5" s="251"/>
      <c r="J5" s="252"/>
    </row>
    <row r="6" spans="1:45">
      <c r="B6" s="240" t="s">
        <v>3724</v>
      </c>
      <c r="C6" s="241"/>
      <c r="D6" s="250" t="str">
        <f>VLOOKUP(D7,エンティティ一覧!A1:'エンティティ一覧'!AM10147,15,FALSE)</f>
        <v>ENT_01_C4-41</v>
      </c>
      <c r="E6" s="251"/>
      <c r="F6" s="251"/>
      <c r="G6" s="251"/>
      <c r="H6" s="251"/>
      <c r="I6" s="251"/>
      <c r="J6" s="252"/>
    </row>
    <row r="7" spans="1:45">
      <c r="B7" s="240" t="s">
        <v>115</v>
      </c>
      <c r="C7" s="241"/>
      <c r="D7" s="242" t="s">
        <v>1753</v>
      </c>
      <c r="E7" s="243"/>
      <c r="F7" s="243"/>
      <c r="G7" s="243"/>
      <c r="H7" s="243"/>
      <c r="I7" s="243"/>
      <c r="J7" s="244"/>
    </row>
    <row r="8" spans="1:45">
      <c r="B8" s="240" t="s">
        <v>116</v>
      </c>
      <c r="C8" s="241"/>
      <c r="D8" s="242" t="str">
        <f>エンティティ一覧!AE2&amp;"_"&amp;D5&amp;"_merge_mml_fs_item"</f>
        <v>sny_202310_backup_merge_mml_fs_item</v>
      </c>
      <c r="E8" s="243"/>
      <c r="F8" s="243"/>
      <c r="G8" s="243"/>
      <c r="H8" s="243"/>
      <c r="I8" s="243"/>
      <c r="J8" s="244"/>
    </row>
    <row r="9" spans="1:45" ht="19.5" customHeight="1" thickBot="1">
      <c r="B9" s="245" t="s">
        <v>117</v>
      </c>
      <c r="C9" s="246"/>
      <c r="D9" s="247"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milscm_2023_009.sny_202310_backup_merge_mml_fs_item;</v>
      </c>
      <c r="O10" s="78"/>
      <c r="P10" s="78"/>
      <c r="Q10" s="78"/>
      <c r="R10" s="78"/>
      <c r="S10" s="78"/>
      <c r="T10" s="78"/>
      <c r="AJ10" s="78" t="str">
        <f>"ALTER TABLE ONLY "&amp;エンティティ一覧!$O$2&amp;"."&amp;D$8</f>
        <v>ALTER TABLE ONLY milscm_2023_009.sny_202310_backup_merge_mml_fs_item</v>
      </c>
      <c r="AS10" s="78" t="str">
        <f>"ALTER TABLE "&amp;エンティティ一覧!$O$2&amp;"."&amp;D$8&amp;" OWNER TO pgmisgrp1;"</f>
        <v>ALTER TABLE milscm_2023_009.sny_202310_backup_merge_mml_fs_item OWNER TO pgmisgrp1;</v>
      </c>
    </row>
    <row r="11" spans="1:45" ht="18" thickBot="1">
      <c r="B11" s="20" t="s">
        <v>118</v>
      </c>
      <c r="C11" s="19"/>
      <c r="D11" s="5"/>
      <c r="E11" s="5"/>
      <c r="F11" s="5"/>
      <c r="G11" s="5"/>
      <c r="H11" s="5"/>
      <c r="I11" s="5"/>
      <c r="J11" s="18"/>
      <c r="N11" s="78" t="str">
        <f>"CREATE TABLE  "&amp;エンティティ一覧!$O$2&amp;"."&amp;D$8</f>
        <v>CREATE TABLE  milscm_2023_009.sny_202310_backup_merge_mml_fs_item</v>
      </c>
      <c r="O11" s="78"/>
      <c r="P11" s="78"/>
      <c r="Q11" s="78"/>
      <c r="R11" s="78"/>
      <c r="S11" s="78"/>
      <c r="T11" s="78"/>
      <c r="AJ11" s="78" t="str">
        <f>"ADD CONSTRAINT "&amp;D$8&amp;"_pkey PRIMARY KEY"</f>
        <v>ADD CONSTRAINT sny_202310_backup_merge_mml_fs_item_pkey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milscm_2023_009.sny_202310_backup_merge_mml_fs_item.data_type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milscm_2023_009.sny_202310_backup_merge_mml_fs_item.master_id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1754</v>
      </c>
      <c r="D22" s="13" t="s">
        <v>1737</v>
      </c>
      <c r="E22" s="7" t="s">
        <v>127</v>
      </c>
      <c r="F22" s="7" t="s">
        <v>204</v>
      </c>
      <c r="G22" s="7" t="str">
        <f t="shared" si="3"/>
        <v>integer</v>
      </c>
      <c r="H22" s="58"/>
      <c r="I22" s="23" t="s">
        <v>127</v>
      </c>
      <c r="J22" s="24"/>
      <c r="M22" s="4"/>
      <c r="N22" s="78"/>
      <c r="O22" s="78"/>
      <c r="P22" s="78" t="str">
        <f t="shared" si="4"/>
        <v>,item_seq</v>
      </c>
      <c r="Q22" s="78" t="str">
        <f t="shared" si="0"/>
        <v>INTEGER</v>
      </c>
      <c r="R22" s="78" t="str">
        <f t="shared" si="1"/>
        <v/>
      </c>
      <c r="S22" s="78" t="str">
        <f t="shared" si="5"/>
        <v>NOT NULL</v>
      </c>
      <c r="T22" s="78" t="str">
        <f t="shared" si="6"/>
        <v>-- 項目SEQ</v>
      </c>
      <c r="U22" s="4"/>
      <c r="AA22" s="4"/>
      <c r="AB22" s="4"/>
      <c r="AC22" s="4"/>
      <c r="AD22" s="4"/>
      <c r="AE22" s="4"/>
      <c r="AF22" s="4"/>
      <c r="AG22" s="4"/>
      <c r="AH22" s="4"/>
      <c r="AI22" s="4"/>
      <c r="AJ22" s="78" t="str">
        <f>IF(E22="○",IF(COUNTA(E$13:E22)=1,"",",")&amp;D22,"")</f>
        <v>,item_seq</v>
      </c>
      <c r="AK22" s="4"/>
      <c r="AL22" s="4"/>
      <c r="AM22" s="4"/>
      <c r="AN22" s="4"/>
      <c r="AO22" s="4"/>
      <c r="AP22" s="4"/>
      <c r="AQ22" s="4"/>
      <c r="AR22" s="4"/>
      <c r="AS22" s="78"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1643</v>
      </c>
      <c r="D23" s="13" t="s">
        <v>1644</v>
      </c>
      <c r="E23" s="7"/>
      <c r="F23" s="7" t="s">
        <v>867</v>
      </c>
      <c r="G23" s="7" t="str">
        <f t="shared" ref="G23" si="7">IF(F23="フラグ","boolean",IF(F23="文字列","text",IF(F23="整数","integer",IF(F23="実数","numeric",""))))</f>
        <v>text</v>
      </c>
      <c r="H23" s="58"/>
      <c r="I23" s="23"/>
      <c r="J23" s="24"/>
      <c r="M23" s="4"/>
      <c r="N23" s="78"/>
      <c r="O23" s="78"/>
      <c r="P23" s="78" t="str">
        <f t="shared" ref="P23" si="8">IF(B23&lt;&gt;1,","&amp;D23,D23)</f>
        <v>,item_name</v>
      </c>
      <c r="Q23" s="78" t="str">
        <f t="shared" ref="Q23" si="9">UPPER(G23)</f>
        <v>TEXT</v>
      </c>
      <c r="R23" s="78" t="str">
        <f t="shared" ref="R23" si="10">IF(H23&lt;&gt;"","default "&amp;IF(G23="text","'"&amp;H23&amp;"'",H23),"")</f>
        <v/>
      </c>
      <c r="S23" s="78" t="str">
        <f t="shared" ref="S23" si="11">IF(I23="○","NOT NULL","")</f>
        <v/>
      </c>
      <c r="T23" s="78" t="str">
        <f t="shared" ref="T23" si="12">"-- "&amp;C23</f>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milscm_2023_009.sny_202310_backup_merge_mml_fs_item.item_name IS '項目名';</v>
      </c>
    </row>
    <row r="24" spans="1:52" s="25" customFormat="1" ht="30">
      <c r="A24" s="4"/>
      <c r="B24" s="21">
        <f t="shared" si="2"/>
        <v>12</v>
      </c>
      <c r="C24" s="13" t="s">
        <v>1738</v>
      </c>
      <c r="D24" s="13" t="s">
        <v>1739</v>
      </c>
      <c r="E24" s="7"/>
      <c r="F24" s="7" t="s">
        <v>867</v>
      </c>
      <c r="G24" s="7" t="str">
        <f t="shared" si="3"/>
        <v>text</v>
      </c>
      <c r="H24" s="58"/>
      <c r="I24" s="23"/>
      <c r="J24" s="24"/>
      <c r="M24" s="4"/>
      <c r="N24" s="78"/>
      <c r="O24" s="78"/>
      <c r="P24" s="78" t="str">
        <f t="shared" si="4"/>
        <v>,vital_sign_value</v>
      </c>
      <c r="Q24" s="78" t="str">
        <f t="shared" si="0"/>
        <v>TEXT</v>
      </c>
      <c r="R24" s="78" t="str">
        <f t="shared" si="1"/>
        <v/>
      </c>
      <c r="S24" s="78" t="str">
        <f t="shared" si="5"/>
        <v/>
      </c>
      <c r="T24" s="78" t="str">
        <f t="shared" si="6"/>
        <v>-- 文字列で表記されるバイタルサインの値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milscm_2023_009.sny_202310_backup_merge_mml_fs_item.vital_sign_value IS '文字列で表記されるバイタルサインの値';</v>
      </c>
    </row>
    <row r="25" spans="1:52" s="25" customFormat="1" ht="30">
      <c r="A25" s="4"/>
      <c r="B25" s="21">
        <f t="shared" si="2"/>
        <v>13</v>
      </c>
      <c r="C25" s="13" t="s">
        <v>1740</v>
      </c>
      <c r="D25" s="13" t="s">
        <v>1741</v>
      </c>
      <c r="E25" s="7"/>
      <c r="F25" s="7" t="s">
        <v>867</v>
      </c>
      <c r="G25" s="7" t="str">
        <f t="shared" si="3"/>
        <v>text</v>
      </c>
      <c r="H25" s="58"/>
      <c r="I25" s="23"/>
      <c r="J25" s="24"/>
      <c r="M25" s="4"/>
      <c r="N25" s="78"/>
      <c r="O25" s="78"/>
      <c r="P25" s="78" t="str">
        <f t="shared" si="4"/>
        <v>,vital_sign_num_value</v>
      </c>
      <c r="Q25" s="78" t="str">
        <f t="shared" si="0"/>
        <v>TEXT</v>
      </c>
      <c r="R25" s="78" t="str">
        <f t="shared" si="1"/>
        <v/>
      </c>
      <c r="S25" s="78" t="str">
        <f t="shared" si="5"/>
        <v/>
      </c>
      <c r="T25" s="78" t="str">
        <f t="shared" si="6"/>
        <v>-- 数値で表記されるバイタルサインの値</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milscm_2023_009.sny_202310_backup_merge_mml_fs_item.vital_sign_num_value IS '数値で表記されるバイタルサインの値';</v>
      </c>
    </row>
    <row r="26" spans="1:52" s="25" customFormat="1" ht="18" thickBot="1">
      <c r="A26" s="4"/>
      <c r="B26" s="27">
        <f>ROW()-12</f>
        <v>14</v>
      </c>
      <c r="C26" s="57" t="s">
        <v>1742</v>
      </c>
      <c r="D26" s="57" t="s">
        <v>1743</v>
      </c>
      <c r="E26" s="56"/>
      <c r="F26" s="56" t="s">
        <v>867</v>
      </c>
      <c r="G26" s="56" t="str">
        <f t="shared" si="3"/>
        <v>text</v>
      </c>
      <c r="H26" s="59"/>
      <c r="I26" s="60"/>
      <c r="J26" s="64"/>
      <c r="N26" s="78"/>
      <c r="O26" s="78"/>
      <c r="P26" s="78" t="str">
        <f t="shared" si="4"/>
        <v>,vital_sign_unit</v>
      </c>
      <c r="Q26" s="78" t="str">
        <f t="shared" si="0"/>
        <v>TEXT</v>
      </c>
      <c r="R26" s="78" t="str">
        <f t="shared" si="1"/>
        <v/>
      </c>
      <c r="S26" s="78" t="str">
        <f t="shared" si="5"/>
        <v/>
      </c>
      <c r="T26" s="78" t="str">
        <f t="shared" si="6"/>
        <v>-- バイタルサインの単位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milscm_2023_009.sny_202310_backup_merge_mml_fs_item.vital_sign_unit IS 'バイタルサインの単位';</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11</v>
      </c>
      <c r="E4" s="227"/>
      <c r="F4" s="227"/>
      <c r="G4" s="227"/>
      <c r="H4" s="227"/>
      <c r="I4" s="227"/>
      <c r="J4" s="228"/>
    </row>
    <row r="5" spans="1:45">
      <c r="B5" s="240" t="s">
        <v>3723</v>
      </c>
      <c r="C5" s="241"/>
      <c r="D5" s="250" t="str">
        <f>VLOOKUP(D7,エンティティ一覧!A1:'エンティティ一覧'!AM10147,7,FALSE)</f>
        <v>enroll</v>
      </c>
      <c r="E5" s="251"/>
      <c r="F5" s="251"/>
      <c r="G5" s="251"/>
      <c r="H5" s="251"/>
      <c r="I5" s="251"/>
      <c r="J5" s="252"/>
    </row>
    <row r="6" spans="1:45">
      <c r="B6" s="240" t="s">
        <v>3724</v>
      </c>
      <c r="C6" s="241"/>
      <c r="D6" s="250" t="str">
        <f>VLOOKUP(D7,エンティティ一覧!A1:'エンティティ一覧'!AM10147,15,FALSE)</f>
        <v>ENT_11_01</v>
      </c>
      <c r="E6" s="251"/>
      <c r="F6" s="251"/>
      <c r="G6" s="251"/>
      <c r="H6" s="251"/>
      <c r="I6" s="251"/>
      <c r="J6" s="252"/>
    </row>
    <row r="7" spans="1:45">
      <c r="B7" s="240" t="s">
        <v>115</v>
      </c>
      <c r="C7" s="241"/>
      <c r="D7" s="242" t="s">
        <v>3854</v>
      </c>
      <c r="E7" s="243"/>
      <c r="F7" s="243"/>
      <c r="G7" s="243"/>
      <c r="H7" s="243"/>
      <c r="I7" s="243"/>
      <c r="J7" s="244"/>
    </row>
    <row r="8" spans="1:45">
      <c r="B8" s="240" t="s">
        <v>116</v>
      </c>
      <c r="C8" s="241"/>
      <c r="D8" s="242" t="str">
        <f>エンティティ一覧!AE2&amp;"_"&amp;D5&amp;"_shisetsu"</f>
        <v>sny_202310_enroll_shisetsu</v>
      </c>
      <c r="E8" s="243"/>
      <c r="F8" s="243"/>
      <c r="G8" s="243"/>
      <c r="H8" s="243"/>
      <c r="I8" s="243"/>
      <c r="J8" s="244"/>
    </row>
    <row r="9" spans="1:45" ht="19.5" customHeight="1" thickBot="1">
      <c r="B9" s="245" t="s">
        <v>117</v>
      </c>
      <c r="C9" s="246"/>
      <c r="D9" s="247" t="s">
        <v>3855</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milscm_2023_009.sny_202310_enroll_shisetsu;</v>
      </c>
      <c r="O10" s="78"/>
      <c r="P10" s="78"/>
      <c r="Q10" s="78"/>
      <c r="R10" s="78"/>
      <c r="S10" s="78"/>
      <c r="T10" s="78"/>
      <c r="AJ10" s="78" t="str">
        <f>"ALTER TABLE ONLY "&amp;エンティティ一覧!$O$2&amp;"."&amp;D$8</f>
        <v>ALTER TABLE ONLY milscm_2023_009.sny_202310_enroll_shisetsu</v>
      </c>
      <c r="AS10" s="78" t="str">
        <f>"ALTER TABLE "&amp;エンティティ一覧!$O$2&amp;"."&amp;D$8&amp;" OWNER TO pgmisgrp1;"</f>
        <v>ALTER TABLE milscm_2023_009.sny_202310_enroll_shisetsu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milscm_2023_009.sny_202310_enroll_shisetsu</v>
      </c>
      <c r="O11" s="78"/>
      <c r="P11" s="78"/>
      <c r="Q11" s="78"/>
      <c r="R11" s="78"/>
      <c r="S11" s="78"/>
      <c r="T11" s="78"/>
      <c r="AJ11" s="78" t="str">
        <f>"ADD CONSTRAINT "&amp;D$8&amp;"_pkey PRIMARY KEY"</f>
        <v>ADD CONSTRAINT sny_202310_enroll_shisetsu_pkey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3847</v>
      </c>
      <c r="G13" s="7" t="str">
        <f>IF(F13="フラグ","boolean",IF(F13="文字列","text",IF(F13="整数","integer",IF(F13="実数","numeric",""))))</f>
        <v>text</v>
      </c>
      <c r="H13" s="9"/>
      <c r="I13" s="10" t="s">
        <v>127</v>
      </c>
      <c r="J13" s="24"/>
      <c r="M13" s="4"/>
      <c r="N13" s="78"/>
      <c r="O13" s="78"/>
      <c r="P13" s="78" t="str">
        <f>IF(B13&lt;&gt;1,","&amp;D13,D13)</f>
        <v>facility_id</v>
      </c>
      <c r="Q13" s="78" t="str">
        <f t="shared" ref="Q13:Q17" si="0">UPPER(G13)</f>
        <v>TEXT</v>
      </c>
      <c r="R13" s="78" t="str">
        <f t="shared" ref="R13:R17" si="1">IF(H13&lt;&gt;"","default "&amp;IF(G13="text","'"&amp;H13&amp;"'",H13),"")</f>
        <v/>
      </c>
      <c r="S13" s="78" t="str">
        <f t="shared" ref="S13:S18" si="2">IF(I13="○","NOT NULL","")</f>
        <v>NOT NULL</v>
      </c>
      <c r="T13" s="78" t="str">
        <f t="shared" ref="T13:T18"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milscm_2023_009.sny_202310_enroll_shisetsu.facility_id IS '施設ID';</v>
      </c>
    </row>
    <row r="14" spans="1:45" s="25" customFormat="1">
      <c r="A14" s="4"/>
      <c r="B14" s="21">
        <f>ROW()-12</f>
        <v>2</v>
      </c>
      <c r="C14" s="13" t="s">
        <v>2422</v>
      </c>
      <c r="D14" s="13" t="s">
        <v>2423</v>
      </c>
      <c r="E14" s="7"/>
      <c r="F14" s="7" t="s">
        <v>3848</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milscm_2023_009.sny_202310_enroll_shisetsu.facility_id_mml IS '施設ID（MML）';</v>
      </c>
    </row>
    <row r="15" spans="1:45" s="25" customFormat="1">
      <c r="A15" s="4"/>
      <c r="B15" s="21">
        <f t="shared" ref="B15:B18" si="4">ROW()-12</f>
        <v>3</v>
      </c>
      <c r="C15" s="6" t="s">
        <v>3849</v>
      </c>
      <c r="D15" s="6" t="s">
        <v>2425</v>
      </c>
      <c r="E15" s="8"/>
      <c r="F15" s="7" t="s">
        <v>3850</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milscm_2023_009.sny_202310_enroll_shisetsu.facility_name IS '施設名';</v>
      </c>
    </row>
    <row r="16" spans="1:45" s="25" customFormat="1">
      <c r="A16" s="4"/>
      <c r="B16" s="21">
        <f>ROW()-12</f>
        <v>4</v>
      </c>
      <c r="C16" s="13" t="s">
        <v>3851</v>
      </c>
      <c r="D16" s="13" t="s">
        <v>2431</v>
      </c>
      <c r="E16" s="7"/>
      <c r="F16" s="7" t="s">
        <v>3848</v>
      </c>
      <c r="G16" s="7" t="str">
        <f>IF(F16="フラグ","boolean",IF(F16="文字列","text",IF(F16="整数","integer",IF(F16="実数","numeric",""))))</f>
        <v>text</v>
      </c>
      <c r="H16" s="9"/>
      <c r="I16" s="10"/>
      <c r="J16" s="24"/>
      <c r="M16" s="4"/>
      <c r="N16" s="78"/>
      <c r="O16" s="78"/>
      <c r="P16" s="78" t="str">
        <f>IF(B16&lt;&gt;1,","&amp;D16,D16)</f>
        <v>,facility_contract_start</v>
      </c>
      <c r="Q16" s="78" t="str">
        <f t="shared" ref="Q16" si="7">UPPER(G16)</f>
        <v>TEXT</v>
      </c>
      <c r="R16" s="78" t="str">
        <f t="shared" ref="R16" si="8">IF(H16&lt;&gt;"","default "&amp;IF(G16="text","'"&amp;H16&amp;"'",H16),"")</f>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3852</v>
      </c>
      <c r="D17" s="6" t="s">
        <v>2433</v>
      </c>
      <c r="E17" s="8"/>
      <c r="F17" s="7" t="s">
        <v>3848</v>
      </c>
      <c r="G17" s="7" t="str">
        <f t="shared" ref="G17" si="9">IF(F17="フラグ","boolean",IF(F17="文字列","text",IF(F17="整数","integer",IF(F17="実数","numeric",""))))</f>
        <v>text</v>
      </c>
      <c r="H17" s="58"/>
      <c r="I17" s="23"/>
      <c r="J17" s="24"/>
      <c r="M17" s="4"/>
      <c r="N17" s="78"/>
      <c r="O17" s="78"/>
      <c r="P17" s="78" t="str">
        <f t="shared" ref="P17" si="10">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milscm_2023_009.sny_202310_enroll_shisetsu.facility_contract_end IS '施設データ提供終了日';</v>
      </c>
    </row>
    <row r="18" spans="1:52" s="25" customFormat="1" ht="18" thickBot="1">
      <c r="A18" s="4"/>
      <c r="B18" s="70">
        <f t="shared" si="4"/>
        <v>6</v>
      </c>
      <c r="C18" s="71" t="s">
        <v>3853</v>
      </c>
      <c r="D18" s="71" t="s">
        <v>2435</v>
      </c>
      <c r="E18" s="74"/>
      <c r="F18" s="72" t="s">
        <v>204</v>
      </c>
      <c r="G18" s="72" t="str">
        <f t="shared" ref="G18" si="11">IF(F18="フラグ","boolean",IF(F18="文字列","text",IF(F18="整数","integer",IF(F18="実数","numeric",""))))</f>
        <v>integer</v>
      </c>
      <c r="H18" s="73"/>
      <c r="I18" s="74"/>
      <c r="J18" s="75"/>
      <c r="M18" s="4"/>
      <c r="N18" s="78"/>
      <c r="O18" s="78"/>
      <c r="P18" s="78" t="str">
        <f t="shared" ref="P18" si="12">IF(B18&lt;&gt;1,","&amp;D18,D18)</f>
        <v>,size</v>
      </c>
      <c r="Q18" s="78" t="str">
        <f t="shared" ref="Q18" si="13">UPPER(G18)</f>
        <v>INTEGER</v>
      </c>
      <c r="R18" s="78" t="str">
        <f t="shared" ref="R18" si="14">IF(H18&lt;&gt;"","default "&amp;IF(G18="text","'"&amp;H18&amp;"'",H18),"")</f>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milscm_2023_009.sny_202310_enroll_shisetsu.size IS '施設規模';</v>
      </c>
    </row>
    <row r="19" spans="1:52">
      <c r="L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11</v>
      </c>
      <c r="E4" s="227"/>
      <c r="F4" s="227"/>
      <c r="G4" s="227"/>
      <c r="H4" s="227"/>
      <c r="I4" s="227"/>
      <c r="J4" s="228"/>
    </row>
    <row r="5" spans="1:45">
      <c r="B5" s="240" t="s">
        <v>3723</v>
      </c>
      <c r="C5" s="241"/>
      <c r="D5" s="250" t="str">
        <f>VLOOKUP(D7,エンティティ一覧!A1:'エンティティ一覧'!AM10147,7,FALSE)</f>
        <v>enroll</v>
      </c>
      <c r="E5" s="251"/>
      <c r="F5" s="251"/>
      <c r="G5" s="251"/>
      <c r="H5" s="251"/>
      <c r="I5" s="251"/>
      <c r="J5" s="252"/>
    </row>
    <row r="6" spans="1:45">
      <c r="B6" s="240" t="s">
        <v>3724</v>
      </c>
      <c r="C6" s="241"/>
      <c r="D6" s="250" t="str">
        <f>VLOOKUP(D7,エンティティ一覧!A1:'エンティティ一覧'!AM10147,15,FALSE)</f>
        <v>ENT_11_02</v>
      </c>
      <c r="E6" s="251"/>
      <c r="F6" s="251"/>
      <c r="G6" s="251"/>
      <c r="H6" s="251"/>
      <c r="I6" s="251"/>
      <c r="J6" s="252"/>
    </row>
    <row r="7" spans="1:45">
      <c r="B7" s="240" t="s">
        <v>115</v>
      </c>
      <c r="C7" s="241"/>
      <c r="D7" s="242" t="s">
        <v>3859</v>
      </c>
      <c r="E7" s="243"/>
      <c r="F7" s="243"/>
      <c r="G7" s="243"/>
      <c r="H7" s="243"/>
      <c r="I7" s="243"/>
      <c r="J7" s="244"/>
    </row>
    <row r="8" spans="1:45">
      <c r="B8" s="240" t="s">
        <v>116</v>
      </c>
      <c r="C8" s="241"/>
      <c r="D8" s="242" t="str">
        <f>エンティティ一覧!AE2&amp;"_"&amp;D5&amp;"_shikkan"</f>
        <v>sny_202310_enroll_shikkan</v>
      </c>
      <c r="E8" s="243"/>
      <c r="F8" s="243"/>
      <c r="G8" s="243"/>
      <c r="H8" s="243"/>
      <c r="I8" s="243"/>
      <c r="J8" s="244"/>
    </row>
    <row r="9" spans="1:45" ht="19.5" customHeight="1" thickBot="1">
      <c r="B9" s="245" t="s">
        <v>117</v>
      </c>
      <c r="C9" s="246"/>
      <c r="D9" s="247" t="s">
        <v>3855</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milscm_2023_009.sny_202310_enroll_shikkan;</v>
      </c>
      <c r="O10" s="78"/>
      <c r="P10" s="78"/>
      <c r="Q10" s="78"/>
      <c r="R10" s="78"/>
      <c r="S10" s="78"/>
      <c r="T10" s="78"/>
      <c r="AJ10" s="78" t="str">
        <f>"ALTER TABLE ONLY "&amp;エンティティ一覧!$O$2&amp;"."&amp;D$8</f>
        <v>ALTER TABLE ONLY milscm_2023_009.sny_202310_enroll_shikkan</v>
      </c>
      <c r="AS10" s="78" t="str">
        <f>"ALTER TABLE "&amp;エンティティ一覧!$O$2&amp;"."&amp;D$8&amp;" OWNER TO pgmisgrp1;"</f>
        <v>ALTER TABLE milscm_2023_009.sny_202310_enroll_shikkan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milscm_2023_009.sny_202310_enroll_shikkan</v>
      </c>
      <c r="O11" s="78"/>
      <c r="P11" s="78"/>
      <c r="Q11" s="78"/>
      <c r="R11" s="78"/>
      <c r="S11" s="78"/>
      <c r="T11" s="78"/>
      <c r="AJ11" s="78" t="str">
        <f>"ADD CONSTRAINT "&amp;D$8&amp;"_pkey PRIMARY KEY"</f>
        <v>ADD CONSTRAINT sny_202310_enroll_shikkan_pkey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milscm_2023_009.sny_202310_enroll_shikkan.facility_id IS '施設ID';</v>
      </c>
    </row>
    <row r="14" spans="1:45" s="25" customFormat="1">
      <c r="A14" s="4"/>
      <c r="B14" s="21">
        <f>ROW()-12</f>
        <v>2</v>
      </c>
      <c r="C14" s="13" t="s">
        <v>2808</v>
      </c>
      <c r="D14" s="13" t="s">
        <v>1266</v>
      </c>
      <c r="E14" s="7" t="s">
        <v>127</v>
      </c>
      <c r="F14" s="7" t="s">
        <v>739</v>
      </c>
      <c r="G14" s="7" t="str">
        <f>IF(F14="フラグ","boolean",IF(F14="文字列","text",IF(F14="整数","integer",IF(F14="実数","numeric",""))))</f>
        <v>text</v>
      </c>
      <c r="H14" s="9"/>
      <c r="I14" s="10" t="s">
        <v>127</v>
      </c>
      <c r="J14" s="24"/>
      <c r="M14" s="4"/>
      <c r="N14" s="78"/>
      <c r="O14" s="78"/>
      <c r="P14" s="78" t="str">
        <f>IF(B14&lt;&gt;1,","&amp;D14,D14)</f>
        <v>,master_id</v>
      </c>
      <c r="Q14" s="78" t="str">
        <f t="shared" ref="Q14" si="2">UPPER(G14)</f>
        <v>TEXT</v>
      </c>
      <c r="R14" s="78" t="str">
        <f t="shared" ref="R14" si="3">IF(H14&lt;&gt;"","default "&amp;IF(G14="text","'"&amp;H14&amp;"'",H14),"")</f>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milscm_2023_009.sny_202310_enroll_shikkan.master_id IS '患者ID';</v>
      </c>
    </row>
    <row r="15" spans="1:45" s="25" customFormat="1">
      <c r="A15" s="4"/>
      <c r="B15" s="21">
        <f>ROW()-12</f>
        <v>3</v>
      </c>
      <c r="C15" s="13" t="s">
        <v>1341</v>
      </c>
      <c r="D15" s="13" t="s">
        <v>1342</v>
      </c>
      <c r="E15" s="7" t="s">
        <v>127</v>
      </c>
      <c r="F15" s="7" t="s">
        <v>739</v>
      </c>
      <c r="G15" s="7" t="str">
        <f>IF(F15="フラグ","boolean",IF(F15="文字列","text",IF(F15="整数","integer",IF(F15="実数","numeric",""))))</f>
        <v>text</v>
      </c>
      <c r="H15" s="9"/>
      <c r="I15" s="10" t="s">
        <v>127</v>
      </c>
      <c r="J15" s="24"/>
      <c r="M15" s="4"/>
      <c r="N15" s="78"/>
      <c r="O15" s="78"/>
      <c r="P15" s="78" t="str">
        <f>IF(B15&lt;&gt;1,","&amp;D15,D15)</f>
        <v>,byomei</v>
      </c>
      <c r="Q15" s="78" t="str">
        <f t="shared" ref="Q15" si="4">UPPER(G15)</f>
        <v>TEXT</v>
      </c>
      <c r="R15" s="78" t="str">
        <f t="shared" ref="R15" si="5">IF(H15&lt;&gt;"","default "&amp;IF(G15="text","'"&amp;H15&amp;"'",H15),"")</f>
        <v/>
      </c>
      <c r="S15" s="78" t="str">
        <f>IF(I15="○","NOT NULL","")</f>
        <v>NOT NULL</v>
      </c>
      <c r="T15" s="78" t="str">
        <f>"--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milscm_2023_009.sny_202310_enroll_shikkan.byomei IS '病名';</v>
      </c>
    </row>
    <row r="16" spans="1:45" s="25" customFormat="1" ht="18" thickBot="1">
      <c r="A16" s="4"/>
      <c r="B16" s="66">
        <f t="shared" ref="B16" si="6">ROW()-12</f>
        <v>4</v>
      </c>
      <c r="C16" s="28" t="s">
        <v>3860</v>
      </c>
      <c r="D16" s="28" t="s">
        <v>1344</v>
      </c>
      <c r="E16" s="29" t="s">
        <v>127</v>
      </c>
      <c r="F16" s="56" t="s">
        <v>739</v>
      </c>
      <c r="G16" s="56" t="str">
        <f t="shared" ref="G16" si="7">IF(F16="フラグ","boolean",IF(F16="文字列","text",IF(F16="整数","integer",IF(F16="実数","numeric",""))))</f>
        <v>text</v>
      </c>
      <c r="H16" s="59"/>
      <c r="I16" s="60" t="s">
        <v>127</v>
      </c>
      <c r="J16" s="61"/>
      <c r="M16" s="4"/>
      <c r="N16" s="78"/>
      <c r="O16" s="78"/>
      <c r="P16" s="78" t="str">
        <f t="shared" ref="P16" si="8">IF(B16&lt;&gt;1,","&amp;D16,D16)</f>
        <v>,byomei_code</v>
      </c>
      <c r="Q16" s="78" t="str">
        <f t="shared" si="0"/>
        <v>TEXT</v>
      </c>
      <c r="R16" s="78" t="str">
        <f t="shared" si="1"/>
        <v/>
      </c>
      <c r="S16" s="78" t="str">
        <f>IF(I16="○","NOT NULL","")</f>
        <v>NOT NULL</v>
      </c>
      <c r="T16" s="78" t="str">
        <f>"-- "&amp;C16</f>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milscm_2023_009.sny_202310_enroll_shikkan.byomei_code IS '病名コード値';</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11</v>
      </c>
      <c r="E4" s="227"/>
      <c r="F4" s="227"/>
      <c r="G4" s="227"/>
      <c r="H4" s="227"/>
      <c r="I4" s="227"/>
      <c r="J4" s="228"/>
    </row>
    <row r="5" spans="1:45">
      <c r="B5" s="240" t="s">
        <v>3723</v>
      </c>
      <c r="C5" s="241"/>
      <c r="D5" s="250" t="str">
        <f>VLOOKUP(D7,エンティティ一覧!A1:'エンティティ一覧'!AM10147,7,FALSE)</f>
        <v>enroll</v>
      </c>
      <c r="E5" s="251"/>
      <c r="F5" s="251"/>
      <c r="G5" s="251"/>
      <c r="H5" s="251"/>
      <c r="I5" s="251"/>
      <c r="J5" s="252"/>
    </row>
    <row r="6" spans="1:45">
      <c r="B6" s="240" t="s">
        <v>3724</v>
      </c>
      <c r="C6" s="241"/>
      <c r="D6" s="250" t="str">
        <f>VLOOKUP(D7,エンティティ一覧!A1:'エンティティ一覧'!AM10147,15,FALSE)</f>
        <v>ENT_11_03</v>
      </c>
      <c r="E6" s="251"/>
      <c r="F6" s="251"/>
      <c r="G6" s="251"/>
      <c r="H6" s="251"/>
      <c r="I6" s="251"/>
      <c r="J6" s="252"/>
    </row>
    <row r="7" spans="1:45">
      <c r="B7" s="240" t="s">
        <v>115</v>
      </c>
      <c r="C7" s="241"/>
      <c r="D7" s="242" t="s">
        <v>3861</v>
      </c>
      <c r="E7" s="243"/>
      <c r="F7" s="243"/>
      <c r="G7" s="243"/>
      <c r="H7" s="243"/>
      <c r="I7" s="243"/>
      <c r="J7" s="244"/>
    </row>
    <row r="8" spans="1:45">
      <c r="B8" s="240" t="s">
        <v>116</v>
      </c>
      <c r="C8" s="241"/>
      <c r="D8" s="242" t="str">
        <f>エンティティ一覧!AE2&amp;"_"&amp;D5&amp;"_shinryou_koui"</f>
        <v>sny_202310_enroll_shinryou_koui</v>
      </c>
      <c r="E8" s="243"/>
      <c r="F8" s="243"/>
      <c r="G8" s="243"/>
      <c r="H8" s="243"/>
      <c r="I8" s="243"/>
      <c r="J8" s="244"/>
    </row>
    <row r="9" spans="1:45" ht="19.5" customHeight="1" thickBot="1">
      <c r="B9" s="245" t="s">
        <v>117</v>
      </c>
      <c r="C9" s="246"/>
      <c r="D9" s="247"/>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milscm_2023_009.sny_202310_enroll_shinryou_koui;</v>
      </c>
      <c r="O10" s="78"/>
      <c r="P10" s="78"/>
      <c r="Q10" s="78"/>
      <c r="R10" s="78"/>
      <c r="S10" s="78"/>
      <c r="T10" s="78"/>
      <c r="AJ10" s="78" t="str">
        <f>"ALTER TABLE ONLY "&amp;エンティティ一覧!$O$2&amp;"."&amp;D$8</f>
        <v>ALTER TABLE ONLY milscm_2023_009.sny_202310_enroll_shinryou_koui</v>
      </c>
      <c r="AS10" s="78" t="str">
        <f>"ALTER TABLE "&amp;エンティティ一覧!$O$2&amp;"."&amp;D$8&amp;" OWNER TO pgmisgrp1;"</f>
        <v>ALTER TABLE milscm_2023_009.sny_202310_enroll_shinryou_koui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milscm_2023_009.sny_202310_enroll_shinryou_koui</v>
      </c>
      <c r="O11" s="78"/>
      <c r="P11" s="78"/>
      <c r="Q11" s="78"/>
      <c r="R11" s="78"/>
      <c r="S11" s="78"/>
      <c r="T11" s="78"/>
      <c r="AJ11" s="78" t="str">
        <f>"ADD CONSTRAINT "&amp;D$8&amp;"_pkey PRIMARY KEY"</f>
        <v>ADD CONSTRAINT sny_202310_enroll_shinryou_koui_pkey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milscm_2023_009.sny_202310_enroll_shinryou_koui.facility_id IS '施設ID';</v>
      </c>
    </row>
    <row r="14" spans="1:45" s="25" customFormat="1">
      <c r="A14" s="4"/>
      <c r="B14" s="21">
        <f>ROW()-12</f>
        <v>2</v>
      </c>
      <c r="C14" s="13" t="s">
        <v>1756</v>
      </c>
      <c r="D14" s="13" t="s">
        <v>210</v>
      </c>
      <c r="E14" s="7" t="s">
        <v>127</v>
      </c>
      <c r="F14" s="7" t="s">
        <v>739</v>
      </c>
      <c r="G14" s="7" t="str">
        <f>IF(F14="フラグ","boolean",IF(F14="文字列","text",IF(F14="整数","integer",IF(F14="実数","numeric",""))))</f>
        <v>text</v>
      </c>
      <c r="H14" s="9"/>
      <c r="I14" s="10" t="s">
        <v>127</v>
      </c>
      <c r="J14" s="24"/>
      <c r="M14" s="4"/>
      <c r="N14" s="78"/>
      <c r="O14" s="78"/>
      <c r="P14" s="78" t="str">
        <f>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739</v>
      </c>
      <c r="G15" s="7" t="str">
        <f>IF(F15="フラグ","boolean",IF(F15="文字列","text",IF(F15="整数","integer",IF(F15="実数","numeric",""))))</f>
        <v>text</v>
      </c>
      <c r="H15" s="9"/>
      <c r="I15" s="10" t="s">
        <v>127</v>
      </c>
      <c r="J15" s="24"/>
      <c r="M15" s="4"/>
      <c r="N15" s="78"/>
      <c r="O15" s="78"/>
      <c r="P15" s="78" t="str">
        <f>IF(B15&lt;&gt;1,","&amp;D15,D15)</f>
        <v>,receipt_densan_code</v>
      </c>
      <c r="Q15" s="78" t="str">
        <f t="shared" si="0"/>
        <v>TEXT</v>
      </c>
      <c r="R15" s="78" t="str">
        <f t="shared" si="1"/>
        <v/>
      </c>
      <c r="S15" s="78" t="str">
        <f>IF(I15="○","NOT NULL","")</f>
        <v>NOT NULL</v>
      </c>
      <c r="T15" s="78" t="str">
        <f>"-- "&amp;C15</f>
        <v>-- レセプト電算処理システム用コード</v>
      </c>
      <c r="U15" s="4"/>
      <c r="AA15" s="4"/>
      <c r="AB15" s="4"/>
      <c r="AC15" s="4"/>
      <c r="AD15" s="4"/>
      <c r="AE15" s="4"/>
      <c r="AF15" s="4"/>
      <c r="AG15" s="4"/>
      <c r="AH15" s="4"/>
      <c r="AI15" s="4"/>
      <c r="AJ15" s="78" t="str">
        <f>IF(E15="○",IF(COUNTA(E$13:E15)=1,"",",")&amp;D15,"")</f>
        <v>,receipt_densan_code</v>
      </c>
      <c r="AK15" s="4"/>
      <c r="AL15" s="4"/>
      <c r="AM15" s="4"/>
      <c r="AN15" s="4"/>
      <c r="AO15" s="4"/>
      <c r="AP15" s="4"/>
      <c r="AQ15" s="4"/>
      <c r="AR15" s="4"/>
      <c r="AS15" s="78" t="str">
        <f>"COMMENT ON COLUMN "&amp;エンティティ一覧!$O$2&amp;"."&amp;D$8&amp;"."&amp;D15&amp;" IS '"&amp;C15&amp;"';"</f>
        <v>COMMENT ON COLUMN milscm_2023_009.sny_202310_enroll_shinryou_koui.receipt_densan_code IS 'レセプト電算処理システム用コード';</v>
      </c>
    </row>
    <row r="16" spans="1:45" s="25" customFormat="1" ht="18" thickBot="1">
      <c r="A16" s="4"/>
      <c r="B16" s="66">
        <f t="shared" ref="B16" si="2">ROW()-12</f>
        <v>4</v>
      </c>
      <c r="C16" s="28" t="s">
        <v>149</v>
      </c>
      <c r="D16" s="28" t="s">
        <v>155</v>
      </c>
      <c r="E16" s="29" t="s">
        <v>127</v>
      </c>
      <c r="F16" s="56" t="s">
        <v>739</v>
      </c>
      <c r="G16" s="56" t="str">
        <f t="shared" ref="G16" si="3">IF(F16="フラグ","boolean",IF(F16="文字列","text",IF(F16="整数","integer",IF(F16="実数","numeric",""))))</f>
        <v>text</v>
      </c>
      <c r="H16" s="59"/>
      <c r="I16" s="60" t="s">
        <v>127</v>
      </c>
      <c r="J16" s="61"/>
      <c r="M16" s="4"/>
      <c r="N16" s="78"/>
      <c r="O16" s="78"/>
      <c r="P16" s="78" t="str">
        <f t="shared" ref="P16" si="4">IF(B16&lt;&gt;1,","&amp;D16,D16)</f>
        <v>,jisshi_ymd</v>
      </c>
      <c r="Q16" s="78" t="str">
        <f t="shared" si="0"/>
        <v>TEXT</v>
      </c>
      <c r="R16" s="78" t="str">
        <f t="shared" si="1"/>
        <v/>
      </c>
      <c r="S16" s="78" t="str">
        <f>IF(I16="○","NOT NULL","")</f>
        <v>NOT NULL</v>
      </c>
      <c r="T16" s="78" t="str">
        <f>"-- "&amp;C16</f>
        <v>-- 実施年月日</v>
      </c>
      <c r="U16" s="4"/>
      <c r="AA16" s="4"/>
      <c r="AB16" s="4"/>
      <c r="AC16" s="4"/>
      <c r="AD16" s="4"/>
      <c r="AE16" s="4"/>
      <c r="AF16" s="4"/>
      <c r="AG16" s="4"/>
      <c r="AH16" s="4"/>
      <c r="AI16" s="4"/>
      <c r="AJ16" s="78" t="str">
        <f>IF(E16="○",IF(COUNTA(E$13:E16)=1,"",",")&amp;D16,"")</f>
        <v>,jisshi_ymd</v>
      </c>
      <c r="AK16" s="4"/>
      <c r="AL16" s="4"/>
      <c r="AM16" s="4"/>
      <c r="AN16" s="4"/>
      <c r="AO16" s="4"/>
      <c r="AP16" s="4"/>
      <c r="AQ16" s="4"/>
      <c r="AR16" s="4"/>
      <c r="AS16" s="78" t="str">
        <f>"COMMENT ON COLUMN "&amp;エンティティ一覧!$O$2&amp;"."&amp;D$8&amp;"."&amp;D16&amp;" IS '"&amp;C16&amp;"';"</f>
        <v>COMMENT ON COLUMN milscm_2023_009.sny_202310_enroll_shinryou_koui.jisshi_ymd IS '実施年月日';</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11</v>
      </c>
      <c r="E4" s="227"/>
      <c r="F4" s="227"/>
      <c r="G4" s="227"/>
      <c r="H4" s="227"/>
      <c r="I4" s="227"/>
      <c r="J4" s="228"/>
    </row>
    <row r="5" spans="1:45">
      <c r="B5" s="240" t="s">
        <v>3723</v>
      </c>
      <c r="C5" s="241"/>
      <c r="D5" s="250" t="str">
        <f>VLOOKUP(D7,エンティティ一覧!A1:'エンティティ一覧'!AM10147,7,FALSE)</f>
        <v>enroll</v>
      </c>
      <c r="E5" s="251"/>
      <c r="F5" s="251"/>
      <c r="G5" s="251"/>
      <c r="H5" s="251"/>
      <c r="I5" s="251"/>
      <c r="J5" s="252"/>
    </row>
    <row r="6" spans="1:45">
      <c r="B6" s="240" t="s">
        <v>3724</v>
      </c>
      <c r="C6" s="241"/>
      <c r="D6" s="250" t="str">
        <f>VLOOKUP(D7,エンティティ一覧!A1:'エンティティ一覧'!AM10147,15,FALSE)</f>
        <v>ENT_11_04</v>
      </c>
      <c r="E6" s="251"/>
      <c r="F6" s="251"/>
      <c r="G6" s="251"/>
      <c r="H6" s="251"/>
      <c r="I6" s="251"/>
      <c r="J6" s="252"/>
    </row>
    <row r="7" spans="1:45">
      <c r="B7" s="240" t="s">
        <v>115</v>
      </c>
      <c r="C7" s="241"/>
      <c r="D7" s="242" t="s">
        <v>3863</v>
      </c>
      <c r="E7" s="243"/>
      <c r="F7" s="243"/>
      <c r="G7" s="243"/>
      <c r="H7" s="243"/>
      <c r="I7" s="243"/>
      <c r="J7" s="244"/>
    </row>
    <row r="8" spans="1:45">
      <c r="B8" s="240" t="s">
        <v>116</v>
      </c>
      <c r="C8" s="241"/>
      <c r="D8" s="242" t="str">
        <f ca="1">エンティティ一覧!AE19&amp;"_"&amp;D22&amp;"_mt_kensa"</f>
        <v>sny_202310_backup_mart_patient_basic__mt_kensa</v>
      </c>
      <c r="E8" s="243"/>
      <c r="F8" s="243"/>
      <c r="G8" s="243"/>
      <c r="H8" s="243"/>
      <c r="I8" s="243"/>
      <c r="J8" s="244"/>
    </row>
    <row r="9" spans="1:45" ht="19.5" customHeight="1" thickBot="1">
      <c r="B9" s="245" t="s">
        <v>117</v>
      </c>
      <c r="C9" s="246"/>
      <c r="D9" s="247"/>
      <c r="E9" s="248"/>
      <c r="F9" s="248"/>
      <c r="G9" s="248"/>
      <c r="H9" s="248"/>
      <c r="I9" s="248"/>
      <c r="J9" s="249"/>
    </row>
    <row r="10" spans="1:45">
      <c r="B10" s="19"/>
      <c r="C10" s="19"/>
      <c r="D10" s="5"/>
      <c r="E10" s="5"/>
      <c r="F10" s="5"/>
      <c r="G10" s="5"/>
      <c r="H10" s="5"/>
      <c r="I10" s="5"/>
      <c r="J10" s="18"/>
      <c r="N10" s="78" t="str">
        <f ca="1">"--DROP TABLE  "&amp;エンティティ一覧!$O$2&amp;"."&amp;D$8&amp;";"</f>
        <v>--DROP TABLE  milscm_2023_009.sny_202310_backup_mart_patient_basic__mt_kensa;</v>
      </c>
      <c r="O10" s="78"/>
      <c r="P10" s="78"/>
      <c r="Q10" s="78"/>
      <c r="R10" s="78"/>
      <c r="S10" s="78"/>
      <c r="T10" s="78"/>
      <c r="AJ10" s="78" t="str">
        <f ca="1">"ALTER TABLE ONLY "&amp;エンティティ一覧!$O$2&amp;"."&amp;D$8</f>
        <v>ALTER TABLE ONLY milscm_2023_009.sny_202310_backup_mart_patient_basic__mt_kensa</v>
      </c>
      <c r="AS10" s="78" t="str">
        <f ca="1">"ALTER TABLE "&amp;エンティティ一覧!$O$2&amp;"."&amp;D$8&amp;" OWNER TO pgmisgrp1;"</f>
        <v>ALTER TABLE milscm_2023_009.sny_202310_backup_mart_patient_basic__mt_kensa OWNER TO pgmisgrp1;</v>
      </c>
    </row>
    <row r="11" spans="1:45" ht="18" thickBot="1">
      <c r="B11" s="20" t="s">
        <v>118</v>
      </c>
      <c r="C11" s="19"/>
      <c r="D11" s="5"/>
      <c r="E11" s="5"/>
      <c r="F11" s="5"/>
      <c r="G11" s="5"/>
      <c r="H11" s="5"/>
      <c r="I11" s="5"/>
      <c r="J11" s="18"/>
      <c r="N11" s="78" t="str">
        <f ca="1">"CREATE TABLE  "&amp;エンティティ一覧!$O$2&amp;"."&amp;D$8</f>
        <v>CREATE TABLE  milscm_2023_009.sny_202310_backup_mart_patient_basic__mt_kensa</v>
      </c>
      <c r="O11" s="78"/>
      <c r="P11" s="78"/>
      <c r="Q11" s="78"/>
      <c r="R11" s="78"/>
      <c r="S11" s="78"/>
      <c r="T11" s="78"/>
      <c r="AJ11" s="78" t="str">
        <f ca="1">"ADD CONSTRAINT "&amp;D$8&amp;"_pkey PRIMARY KEY"</f>
        <v>ADD CONSTRAINT sny_202310_backup_mart_patient_basic__mt_kensa_pkey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 ca="1">"COMMENT ON TABLE "&amp;エンティティ一覧!$O$2&amp;"."&amp;D$8&amp;" IS '"&amp;D7&amp;"';"</f>
        <v>COMMENT ON TABLE milscm_2023_009.sny_202310_backup_mart_patient_basic__mt_kensa IS '組入れ_検体検査マスタ';</v>
      </c>
    </row>
    <row r="13" spans="1:45" s="25" customFormat="1">
      <c r="A13" s="4"/>
      <c r="B13" s="21">
        <f t="shared" ref="B13:B21" si="0">ROW()-12</f>
        <v>1</v>
      </c>
      <c r="C13" s="6" t="s">
        <v>3865</v>
      </c>
      <c r="D13" s="6" t="s">
        <v>885</v>
      </c>
      <c r="E13" s="8" t="s">
        <v>127</v>
      </c>
      <c r="F13" s="8" t="s">
        <v>3850</v>
      </c>
      <c r="G13" s="7" t="str">
        <f t="shared" ref="G13:G21" si="1">IF(F13="フラグ","boolean",IF(F13="文字列","text",IF(F13="整数","integer",IF(F13="実数","numeric",""))))</f>
        <v>text</v>
      </c>
      <c r="H13" s="67"/>
      <c r="I13" s="8" t="s">
        <v>127</v>
      </c>
      <c r="J13" s="11"/>
      <c r="M13" s="4"/>
      <c r="N13" s="78"/>
      <c r="O13" s="78"/>
      <c r="P13" s="78" t="str">
        <f t="shared" ref="P13:P21" si="2">IF(B13&lt;&gt;1,","&amp;D13,D13)</f>
        <v>facility_id</v>
      </c>
      <c r="Q13" s="78" t="str">
        <f t="shared" ref="Q13:Q21" si="3">UPPER(G13)</f>
        <v>TEXT</v>
      </c>
      <c r="R13" s="78" t="str">
        <f t="shared" ref="R13:R21" si="4">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 ca="1">"COMMENT ON COLUMN "&amp;エンティティ一覧!$O$2&amp;"."&amp;D$8&amp;"."&amp;D13&amp;" IS '"&amp;C13&amp;"';"</f>
        <v>COMMENT ON COLUMN milscm_2023_009.sny_202310_backup_mart_patient_basic__mt_kensa.facility_id IS '施設ID';</v>
      </c>
    </row>
    <row r="14" spans="1:45" s="25" customFormat="1">
      <c r="A14" s="4"/>
      <c r="B14" s="21">
        <f t="shared" si="0"/>
        <v>2</v>
      </c>
      <c r="C14" s="100" t="s">
        <v>1626</v>
      </c>
      <c r="D14" s="100" t="s">
        <v>1627</v>
      </c>
      <c r="E14" s="101" t="s">
        <v>127</v>
      </c>
      <c r="F14" s="101" t="s">
        <v>3850</v>
      </c>
      <c r="G14" s="7" t="str">
        <f t="shared" si="1"/>
        <v>text</v>
      </c>
      <c r="H14" s="67"/>
      <c r="I14" s="8" t="s">
        <v>127</v>
      </c>
      <c r="J14" s="11"/>
      <c r="M14" s="4"/>
      <c r="N14" s="78"/>
      <c r="O14" s="78"/>
      <c r="P14" s="78" t="str">
        <f t="shared" si="2"/>
        <v>,specimen_name</v>
      </c>
      <c r="Q14" s="78" t="str">
        <f t="shared" si="3"/>
        <v>TEXT</v>
      </c>
      <c r="R14" s="78" t="str">
        <f t="shared" si="4"/>
        <v/>
      </c>
      <c r="S14" s="78" t="str">
        <f>IF(I14="○","NOT NULL","")</f>
        <v>NOT NULL</v>
      </c>
      <c r="T14" s="78" t="str">
        <f>"-- "&amp;C14</f>
        <v>-- 検体材料</v>
      </c>
      <c r="U14" s="4"/>
      <c r="AA14" s="4"/>
      <c r="AB14" s="4"/>
      <c r="AC14" s="4"/>
      <c r="AD14" s="4"/>
      <c r="AE14" s="4"/>
      <c r="AF14" s="4"/>
      <c r="AG14" s="4"/>
      <c r="AH14" s="4"/>
      <c r="AI14" s="4"/>
      <c r="AJ14" s="78" t="str">
        <f>IF(E14="○",IF(COUNTA(E$13:E14)=1,"",",")&amp;D14,"")</f>
        <v>,specimen_name</v>
      </c>
      <c r="AK14" s="4"/>
      <c r="AL14" s="4"/>
      <c r="AM14" s="4"/>
      <c r="AN14" s="4"/>
      <c r="AO14" s="4"/>
      <c r="AP14" s="4"/>
      <c r="AQ14" s="4"/>
      <c r="AR14" s="4"/>
      <c r="AS14" s="78" t="str">
        <f ca="1">"COMMENT ON COLUMN "&amp;エンティティ一覧!$O$2&amp;"."&amp;D$8&amp;"."&amp;D14&amp;" IS '"&amp;C14&amp;"';"</f>
        <v>COMMENT ON COLUMN milscm_2023_009.sny_202310_backup_mart_patient_basic__mt_kensa.specimen_name IS '検体材料';</v>
      </c>
    </row>
    <row r="15" spans="1:45" s="25" customFormat="1">
      <c r="A15" s="4"/>
      <c r="B15" s="21">
        <f t="shared" si="0"/>
        <v>3</v>
      </c>
      <c r="C15" s="100" t="s">
        <v>1628</v>
      </c>
      <c r="D15" s="100" t="s">
        <v>1629</v>
      </c>
      <c r="E15" s="101" t="s">
        <v>127</v>
      </c>
      <c r="F15" s="101" t="s">
        <v>3850</v>
      </c>
      <c r="G15" s="7" t="str">
        <f t="shared" si="1"/>
        <v>text</v>
      </c>
      <c r="H15" s="67"/>
      <c r="I15" s="8" t="s">
        <v>127</v>
      </c>
      <c r="J15" s="11"/>
      <c r="N15" s="78"/>
      <c r="O15" s="78"/>
      <c r="P15" s="78" t="str">
        <f t="shared" si="2"/>
        <v>,sp_code</v>
      </c>
      <c r="Q15" s="78" t="str">
        <f t="shared" si="3"/>
        <v>TEXT</v>
      </c>
      <c r="R15" s="78" t="str">
        <f t="shared" si="4"/>
        <v/>
      </c>
      <c r="S15" s="78" t="str">
        <f t="shared" ref="S15:S21" si="5">IF(I15="○","NOT NULL","")</f>
        <v>NOT NULL</v>
      </c>
      <c r="T15" s="78" t="str">
        <f t="shared" ref="T15:T21" si="6">"-- "&amp;C15</f>
        <v>-- 検体材料コード</v>
      </c>
      <c r="U15" s="4"/>
      <c r="AA15" s="4"/>
      <c r="AB15" s="4"/>
      <c r="AC15" s="4"/>
      <c r="AD15" s="4"/>
      <c r="AE15" s="4"/>
      <c r="AF15" s="4"/>
      <c r="AG15" s="4"/>
      <c r="AH15" s="4"/>
      <c r="AI15" s="4"/>
      <c r="AJ15" s="78" t="str">
        <f>IF(E15="○",IF(COUNTA(E$13:E15)=1,"",",")&amp;D15,"")</f>
        <v>,sp_code</v>
      </c>
      <c r="AK15" s="4"/>
      <c r="AL15" s="4"/>
      <c r="AM15" s="4"/>
      <c r="AN15" s="4"/>
      <c r="AO15" s="4"/>
      <c r="AP15" s="4"/>
      <c r="AQ15" s="4"/>
      <c r="AR15" s="4"/>
      <c r="AS15" s="78" t="str">
        <f ca="1">"COMMENT ON COLUMN "&amp;エンティティ一覧!$O$2&amp;"."&amp;D$8&amp;"."&amp;D15&amp;" IS '"&amp;C15&amp;"';"</f>
        <v>COMMENT ON COLUMN milscm_2023_009.sny_202310_backup_mart_patient_basic__mt_kensa.sp_code IS '検体材料コード';</v>
      </c>
    </row>
    <row r="16" spans="1:45" s="25" customFormat="1">
      <c r="A16" s="4"/>
      <c r="B16" s="21">
        <f t="shared" si="0"/>
        <v>4</v>
      </c>
      <c r="C16" s="6" t="s">
        <v>3866</v>
      </c>
      <c r="D16" s="6" t="s">
        <v>1644</v>
      </c>
      <c r="E16" s="8" t="s">
        <v>127</v>
      </c>
      <c r="F16" s="7" t="s">
        <v>3850</v>
      </c>
      <c r="G16" s="7" t="str">
        <f t="shared" si="1"/>
        <v>text</v>
      </c>
      <c r="H16" s="67"/>
      <c r="I16" s="8" t="s">
        <v>127</v>
      </c>
      <c r="J16" s="11"/>
      <c r="N16" s="78"/>
      <c r="O16" s="78"/>
      <c r="P16" s="78" t="str">
        <f t="shared" si="2"/>
        <v>,item_name</v>
      </c>
      <c r="Q16" s="78" t="str">
        <f t="shared" si="3"/>
        <v>TEXT</v>
      </c>
      <c r="R16" s="78" t="str">
        <f t="shared" si="4"/>
        <v/>
      </c>
      <c r="S16" s="78" t="str">
        <f t="shared" si="5"/>
        <v>NOT NULL</v>
      </c>
      <c r="T16" s="78" t="str">
        <f t="shared" si="6"/>
        <v>-- 検査名</v>
      </c>
      <c r="U16" s="4"/>
      <c r="AA16" s="4"/>
      <c r="AB16" s="4"/>
      <c r="AC16" s="4"/>
      <c r="AD16" s="4"/>
      <c r="AE16" s="4"/>
      <c r="AF16" s="4"/>
      <c r="AG16" s="4"/>
      <c r="AH16" s="4"/>
      <c r="AI16" s="4"/>
      <c r="AJ16" s="78" t="str">
        <f>IF(E16="○",IF(COUNTA(E$13:E16)=1,"",",")&amp;D16,"")</f>
        <v>,item_name</v>
      </c>
      <c r="AK16" s="4"/>
      <c r="AL16" s="4"/>
      <c r="AM16" s="4"/>
      <c r="AN16" s="4"/>
      <c r="AO16" s="4"/>
      <c r="AP16" s="4"/>
      <c r="AQ16" s="4"/>
      <c r="AR16" s="4"/>
      <c r="AS16" s="78" t="str">
        <f ca="1">"COMMENT ON COLUMN "&amp;エンティティ一覧!$O$2&amp;"."&amp;D$8&amp;"."&amp;D16&amp;" IS '"&amp;C16&amp;"';"</f>
        <v>COMMENT ON COLUMN milscm_2023_009.sny_202310_backup_mart_patient_basic__mt_kensa.item_name IS '検査名';</v>
      </c>
    </row>
    <row r="17" spans="1:52" s="25" customFormat="1">
      <c r="A17" s="4"/>
      <c r="B17" s="21">
        <f t="shared" si="0"/>
        <v>5</v>
      </c>
      <c r="C17" s="6" t="s">
        <v>3867</v>
      </c>
      <c r="D17" s="6" t="s">
        <v>3868</v>
      </c>
      <c r="E17" s="8" t="s">
        <v>127</v>
      </c>
      <c r="F17" s="7" t="s">
        <v>3850</v>
      </c>
      <c r="G17" s="7" t="str">
        <f t="shared" si="1"/>
        <v>text</v>
      </c>
      <c r="H17" s="67"/>
      <c r="I17" s="8" t="s">
        <v>127</v>
      </c>
      <c r="J17" s="11"/>
      <c r="N17" s="78"/>
      <c r="O17" s="78"/>
      <c r="P17" s="78" t="str">
        <f t="shared" si="2"/>
        <v>,item_code</v>
      </c>
      <c r="Q17" s="78" t="str">
        <f t="shared" si="3"/>
        <v>TEXT</v>
      </c>
      <c r="R17" s="78" t="str">
        <f t="shared" si="4"/>
        <v/>
      </c>
      <c r="S17" s="78" t="str">
        <f t="shared" si="5"/>
        <v>NOT NULL</v>
      </c>
      <c r="T17" s="78" t="str">
        <f t="shared" si="6"/>
        <v>-- 検査名_施設固有コード</v>
      </c>
      <c r="U17" s="4"/>
      <c r="AA17" s="4"/>
      <c r="AB17" s="4"/>
      <c r="AC17" s="4"/>
      <c r="AD17" s="4"/>
      <c r="AE17" s="4"/>
      <c r="AF17" s="4"/>
      <c r="AG17" s="4"/>
      <c r="AH17" s="4"/>
      <c r="AI17" s="4"/>
      <c r="AJ17" s="78" t="str">
        <f>IF(E17="○",IF(COUNTA(E$13:E17)=1,"",",")&amp;D17,"")</f>
        <v>,item_code</v>
      </c>
      <c r="AK17" s="4"/>
      <c r="AL17" s="4"/>
      <c r="AM17" s="4"/>
      <c r="AN17" s="4"/>
      <c r="AO17" s="4"/>
      <c r="AP17" s="4"/>
      <c r="AQ17" s="4"/>
      <c r="AR17" s="4"/>
      <c r="AS17" s="78" t="str">
        <f ca="1">"COMMENT ON COLUMN "&amp;エンティティ一覧!$O$2&amp;"."&amp;D$8&amp;"."&amp;D17&amp;" IS '"&amp;C17&amp;"';"</f>
        <v>COMMENT ON COLUMN milscm_2023_009.sny_202310_backup_mart_patient_basic__mt_kensa.item_code IS '検査名_施設固有コード';</v>
      </c>
    </row>
    <row r="18" spans="1:52" s="25" customFormat="1">
      <c r="A18" s="4"/>
      <c r="B18" s="21">
        <f t="shared" si="0"/>
        <v>6</v>
      </c>
      <c r="C18" s="6" t="s">
        <v>3874</v>
      </c>
      <c r="D18" s="6" t="s">
        <v>3875</v>
      </c>
      <c r="E18" s="8" t="s">
        <v>127</v>
      </c>
      <c r="F18" s="7" t="s">
        <v>3296</v>
      </c>
      <c r="G18" s="7" t="str">
        <f t="shared" si="1"/>
        <v>text</v>
      </c>
      <c r="H18" s="67"/>
      <c r="I18" s="8" t="s">
        <v>127</v>
      </c>
      <c r="J18" s="11"/>
      <c r="N18" s="78"/>
      <c r="O18" s="78"/>
      <c r="P18" s="78" t="str">
        <f t="shared" si="2"/>
        <v>,unit</v>
      </c>
      <c r="Q18" s="78" t="str">
        <f t="shared" si="3"/>
        <v>TEXT</v>
      </c>
      <c r="R18" s="78" t="str">
        <f t="shared" si="4"/>
        <v/>
      </c>
      <c r="S18" s="78" t="str">
        <f t="shared" si="5"/>
        <v>NOT NULL</v>
      </c>
      <c r="T18" s="78" t="str">
        <f t="shared" si="6"/>
        <v>-- 単位</v>
      </c>
      <c r="U18" s="4"/>
      <c r="AA18" s="4"/>
      <c r="AB18" s="4"/>
      <c r="AC18" s="4"/>
      <c r="AD18" s="4"/>
      <c r="AE18" s="4"/>
      <c r="AF18" s="4"/>
      <c r="AG18" s="4"/>
      <c r="AH18" s="4"/>
      <c r="AI18" s="4"/>
      <c r="AJ18" s="78" t="str">
        <f>IF(E18="○",IF(COUNTA(E$13:E18)=1,"",",")&amp;D18,"")</f>
        <v>,unit</v>
      </c>
      <c r="AK18" s="4"/>
      <c r="AL18" s="4"/>
      <c r="AM18" s="4"/>
      <c r="AN18" s="4"/>
      <c r="AO18" s="4"/>
      <c r="AP18" s="4"/>
      <c r="AQ18" s="4"/>
      <c r="AR18" s="4"/>
      <c r="AS18" s="78" t="str">
        <f ca="1">"COMMENT ON COLUMN "&amp;エンティティ一覧!$O$2&amp;"."&amp;D$8&amp;"."&amp;D18&amp;" IS '"&amp;C18&amp;"';"</f>
        <v>COMMENT ON COLUMN milscm_2023_009.sny_202310_backup_mart_patient_basic__mt_kensa.unit IS '単位';</v>
      </c>
    </row>
    <row r="19" spans="1:52" s="25" customFormat="1">
      <c r="A19" s="4"/>
      <c r="B19" s="21">
        <f t="shared" si="0"/>
        <v>7</v>
      </c>
      <c r="C19" s="6" t="s">
        <v>3869</v>
      </c>
      <c r="D19" s="6" t="s">
        <v>3870</v>
      </c>
      <c r="E19" s="8"/>
      <c r="F19" s="7" t="s">
        <v>3296</v>
      </c>
      <c r="G19" s="7" t="str">
        <f t="shared" si="1"/>
        <v>text</v>
      </c>
      <c r="H19" s="67"/>
      <c r="I19" s="8" t="s">
        <v>127</v>
      </c>
      <c r="J19" s="11"/>
      <c r="N19" s="78"/>
      <c r="O19" s="78"/>
      <c r="P19" s="78" t="str">
        <f t="shared" si="2"/>
        <v>,m_unit</v>
      </c>
      <c r="Q19" s="78" t="str">
        <f t="shared" si="3"/>
        <v>TEXT</v>
      </c>
      <c r="R19" s="78" t="str">
        <f t="shared" si="4"/>
        <v/>
      </c>
      <c r="S19" s="78" t="str">
        <f t="shared" si="5"/>
        <v>NOT NULL</v>
      </c>
      <c r="T19" s="78" t="str">
        <f t="shared" si="6"/>
        <v>-- 一般単位</v>
      </c>
      <c r="U19" s="4"/>
      <c r="AA19" s="4"/>
      <c r="AB19" s="4"/>
      <c r="AC19" s="4"/>
      <c r="AD19" s="4"/>
      <c r="AE19" s="4"/>
      <c r="AF19" s="4"/>
      <c r="AG19" s="4"/>
      <c r="AH19" s="4"/>
      <c r="AI19" s="4"/>
      <c r="AJ19" s="78" t="str">
        <f>IF(E19="○",IF(COUNTA(E$13:E19)=1,"",",")&amp;D19,"")</f>
        <v/>
      </c>
      <c r="AK19" s="4"/>
      <c r="AL19" s="4"/>
      <c r="AM19" s="4"/>
      <c r="AN19" s="4"/>
      <c r="AO19" s="4"/>
      <c r="AP19" s="4"/>
      <c r="AQ19" s="4"/>
      <c r="AR19" s="4"/>
      <c r="AS19" s="78" t="str">
        <f ca="1">"COMMENT ON COLUMN "&amp;エンティティ一覧!$O$2&amp;"."&amp;D$8&amp;"."&amp;D19&amp;" IS '"&amp;C19&amp;"';"</f>
        <v>COMMENT ON COLUMN milscm_2023_009.sny_202310_backup_mart_patient_basic__mt_kensa.m_unit IS '一般単位';</v>
      </c>
    </row>
    <row r="20" spans="1:52" s="25" customFormat="1">
      <c r="A20" s="4"/>
      <c r="B20" s="21">
        <f t="shared" si="0"/>
        <v>8</v>
      </c>
      <c r="C20" s="6" t="s">
        <v>3876</v>
      </c>
      <c r="D20" s="6" t="s">
        <v>3877</v>
      </c>
      <c r="E20" s="8"/>
      <c r="F20" s="7" t="s">
        <v>3850</v>
      </c>
      <c r="G20" s="7" t="str">
        <f t="shared" si="1"/>
        <v>text</v>
      </c>
      <c r="H20" s="67"/>
      <c r="I20" s="8" t="s">
        <v>127</v>
      </c>
      <c r="J20" s="11"/>
      <c r="N20" s="78"/>
      <c r="O20" s="78"/>
      <c r="P20" s="78" t="str">
        <f t="shared" si="2"/>
        <v>,disp_name</v>
      </c>
      <c r="Q20" s="78" t="str">
        <f t="shared" si="3"/>
        <v>TEXT</v>
      </c>
      <c r="R20" s="78" t="str">
        <f t="shared" si="4"/>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 ca="1">"COMMENT ON COLUMN "&amp;エンティティ一覧!$O$2&amp;"."&amp;D$8&amp;"."&amp;D20&amp;" IS '"&amp;C20&amp;"';"</f>
        <v>COMMENT ON COLUMN milscm_2023_009.sny_202310_backup_mart_patient_basic__mt_kensa.disp_name IS '表示名';</v>
      </c>
    </row>
    <row r="21" spans="1:52" s="25" customFormat="1" ht="18" thickBot="1">
      <c r="A21" s="4"/>
      <c r="B21" s="66">
        <f t="shared" si="0"/>
        <v>9</v>
      </c>
      <c r="C21" s="28" t="s">
        <v>3871</v>
      </c>
      <c r="D21" s="28" t="s">
        <v>3872</v>
      </c>
      <c r="E21" s="29"/>
      <c r="F21" s="56" t="s">
        <v>3873</v>
      </c>
      <c r="G21" s="56" t="str">
        <f t="shared" si="1"/>
        <v>numeric</v>
      </c>
      <c r="H21" s="68"/>
      <c r="I21" s="29"/>
      <c r="J21" s="69"/>
      <c r="N21" s="78"/>
      <c r="O21" s="78"/>
      <c r="P21" s="78" t="str">
        <f t="shared" si="2"/>
        <v>,rate</v>
      </c>
      <c r="Q21" s="78" t="str">
        <f t="shared" si="3"/>
        <v>NUMERIC</v>
      </c>
      <c r="R21" s="78" t="str">
        <f t="shared" si="4"/>
        <v/>
      </c>
      <c r="S21" s="78" t="str">
        <f t="shared" si="5"/>
        <v/>
      </c>
      <c r="T21" s="78" t="str">
        <f t="shared" si="6"/>
        <v>-- 換算率</v>
      </c>
      <c r="U21" s="4"/>
      <c r="AA21" s="4"/>
      <c r="AB21" s="4"/>
      <c r="AC21" s="4"/>
      <c r="AD21" s="4"/>
      <c r="AE21" s="4"/>
      <c r="AF21" s="4"/>
      <c r="AG21" s="4"/>
      <c r="AH21" s="4"/>
      <c r="AI21" s="4"/>
      <c r="AJ21" s="78" t="str">
        <f>IF(E21="○",IF(COUNTA(E$13:E21)=1,"",",")&amp;D21,"")</f>
        <v/>
      </c>
      <c r="AK21" s="4"/>
      <c r="AL21" s="4"/>
      <c r="AM21" s="4"/>
      <c r="AN21" s="4"/>
      <c r="AO21" s="4"/>
      <c r="AP21" s="4"/>
      <c r="AQ21" s="4"/>
      <c r="AR21" s="4"/>
      <c r="AS21" s="78" t="str">
        <f ca="1">"COMMENT ON COLUMN "&amp;エンティティ一覧!$O$2&amp;"."&amp;D$8&amp;"."&amp;D21&amp;" IS '"&amp;C21&amp;"';"</f>
        <v>COMMENT ON COLUMN milscm_2023_009.sny_202310_backup_mart_patient_basic__mt_kensa.rate IS '換算率';</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B9:C9"/>
    <mergeCell ref="D9:J9"/>
    <mergeCell ref="D8:J8"/>
    <mergeCell ref="B5:C5"/>
    <mergeCell ref="D5:J5"/>
    <mergeCell ref="B6:C6"/>
    <mergeCell ref="D6:J6"/>
    <mergeCell ref="B7:C7"/>
    <mergeCell ref="D7:J7"/>
  </mergeCells>
  <phoneticPr fontId="8"/>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11</v>
      </c>
      <c r="E4" s="227"/>
      <c r="F4" s="227"/>
      <c r="G4" s="227"/>
      <c r="H4" s="227"/>
      <c r="I4" s="227"/>
      <c r="J4" s="228"/>
    </row>
    <row r="5" spans="1:45">
      <c r="B5" s="240" t="s">
        <v>3723</v>
      </c>
      <c r="C5" s="241"/>
      <c r="D5" s="250" t="str">
        <f>VLOOKUP(D7,エンティティ一覧!A1:'エンティティ一覧'!AM10147,7,FALSE)</f>
        <v>enroll</v>
      </c>
      <c r="E5" s="251"/>
      <c r="F5" s="251"/>
      <c r="G5" s="251"/>
      <c r="H5" s="251"/>
      <c r="I5" s="251"/>
      <c r="J5" s="252"/>
    </row>
    <row r="6" spans="1:45">
      <c r="B6" s="240" t="s">
        <v>3724</v>
      </c>
      <c r="C6" s="241"/>
      <c r="D6" s="250" t="str">
        <f>VLOOKUP(D7,エンティティ一覧!A1:'エンティティ一覧'!AM10147,15,FALSE)</f>
        <v>ENT_11_05</v>
      </c>
      <c r="E6" s="251"/>
      <c r="F6" s="251"/>
      <c r="G6" s="251"/>
      <c r="H6" s="251"/>
      <c r="I6" s="251"/>
      <c r="J6" s="252"/>
    </row>
    <row r="7" spans="1:45">
      <c r="B7" s="240" t="s">
        <v>115</v>
      </c>
      <c r="C7" s="241"/>
      <c r="D7" s="242" t="s">
        <v>3862</v>
      </c>
      <c r="E7" s="243"/>
      <c r="F7" s="243"/>
      <c r="G7" s="243"/>
      <c r="H7" s="243"/>
      <c r="I7" s="243"/>
      <c r="J7" s="244"/>
    </row>
    <row r="8" spans="1:45">
      <c r="B8" s="240" t="s">
        <v>116</v>
      </c>
      <c r="C8" s="241"/>
      <c r="D8" s="242" t="str">
        <f>エンティティ一覧!AE2&amp;"_"&amp;D5&amp;"_kensa"</f>
        <v>sny_202310_enroll_kensa</v>
      </c>
      <c r="E8" s="243"/>
      <c r="F8" s="243"/>
      <c r="G8" s="243"/>
      <c r="H8" s="243"/>
      <c r="I8" s="243"/>
      <c r="J8" s="244"/>
    </row>
    <row r="9" spans="1:45" ht="19.5" customHeight="1" thickBot="1">
      <c r="B9" s="245" t="s">
        <v>117</v>
      </c>
      <c r="C9" s="246"/>
      <c r="D9" s="247" t="s">
        <v>3879</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milscm_2023_009.sny_202310_enroll_kensa;</v>
      </c>
      <c r="O10" s="78"/>
      <c r="P10" s="78"/>
      <c r="Q10" s="78"/>
      <c r="R10" s="78"/>
      <c r="S10" s="78"/>
      <c r="T10" s="78"/>
      <c r="AJ10" s="78" t="str">
        <f>"ALTER TABLE ONLY "&amp;エンティティ一覧!$O$2&amp;"."&amp;D$8</f>
        <v>ALTER TABLE ONLY milscm_2023_009.sny_202310_enroll_kensa</v>
      </c>
      <c r="AS10" s="78" t="str">
        <f>"ALTER TABLE "&amp;エンティティ一覧!$O$2&amp;"."&amp;D$8&amp;" OWNER TO pgmisgrp1;"</f>
        <v>ALTER TABLE milscm_2023_009.sny_202310_enroll_kensa OWNER TO pgmisgrp1;</v>
      </c>
    </row>
    <row r="11" spans="1:45" ht="18" thickBot="1">
      <c r="B11" s="20" t="s">
        <v>118</v>
      </c>
      <c r="C11" s="19"/>
      <c r="D11" s="5"/>
      <c r="E11" s="5"/>
      <c r="F11" s="5"/>
      <c r="G11" s="5"/>
      <c r="H11" s="5"/>
      <c r="I11" s="5"/>
      <c r="J11" s="18"/>
      <c r="N11" s="78" t="str">
        <f>"CREATE TABLE  "&amp;エンティティ一覧!$O$2&amp;"."&amp;D$8</f>
        <v>CREATE TABLE  milscm_2023_009.sny_202310_enroll_kensa</v>
      </c>
      <c r="O11" s="78"/>
      <c r="P11" s="78"/>
      <c r="Q11" s="78"/>
      <c r="R11" s="78"/>
      <c r="S11" s="78"/>
      <c r="T11" s="78"/>
      <c r="AJ11" s="78" t="str">
        <f>"ADD CONSTRAINT "&amp;D$8&amp;"_pkey PRIMARY KEY"</f>
        <v>ADD CONSTRAINT sny_202310_enroll_kensa_pkey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739</v>
      </c>
      <c r="G13" s="7" t="str">
        <f t="shared" ref="G13:G20" si="1">IF(F13="フラグ","boolean",IF(F13="文字列","text",IF(F13="整数","integer",IF(F13="実数","numeric",""))))</f>
        <v>text</v>
      </c>
      <c r="H13" s="9"/>
      <c r="I13" s="10" t="s">
        <v>127</v>
      </c>
      <c r="J13" s="24"/>
      <c r="M13" s="4"/>
      <c r="N13" s="78"/>
      <c r="O13" s="78"/>
      <c r="P13" s="78" t="str">
        <f t="shared" ref="P13:P20" si="2">IF(B13&lt;&gt;1,","&amp;D13,D13)</f>
        <v>facility_id</v>
      </c>
      <c r="Q13" s="78" t="str">
        <f t="shared" ref="Q13:Q21" si="3">UPPER(G13)</f>
        <v>TEXT</v>
      </c>
      <c r="R13" s="78" t="str">
        <f t="shared" ref="R13:R21" si="4">IF(H13&lt;&gt;"","default "&amp;IF(G13="text","'"&amp;H13&amp;"'",H13),"")</f>
        <v/>
      </c>
      <c r="S13" s="78" t="str">
        <f t="shared" ref="S13:S21" si="5">IF(I13="○","NOT NULL","")</f>
        <v>NOT NULL</v>
      </c>
      <c r="T13" s="78" t="str">
        <f t="shared" ref="T13:T21" si="6">"--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milscm_2023_009.sny_202310_enroll_kensa.facility_id IS '施設ID';</v>
      </c>
    </row>
    <row r="14" spans="1:45" s="25" customFormat="1">
      <c r="A14" s="4"/>
      <c r="B14" s="21">
        <f t="shared" si="0"/>
        <v>2</v>
      </c>
      <c r="C14" s="13" t="s">
        <v>1265</v>
      </c>
      <c r="D14" s="13" t="s">
        <v>1266</v>
      </c>
      <c r="E14" s="7" t="s">
        <v>127</v>
      </c>
      <c r="F14" s="7" t="s">
        <v>867</v>
      </c>
      <c r="G14" s="7" t="str">
        <f t="shared" si="1"/>
        <v>text</v>
      </c>
      <c r="H14" s="9"/>
      <c r="I14" s="10" t="s">
        <v>127</v>
      </c>
      <c r="J14" s="24"/>
      <c r="M14" s="4"/>
      <c r="N14" s="78"/>
      <c r="O14" s="78"/>
      <c r="P14" s="78" t="str">
        <f t="shared" si="2"/>
        <v>,master_id</v>
      </c>
      <c r="Q14" s="78" t="str">
        <f t="shared" si="3"/>
        <v>TEXT</v>
      </c>
      <c r="R14" s="78" t="str">
        <f t="shared" si="4"/>
        <v/>
      </c>
      <c r="S14" s="78" t="str">
        <f t="shared" si="5"/>
        <v>NOT NULL</v>
      </c>
      <c r="T14" s="78" t="str">
        <f t="shared" si="6"/>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milscm_2023_009.sny_202310_enroll_kensa.master_id IS '患者ID';</v>
      </c>
    </row>
    <row r="15" spans="1:45" s="25" customFormat="1">
      <c r="A15" s="4"/>
      <c r="B15" s="21">
        <f t="shared" si="0"/>
        <v>3</v>
      </c>
      <c r="C15" s="13" t="s">
        <v>1626</v>
      </c>
      <c r="D15" s="13" t="s">
        <v>1627</v>
      </c>
      <c r="E15" s="7" t="s">
        <v>127</v>
      </c>
      <c r="F15" s="7" t="s">
        <v>867</v>
      </c>
      <c r="G15" s="7" t="str">
        <f t="shared" si="1"/>
        <v>text</v>
      </c>
      <c r="H15" s="9"/>
      <c r="I15" s="10" t="s">
        <v>127</v>
      </c>
      <c r="J15" s="24"/>
      <c r="M15" s="4"/>
      <c r="N15" s="78"/>
      <c r="O15" s="78"/>
      <c r="P15" s="78" t="str">
        <f t="shared" si="2"/>
        <v>,specimen_name</v>
      </c>
      <c r="Q15" s="78" t="str">
        <f t="shared" si="3"/>
        <v>TEXT</v>
      </c>
      <c r="R15" s="78" t="str">
        <f t="shared" si="4"/>
        <v/>
      </c>
      <c r="S15" s="78" t="str">
        <f t="shared" si="5"/>
        <v>NOT NULL</v>
      </c>
      <c r="T15" s="78" t="str">
        <f t="shared" si="6"/>
        <v>-- 検体材料</v>
      </c>
      <c r="U15" s="4"/>
      <c r="AA15" s="4"/>
      <c r="AB15" s="4"/>
      <c r="AC15" s="4"/>
      <c r="AD15" s="4"/>
      <c r="AE15" s="4"/>
      <c r="AF15" s="4"/>
      <c r="AG15" s="4"/>
      <c r="AH15" s="4"/>
      <c r="AI15" s="4"/>
      <c r="AJ15" s="78" t="str">
        <f>IF(E15="○",IF(COUNTA(E$13:E15)=1,"",",")&amp;D15,"")</f>
        <v>,specimen_name</v>
      </c>
      <c r="AK15" s="4"/>
      <c r="AL15" s="4"/>
      <c r="AM15" s="4"/>
      <c r="AN15" s="4"/>
      <c r="AO15" s="4"/>
      <c r="AP15" s="4"/>
      <c r="AQ15" s="4"/>
      <c r="AR15" s="4"/>
      <c r="AS15" s="78" t="str">
        <f>"COMMENT ON COLUMN "&amp;エンティティ一覧!$O$2&amp;"."&amp;D$8&amp;"."&amp;D15&amp;" IS '"&amp;C15&amp;"';"</f>
        <v>COMMENT ON COLUMN milscm_2023_009.sny_202310_enroll_kensa.specimen_name IS '検体材料';</v>
      </c>
    </row>
    <row r="16" spans="1:45" s="25" customFormat="1">
      <c r="A16" s="4"/>
      <c r="B16" s="21">
        <f t="shared" si="0"/>
        <v>4</v>
      </c>
      <c r="C16" s="13" t="s">
        <v>1628</v>
      </c>
      <c r="D16" s="13" t="s">
        <v>1629</v>
      </c>
      <c r="E16" s="7" t="s">
        <v>127</v>
      </c>
      <c r="F16" s="7" t="s">
        <v>867</v>
      </c>
      <c r="G16" s="7" t="str">
        <f t="shared" si="1"/>
        <v>text</v>
      </c>
      <c r="H16" s="9"/>
      <c r="I16" s="10" t="s">
        <v>127</v>
      </c>
      <c r="J16" s="24"/>
      <c r="M16" s="4"/>
      <c r="N16" s="78"/>
      <c r="O16" s="78"/>
      <c r="P16" s="78" t="str">
        <f t="shared" si="2"/>
        <v>,sp_code</v>
      </c>
      <c r="Q16" s="78" t="str">
        <f t="shared" ref="Q16:Q19" si="7">UPPER(G16)</f>
        <v>TEXT</v>
      </c>
      <c r="R16" s="78" t="str">
        <f t="shared" ref="R16:R19" si="8">IF(H16&lt;&gt;"","default "&amp;IF(G16="text","'"&amp;H16&amp;"'",H16),"")</f>
        <v/>
      </c>
      <c r="S16" s="78" t="str">
        <f t="shared" si="5"/>
        <v>NOT NULL</v>
      </c>
      <c r="T16" s="78" t="str">
        <f t="shared" si="6"/>
        <v>-- 検体材料コード</v>
      </c>
      <c r="U16" s="4"/>
      <c r="AA16" s="4"/>
      <c r="AB16" s="4"/>
      <c r="AC16" s="4"/>
      <c r="AD16" s="4"/>
      <c r="AE16" s="4"/>
      <c r="AF16" s="4"/>
      <c r="AG16" s="4"/>
      <c r="AH16" s="4"/>
      <c r="AI16" s="4"/>
      <c r="AJ16" s="78" t="str">
        <f>IF(E16="○",IF(COUNTA(E$13:E16)=1,"",",")&amp;D16,"")</f>
        <v>,sp_code</v>
      </c>
      <c r="AK16" s="4"/>
      <c r="AL16" s="4"/>
      <c r="AM16" s="4"/>
      <c r="AN16" s="4"/>
      <c r="AO16" s="4"/>
      <c r="AP16" s="4"/>
      <c r="AQ16" s="4"/>
      <c r="AR16" s="4"/>
      <c r="AS16" s="78" t="str">
        <f>"COMMENT ON COLUMN "&amp;エンティティ一覧!$O$2&amp;"."&amp;D$8&amp;"."&amp;D16&amp;" IS '"&amp;C16&amp;"';"</f>
        <v>COMMENT ON COLUMN milscm_2023_009.sny_202310_enroll_kensa.sp_code IS '検体材料コード';</v>
      </c>
    </row>
    <row r="17" spans="1:52" s="25" customFormat="1">
      <c r="A17" s="4"/>
      <c r="B17" s="21">
        <f t="shared" si="0"/>
        <v>5</v>
      </c>
      <c r="C17" s="13" t="s">
        <v>1645</v>
      </c>
      <c r="D17" s="13" t="s">
        <v>1646</v>
      </c>
      <c r="E17" s="7" t="s">
        <v>127</v>
      </c>
      <c r="F17" s="7" t="s">
        <v>867</v>
      </c>
      <c r="G17" s="7" t="str">
        <f t="shared" si="1"/>
        <v>text</v>
      </c>
      <c r="H17" s="9"/>
      <c r="I17" s="10" t="s">
        <v>127</v>
      </c>
      <c r="J17" s="24"/>
      <c r="M17" s="4"/>
      <c r="N17" s="78"/>
      <c r="O17" s="78"/>
      <c r="P17" s="78" t="str">
        <f t="shared" si="2"/>
        <v>,facility_it_code</v>
      </c>
      <c r="Q17" s="78" t="str">
        <f t="shared" si="7"/>
        <v>TEXT</v>
      </c>
      <c r="R17" s="78" t="str">
        <f t="shared" si="8"/>
        <v/>
      </c>
      <c r="S17" s="78" t="str">
        <f t="shared" si="5"/>
        <v>NOT NULL</v>
      </c>
      <c r="T17" s="78" t="str">
        <f t="shared" si="6"/>
        <v>-- 施設固有コード</v>
      </c>
      <c r="U17" s="4"/>
      <c r="AA17" s="4"/>
      <c r="AB17" s="4"/>
      <c r="AC17" s="4"/>
      <c r="AD17" s="4"/>
      <c r="AE17" s="4"/>
      <c r="AF17" s="4"/>
      <c r="AG17" s="4"/>
      <c r="AH17" s="4"/>
      <c r="AI17" s="4"/>
      <c r="AJ17" s="78" t="str">
        <f>IF(E17="○",IF(COUNTA(E$13:E17)=1,"",",")&amp;D17,"")</f>
        <v>,facility_it_code</v>
      </c>
      <c r="AK17" s="4"/>
      <c r="AL17" s="4"/>
      <c r="AM17" s="4"/>
      <c r="AN17" s="4"/>
      <c r="AO17" s="4"/>
      <c r="AP17" s="4"/>
      <c r="AQ17" s="4"/>
      <c r="AR17" s="4"/>
      <c r="AS17" s="78" t="str">
        <f>"COMMENT ON COLUMN "&amp;エンティティ一覧!$O$2&amp;"."&amp;D$8&amp;"."&amp;D17&amp;" IS '"&amp;C17&amp;"';"</f>
        <v>COMMENT ON COLUMN milscm_2023_009.sny_202310_enroll_kensa.facility_it_code IS '施設固有コード';</v>
      </c>
    </row>
    <row r="18" spans="1:52" s="25" customFormat="1">
      <c r="A18" s="4"/>
      <c r="B18" s="21">
        <f t="shared" si="0"/>
        <v>6</v>
      </c>
      <c r="C18" s="13" t="s">
        <v>1647</v>
      </c>
      <c r="D18" s="13" t="s">
        <v>1648</v>
      </c>
      <c r="E18" s="7" t="s">
        <v>127</v>
      </c>
      <c r="F18" s="7" t="s">
        <v>867</v>
      </c>
      <c r="G18" s="7" t="str">
        <f t="shared" si="1"/>
        <v>text</v>
      </c>
      <c r="H18" s="9"/>
      <c r="I18" s="10" t="s">
        <v>127</v>
      </c>
      <c r="J18" s="24"/>
      <c r="M18" s="4"/>
      <c r="N18" s="78"/>
      <c r="O18" s="78"/>
      <c r="P18" s="78" t="str">
        <f t="shared" si="2"/>
        <v>,facility_it_code_id</v>
      </c>
      <c r="Q18" s="78" t="str">
        <f t="shared" ref="Q18" si="9">UPPER(G18)</f>
        <v>TEXT</v>
      </c>
      <c r="R18" s="78" t="str">
        <f t="shared" ref="R18" si="10">IF(H18&lt;&gt;"","default "&amp;IF(G18="text","'"&amp;H18&amp;"'",H18),"")</f>
        <v/>
      </c>
      <c r="S18" s="78" t="str">
        <f t="shared" si="5"/>
        <v>NOT NULL</v>
      </c>
      <c r="T18" s="78" t="str">
        <f t="shared" si="6"/>
        <v>-- 施設固有コード体系名</v>
      </c>
      <c r="U18" s="4"/>
      <c r="AA18" s="4"/>
      <c r="AB18" s="4"/>
      <c r="AC18" s="4"/>
      <c r="AD18" s="4"/>
      <c r="AE18" s="4"/>
      <c r="AF18" s="4"/>
      <c r="AG18" s="4"/>
      <c r="AH18" s="4"/>
      <c r="AI18" s="4"/>
      <c r="AJ18" s="78" t="str">
        <f>IF(E18="○",IF(COUNTA(E$13:E18)=1,"",",")&amp;D18,"")</f>
        <v>,facility_it_code_id</v>
      </c>
      <c r="AK18" s="4"/>
      <c r="AL18" s="4"/>
      <c r="AM18" s="4"/>
      <c r="AN18" s="4"/>
      <c r="AO18" s="4"/>
      <c r="AP18" s="4"/>
      <c r="AQ18" s="4"/>
      <c r="AR18" s="4"/>
      <c r="AS18" s="78" t="str">
        <f>"COMMENT ON COLUMN "&amp;エンティティ一覧!$O$2&amp;"."&amp;D$8&amp;"."&amp;D18&amp;" IS '"&amp;C18&amp;"';"</f>
        <v>COMMENT ON COLUMN milscm_2023_009.sny_202310_enroll_kensa.facility_it_code_id IS '施設固有コード体系名';</v>
      </c>
    </row>
    <row r="19" spans="1:52" s="25" customFormat="1">
      <c r="A19" s="4"/>
      <c r="B19" s="21">
        <f t="shared" si="0"/>
        <v>7</v>
      </c>
      <c r="C19" s="13" t="s">
        <v>1671</v>
      </c>
      <c r="D19" s="13" t="s">
        <v>276</v>
      </c>
      <c r="E19" s="7" t="s">
        <v>127</v>
      </c>
      <c r="F19" s="7" t="s">
        <v>867</v>
      </c>
      <c r="G19" s="7" t="str">
        <f t="shared" si="1"/>
        <v>text</v>
      </c>
      <c r="H19" s="9"/>
      <c r="I19" s="10" t="s">
        <v>127</v>
      </c>
      <c r="J19" s="24"/>
      <c r="M19" s="4"/>
      <c r="N19" s="78"/>
      <c r="O19" s="78"/>
      <c r="P19" s="78" t="str">
        <f t="shared" si="2"/>
        <v>,unit</v>
      </c>
      <c r="Q19" s="78" t="str">
        <f t="shared" si="7"/>
        <v>TEXT</v>
      </c>
      <c r="R19" s="78" t="str">
        <f t="shared" si="8"/>
        <v/>
      </c>
      <c r="S19" s="78" t="str">
        <f t="shared" si="5"/>
        <v>NOT NULL</v>
      </c>
      <c r="T19" s="78" t="str">
        <f t="shared" si="6"/>
        <v>-- 単位</v>
      </c>
      <c r="U19" s="4"/>
      <c r="AA19" s="4"/>
      <c r="AB19" s="4"/>
      <c r="AC19" s="4"/>
      <c r="AD19" s="4"/>
      <c r="AE19" s="4"/>
      <c r="AF19" s="4"/>
      <c r="AG19" s="4"/>
      <c r="AH19" s="4"/>
      <c r="AI19" s="4"/>
      <c r="AJ19" s="78" t="str">
        <f>IF(E19="○",IF(COUNTA(E$13:E19)=1,"",",")&amp;D19,"")</f>
        <v>,unit</v>
      </c>
      <c r="AK19" s="4"/>
      <c r="AL19" s="4"/>
      <c r="AM19" s="4"/>
      <c r="AN19" s="4"/>
      <c r="AO19" s="4"/>
      <c r="AP19" s="4"/>
      <c r="AQ19" s="4"/>
      <c r="AR19" s="4"/>
      <c r="AS19" s="78" t="str">
        <f>"COMMENT ON COLUMN "&amp;エンティティ一覧!$O$2&amp;"."&amp;D$8&amp;"."&amp;D19&amp;" IS '"&amp;C19&amp;"';"</f>
        <v>COMMENT ON COLUMN milscm_2023_009.sny_202310_enroll_kensa.unit IS '単位';</v>
      </c>
    </row>
    <row r="20" spans="1:52" s="25" customFormat="1">
      <c r="A20" s="4"/>
      <c r="B20" s="21">
        <f t="shared" si="0"/>
        <v>8</v>
      </c>
      <c r="C20" s="13" t="s">
        <v>3878</v>
      </c>
      <c r="D20" s="13" t="s">
        <v>3877</v>
      </c>
      <c r="E20" s="7"/>
      <c r="F20" s="7" t="s">
        <v>867</v>
      </c>
      <c r="G20" s="7" t="str">
        <f t="shared" si="1"/>
        <v>text</v>
      </c>
      <c r="H20" s="9"/>
      <c r="I20" s="10" t="s">
        <v>127</v>
      </c>
      <c r="J20" s="24"/>
      <c r="M20" s="4"/>
      <c r="N20" s="78"/>
      <c r="O20" s="78"/>
      <c r="P20" s="78" t="str">
        <f t="shared" si="2"/>
        <v>,disp_name</v>
      </c>
      <c r="Q20" s="78" t="str">
        <f t="shared" ref="Q20" si="11">UPPER(G20)</f>
        <v>TEXT</v>
      </c>
      <c r="R20" s="78" t="str">
        <f t="shared" ref="R20" si="12">IF(H20&lt;&gt;"","default "&amp;IF(G20="text","'"&amp;H20&amp;"'",H20),"")</f>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milscm_2023_009.sny_202310_enroll_kensa.disp_name IS '表示名';</v>
      </c>
    </row>
    <row r="21" spans="1:52" s="25" customFormat="1" ht="18" thickBot="1">
      <c r="A21" s="4"/>
      <c r="B21" s="66">
        <f t="shared" ref="B21" si="13">ROW()-12</f>
        <v>9</v>
      </c>
      <c r="C21" s="28" t="s">
        <v>1568</v>
      </c>
      <c r="D21" s="28" t="s">
        <v>1569</v>
      </c>
      <c r="E21" s="29" t="s">
        <v>127</v>
      </c>
      <c r="F21" s="56" t="s">
        <v>867</v>
      </c>
      <c r="G21" s="56" t="str">
        <f t="shared" ref="G21" si="14">IF(F21="フラグ","boolean",IF(F21="文字列","text",IF(F21="整数","integer",IF(F21="実数","numeric",""))))</f>
        <v>text</v>
      </c>
      <c r="H21" s="59"/>
      <c r="I21" s="60" t="s">
        <v>127</v>
      </c>
      <c r="J21" s="61"/>
      <c r="M21" s="4"/>
      <c r="N21" s="78"/>
      <c r="O21" s="78"/>
      <c r="P21" s="78" t="str">
        <f t="shared" ref="P21" si="15">IF(B21&lt;&gt;1,","&amp;D21,D21)</f>
        <v>,sample_time</v>
      </c>
      <c r="Q21" s="78" t="str">
        <f t="shared" si="3"/>
        <v>TEXT</v>
      </c>
      <c r="R21" s="78" t="str">
        <f t="shared" si="4"/>
        <v/>
      </c>
      <c r="S21" s="78" t="str">
        <f t="shared" si="5"/>
        <v>NOT NULL</v>
      </c>
      <c r="T21" s="78" t="str">
        <f t="shared" si="6"/>
        <v>-- 採取日時</v>
      </c>
      <c r="U21" s="4"/>
      <c r="AA21" s="4"/>
      <c r="AB21" s="4"/>
      <c r="AC21" s="4"/>
      <c r="AD21" s="4"/>
      <c r="AE21" s="4"/>
      <c r="AF21" s="4"/>
      <c r="AG21" s="4"/>
      <c r="AH21" s="4"/>
      <c r="AI21" s="4"/>
      <c r="AJ21" s="78" t="str">
        <f>IF(E21="○",IF(COUNTA(E$13:E21)=1,"",",")&amp;D21,"")</f>
        <v>,sample_time</v>
      </c>
      <c r="AK21" s="4"/>
      <c r="AL21" s="4"/>
      <c r="AM21" s="4"/>
      <c r="AN21" s="4"/>
      <c r="AO21" s="4"/>
      <c r="AP21" s="4"/>
      <c r="AQ21" s="4"/>
      <c r="AR21" s="4"/>
      <c r="AS21" s="78" t="str">
        <f>"COMMENT ON COLUMN "&amp;エンティティ一覧!$O$2&amp;"."&amp;D$8&amp;"."&amp;D21&amp;" IS '"&amp;C21&amp;"';"</f>
        <v>COMMENT ON COLUMN milscm_2023_009.sny_202310_enroll_kensa.sample_time IS '採取日時';</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3722</v>
      </c>
      <c r="C4" s="225"/>
      <c r="D4" s="226" t="str">
        <f>VLOOKUP(D7,エンティティ一覧!A1:'エンティティ一覧'!AM10147,2,FALSE)</f>
        <v>11</v>
      </c>
      <c r="E4" s="227"/>
      <c r="F4" s="227"/>
      <c r="G4" s="227"/>
      <c r="H4" s="227"/>
      <c r="I4" s="227"/>
      <c r="J4" s="228"/>
    </row>
    <row r="5" spans="1:52">
      <c r="B5" s="240" t="s">
        <v>3723</v>
      </c>
      <c r="C5" s="241"/>
      <c r="D5" s="250" t="str">
        <f>VLOOKUP(D7,エンティティ一覧!A1:'エンティティ一覧'!AM10147,7,FALSE)</f>
        <v>enroll</v>
      </c>
      <c r="E5" s="251"/>
      <c r="F5" s="251"/>
      <c r="G5" s="251"/>
      <c r="H5" s="251"/>
      <c r="I5" s="251"/>
      <c r="J5" s="252"/>
    </row>
    <row r="6" spans="1:52">
      <c r="B6" s="240" t="s">
        <v>3724</v>
      </c>
      <c r="C6" s="241"/>
      <c r="D6" s="250" t="str">
        <f>VLOOKUP(D7,エンティティ一覧!A1:'エンティティ一覧'!AM10147,15,FALSE)</f>
        <v>ENT_11_06</v>
      </c>
      <c r="E6" s="251"/>
      <c r="F6" s="251"/>
      <c r="G6" s="251"/>
      <c r="H6" s="251"/>
      <c r="I6" s="251"/>
      <c r="J6" s="252"/>
    </row>
    <row r="7" spans="1:52">
      <c r="B7" s="240" t="s">
        <v>115</v>
      </c>
      <c r="C7" s="241"/>
      <c r="D7" s="242" t="s">
        <v>304</v>
      </c>
      <c r="E7" s="243"/>
      <c r="F7" s="243"/>
      <c r="G7" s="243"/>
      <c r="H7" s="243"/>
      <c r="I7" s="243"/>
      <c r="J7" s="244"/>
    </row>
    <row r="8" spans="1:52">
      <c r="B8" s="240" t="s">
        <v>116</v>
      </c>
      <c r="C8" s="241"/>
      <c r="D8" s="242" t="str">
        <f>エンティティ一覧!AE2&amp;"_"&amp;D5&amp;"_kanja"</f>
        <v>sny_202310_enroll_kanja</v>
      </c>
      <c r="E8" s="243"/>
      <c r="F8" s="243"/>
      <c r="G8" s="243"/>
      <c r="H8" s="243"/>
      <c r="I8" s="243"/>
      <c r="J8" s="244"/>
    </row>
    <row r="9" spans="1:52" ht="19.5" customHeight="1" thickBot="1">
      <c r="B9" s="245" t="s">
        <v>117</v>
      </c>
      <c r="C9" s="246"/>
      <c r="D9" s="247" t="s">
        <v>3857</v>
      </c>
      <c r="E9" s="248"/>
      <c r="F9" s="248"/>
      <c r="G9" s="248"/>
      <c r="H9" s="248"/>
      <c r="I9" s="248"/>
      <c r="J9" s="249"/>
    </row>
    <row r="10" spans="1:52">
      <c r="B10" s="19"/>
      <c r="C10" s="19"/>
      <c r="D10" s="5"/>
      <c r="E10" s="5"/>
      <c r="F10" s="5"/>
      <c r="G10" s="5"/>
      <c r="H10" s="5"/>
      <c r="I10" s="5"/>
      <c r="J10" s="18"/>
      <c r="N10" s="78" t="str">
        <f>"--DROP TABLE  "&amp;エンティティ一覧!$O$2&amp;"."&amp;D$8&amp;";"</f>
        <v>--DROP TABLE  milscm_2023_009.sny_202310_enroll_kanja;</v>
      </c>
      <c r="O10" s="78"/>
      <c r="P10" s="78"/>
      <c r="Q10" s="78"/>
      <c r="R10" s="78"/>
      <c r="S10" s="78"/>
      <c r="T10" s="78"/>
      <c r="AJ10" s="78" t="str">
        <f>"ALTER TABLE ONLY "&amp;エンティティ一覧!$O$2&amp;"."&amp;D$8</f>
        <v>ALTER TABLE ONLY milscm_2023_009.sny_202310_enroll_kanja</v>
      </c>
      <c r="AS10" s="78" t="str">
        <f>"ALTER TABLE "&amp;エンティティ一覧!$O$2&amp;"."&amp;D$8&amp;" OWNER TO pgmisgrp1;"</f>
        <v>ALTER TABLE milscm_2023_009.sny_202310_enroll_kanja OWNER TO pgmisgrp1;</v>
      </c>
    </row>
    <row r="11" spans="1:52" ht="18" thickBot="1">
      <c r="B11" s="20" t="s">
        <v>118</v>
      </c>
      <c r="C11" s="19"/>
      <c r="D11" s="5"/>
      <c r="E11" s="5"/>
      <c r="F11" s="5"/>
      <c r="G11" s="5"/>
      <c r="H11" s="5"/>
      <c r="I11" s="5"/>
      <c r="J11" s="18"/>
      <c r="N11" s="78" t="str">
        <f>"CREATE TABLE  "&amp;エンティティ一覧!$O$2&amp;"."&amp;D$8</f>
        <v>CREATE TABLE  milscm_2023_009.sny_202310_enroll_kanja</v>
      </c>
      <c r="O11" s="78"/>
      <c r="P11" s="78"/>
      <c r="Q11" s="78"/>
      <c r="R11" s="78"/>
      <c r="S11" s="78"/>
      <c r="T11" s="78"/>
      <c r="AJ11" s="78" t="str">
        <f>"ADD CONSTRAINT "&amp;D$8&amp;"_pkey PRIMARY KEY"</f>
        <v>ADD CONSTRAINT sny_202310_enroll_kanja_pkey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4" si="0">UPPER(G13)</f>
        <v>TEXT</v>
      </c>
      <c r="R13" s="78" t="str">
        <f t="shared" ref="R13:R1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milscm_2023_009.sny_202310_enroll_kanja.facility_id IS '施設ID';</v>
      </c>
    </row>
    <row r="14" spans="1:52" s="25" customFormat="1" ht="18" thickBot="1">
      <c r="A14" s="4"/>
      <c r="B14" s="70">
        <f t="shared" ref="B14" si="2">ROW()-12</f>
        <v>2</v>
      </c>
      <c r="C14" s="28" t="s">
        <v>3856</v>
      </c>
      <c r="D14" s="28" t="s">
        <v>1865</v>
      </c>
      <c r="E14" s="29" t="s">
        <v>127</v>
      </c>
      <c r="F14" s="72" t="s">
        <v>317</v>
      </c>
      <c r="G14" s="72" t="str">
        <f t="shared" ref="G14" si="3">IF(F14="フラグ","boolean",IF(F14="文字列","text",IF(F14="整数","integer",IF(F14="実数","numeric",""))))</f>
        <v>text</v>
      </c>
      <c r="H14" s="73"/>
      <c r="I14" s="74" t="s">
        <v>127</v>
      </c>
      <c r="J14" s="75"/>
      <c r="M14" s="4"/>
      <c r="N14" s="78"/>
      <c r="O14" s="78"/>
      <c r="P14" s="78" t="str">
        <f t="shared" ref="P14" si="4">IF(B14&lt;&gt;1,","&amp;D14,D14)</f>
        <v>,himoduke_id</v>
      </c>
      <c r="Q14" s="78" t="str">
        <f t="shared" si="0"/>
        <v>TEXT</v>
      </c>
      <c r="R14" s="78" t="str">
        <f t="shared" si="1"/>
        <v/>
      </c>
      <c r="S14" s="78" t="str">
        <f>IF(I14="○","NOT NULL","")</f>
        <v>NOT NULL</v>
      </c>
      <c r="T14" s="78" t="str">
        <f>"--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milscm_2023_009.sny_202310_enroll_kanja.himoduke_id IS '紐付けID';</v>
      </c>
    </row>
    <row r="15" spans="1:52">
      <c r="L15" s="25"/>
      <c r="N15" s="78" t="s">
        <v>142</v>
      </c>
      <c r="O15" s="78"/>
      <c r="P15" s="78"/>
      <c r="Q15" s="78"/>
      <c r="R15" s="78"/>
      <c r="S15" s="78"/>
      <c r="T15" s="78"/>
      <c r="V15" s="25"/>
      <c r="W15" s="25"/>
      <c r="X15" s="25"/>
      <c r="Y15" s="25"/>
      <c r="Z15" s="25"/>
      <c r="AJ15" s="78"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election activeCell="B9" sqref="B9:C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21</v>
      </c>
      <c r="E4" s="227"/>
      <c r="F4" s="227"/>
      <c r="G4" s="227"/>
      <c r="H4" s="227"/>
      <c r="I4" s="227"/>
      <c r="J4" s="228"/>
    </row>
    <row r="5" spans="1:45">
      <c r="B5" s="240" t="s">
        <v>3723</v>
      </c>
      <c r="C5" s="241"/>
      <c r="D5" s="250" t="str">
        <f>VLOOKUP(D7,エンティティ一覧!A1:'エンティティ一覧'!AM10147,7,FALSE)</f>
        <v>mt</v>
      </c>
      <c r="E5" s="251"/>
      <c r="F5" s="251"/>
      <c r="G5" s="251"/>
      <c r="H5" s="251"/>
      <c r="I5" s="251"/>
      <c r="J5" s="252"/>
    </row>
    <row r="6" spans="1:45">
      <c r="B6" s="240" t="s">
        <v>3724</v>
      </c>
      <c r="C6" s="241"/>
      <c r="D6" s="250" t="str">
        <f>VLOOKUP(D7,エンティティ一覧!A1:'エンティティ一覧'!AM10147,15,FALSE)</f>
        <v>ENT_21_01</v>
      </c>
      <c r="E6" s="251"/>
      <c r="F6" s="251"/>
      <c r="G6" s="251"/>
      <c r="H6" s="251"/>
      <c r="I6" s="251"/>
      <c r="J6" s="252"/>
    </row>
    <row r="7" spans="1:45">
      <c r="B7" s="240" t="s">
        <v>115</v>
      </c>
      <c r="C7" s="241"/>
      <c r="D7" s="242" t="s">
        <v>3886</v>
      </c>
      <c r="E7" s="243"/>
      <c r="F7" s="243"/>
      <c r="G7" s="243"/>
      <c r="H7" s="243"/>
      <c r="I7" s="243"/>
      <c r="J7" s="244"/>
    </row>
    <row r="8" spans="1:45">
      <c r="B8" s="240" t="s">
        <v>116</v>
      </c>
      <c r="C8" s="241"/>
      <c r="D8" s="242" t="str">
        <f>エンティティ一覧!AE2&amp;"_"&amp;D5&amp;"_kanja_list"</f>
        <v>sny_202310_mt_kanja_list</v>
      </c>
      <c r="E8" s="243"/>
      <c r="F8" s="243"/>
      <c r="G8" s="243"/>
      <c r="H8" s="243"/>
      <c r="I8" s="243"/>
      <c r="J8" s="244"/>
    </row>
    <row r="9" spans="1:45" ht="19.5" customHeight="1" thickBot="1">
      <c r="B9" s="245" t="s">
        <v>117</v>
      </c>
      <c r="C9" s="246"/>
      <c r="D9" s="247"/>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milscm_2023_009.sny_202310_mt_kanja_list;</v>
      </c>
      <c r="O10" s="78"/>
      <c r="P10" s="78"/>
      <c r="Q10" s="78"/>
      <c r="R10" s="78"/>
      <c r="S10" s="78"/>
      <c r="T10" s="78"/>
      <c r="AJ10" s="78" t="str">
        <f>"ALTER TABLE ONLY "&amp;エンティティ一覧!$O$2&amp;"."&amp;D$8</f>
        <v>ALTER TABLE ONLY milscm_2023_009.sny_202310_mt_kanja_list</v>
      </c>
      <c r="AS10" s="78" t="str">
        <f>"ALTER TABLE "&amp;エンティティ一覧!$O$2&amp;"."&amp;D$8&amp;" OWNER TO pgmisgrp1;"</f>
        <v>ALTER TABLE milscm_2023_009.sny_202310_mt_kanja_list OWNER TO pgmisgrp1;</v>
      </c>
    </row>
    <row r="11" spans="1:45" ht="18" thickBot="1">
      <c r="B11" s="20" t="s">
        <v>118</v>
      </c>
      <c r="C11" s="19"/>
      <c r="D11" s="5"/>
      <c r="E11" s="5"/>
      <c r="F11" s="5"/>
      <c r="G11" s="5"/>
      <c r="H11" s="5"/>
      <c r="I11" s="5"/>
      <c r="J11" s="18"/>
      <c r="N11" s="78" t="str">
        <f>"CREATE TABLE  "&amp;エンティティ一覧!$O$2&amp;"."&amp;D$8</f>
        <v>CREATE TABLE  milscm_2023_009.sny_202310_mt_kanja_list</v>
      </c>
      <c r="O11" s="78"/>
      <c r="P11" s="78"/>
      <c r="Q11" s="78"/>
      <c r="R11" s="78"/>
      <c r="S11" s="78"/>
      <c r="T11" s="78"/>
      <c r="AJ11" s="78" t="str">
        <f>"ADD CONSTRAINT "&amp;D$8&amp;"_pkey PRIMARY KEY"</f>
        <v>ADD CONSTRAINT sny_202310_mt_kanja_list_pkey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milscm_2023_009.sny_202310_mt_kanja_list IS '患者ID一覧マスタ';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2807</v>
      </c>
      <c r="D14" s="6" t="s">
        <v>2423</v>
      </c>
      <c r="E14" s="8"/>
      <c r="F14" s="7" t="s">
        <v>1841</v>
      </c>
      <c r="G14" s="7" t="str">
        <f t="shared" ref="G14:G17" si="3">IF(F14="フラグ","boolean",IF(F14="文字列","text",IF(F14="整数","integer",IF(F14="実数","numeric",""))))</f>
        <v>text</v>
      </c>
      <c r="H14" s="26"/>
      <c r="I14" s="10" t="s">
        <v>127</v>
      </c>
      <c r="J14" s="11" t="s">
        <v>2813</v>
      </c>
      <c r="M14" s="4"/>
      <c r="N14" s="78"/>
      <c r="O14" s="78"/>
      <c r="P14" s="78" t="str">
        <f t="shared" ref="P14:P17" si="4">IF(B14&lt;&gt;1,","&amp;D14,D14)</f>
        <v>,facility_id_mml</v>
      </c>
      <c r="Q14" s="78" t="str">
        <f t="shared" si="0"/>
        <v>TEXT</v>
      </c>
      <c r="R14" s="78" t="str">
        <f t="shared" si="1"/>
        <v/>
      </c>
      <c r="S14" s="78" t="str">
        <f t="shared" ref="S14:S17" si="5">IF(I14="○","NOT NULL","")</f>
        <v>NOT NULL</v>
      </c>
      <c r="T14" s="78" t="str">
        <f t="shared" ref="T14:T17"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milscm_2023_009.sny_202310_mt_kanja_list.facility_id_mml IS '施設ID（MML）';</v>
      </c>
    </row>
    <row r="15" spans="1:45" s="25" customFormat="1">
      <c r="A15" s="4"/>
      <c r="B15" s="21">
        <f t="shared" si="2"/>
        <v>3</v>
      </c>
      <c r="C15" s="6" t="s">
        <v>1864</v>
      </c>
      <c r="D15" s="6" t="s">
        <v>1865</v>
      </c>
      <c r="E15" s="8" t="s">
        <v>127</v>
      </c>
      <c r="F15" s="7" t="s">
        <v>1848</v>
      </c>
      <c r="G15" s="7" t="str">
        <f t="shared" si="3"/>
        <v>text</v>
      </c>
      <c r="H15" s="26"/>
      <c r="I15" s="10" t="s">
        <v>127</v>
      </c>
      <c r="J15" s="11" t="s">
        <v>1866</v>
      </c>
      <c r="M15" s="4"/>
      <c r="N15" s="78"/>
      <c r="O15" s="78"/>
      <c r="P15" s="78" t="str">
        <f t="shared" si="4"/>
        <v>,himoduke_id</v>
      </c>
      <c r="Q15" s="78" t="str">
        <f t="shared" si="0"/>
        <v>TEXT</v>
      </c>
      <c r="R15" s="78" t="str">
        <f t="shared" si="1"/>
        <v/>
      </c>
      <c r="S15" s="78" t="str">
        <f t="shared" si="5"/>
        <v>NOT NULL</v>
      </c>
      <c r="T15" s="78" t="str">
        <f t="shared" si="6"/>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milscm_2023_009.sny_202310_mt_kanja_list.himoduke_id IS '紐付けID';</v>
      </c>
    </row>
    <row r="16" spans="1:45" s="25" customFormat="1">
      <c r="A16" s="4"/>
      <c r="B16" s="21">
        <f t="shared" si="2"/>
        <v>4</v>
      </c>
      <c r="C16" s="6" t="s">
        <v>1840</v>
      </c>
      <c r="D16" s="6" t="s">
        <v>208</v>
      </c>
      <c r="E16" s="8" t="s">
        <v>127</v>
      </c>
      <c r="F16" s="7" t="s">
        <v>1841</v>
      </c>
      <c r="G16" s="7" t="str">
        <f t="shared" si="3"/>
        <v>text</v>
      </c>
      <c r="H16" s="26"/>
      <c r="I16" s="10" t="s">
        <v>127</v>
      </c>
      <c r="J16" s="11" t="s">
        <v>1844</v>
      </c>
      <c r="M16" s="4"/>
      <c r="N16" s="78"/>
      <c r="O16" s="78"/>
      <c r="P16" s="78" t="str">
        <f t="shared" si="4"/>
        <v>,data_type</v>
      </c>
      <c r="Q16" s="78" t="str">
        <f t="shared" si="0"/>
        <v>TEXT</v>
      </c>
      <c r="R16" s="78" t="str">
        <f t="shared" si="1"/>
        <v/>
      </c>
      <c r="S16" s="78" t="str">
        <f t="shared" si="5"/>
        <v>NOT NULL</v>
      </c>
      <c r="T16" s="78" t="str">
        <f t="shared" si="6"/>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milscm_2023_009.sny_202310_mt_kanja_list.data_type IS 'データ種別';</v>
      </c>
    </row>
    <row r="17" spans="1:52" s="25" customFormat="1" ht="18" thickBot="1">
      <c r="A17" s="4"/>
      <c r="B17" s="27">
        <f>ROW()-12</f>
        <v>5</v>
      </c>
      <c r="C17" s="57" t="s">
        <v>1842</v>
      </c>
      <c r="D17" s="57" t="s">
        <v>1843</v>
      </c>
      <c r="E17" s="56" t="s">
        <v>127</v>
      </c>
      <c r="F17" s="56" t="s">
        <v>1757</v>
      </c>
      <c r="G17" s="56" t="str">
        <f t="shared" si="3"/>
        <v>text</v>
      </c>
      <c r="H17" s="59"/>
      <c r="I17" s="60" t="s">
        <v>127</v>
      </c>
      <c r="J17" s="64"/>
      <c r="N17" s="78"/>
      <c r="O17" s="78"/>
      <c r="P17" s="78" t="str">
        <f t="shared" si="4"/>
        <v>,patient_id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milscm_2023_009.sny_202310_mt_kanja_list.patient_id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21</v>
      </c>
      <c r="E4" s="227"/>
      <c r="F4" s="227"/>
      <c r="G4" s="227"/>
      <c r="H4" s="227"/>
      <c r="I4" s="227"/>
      <c r="J4" s="228"/>
    </row>
    <row r="5" spans="1:45">
      <c r="B5" s="240" t="s">
        <v>3723</v>
      </c>
      <c r="C5" s="241"/>
      <c r="D5" s="250" t="str">
        <f>VLOOKUP(D7,エンティティ一覧!A1:'エンティティ一覧'!AM10147,7,FALSE)</f>
        <v>mt</v>
      </c>
      <c r="E5" s="251"/>
      <c r="F5" s="251"/>
      <c r="G5" s="251"/>
      <c r="H5" s="251"/>
      <c r="I5" s="251"/>
      <c r="J5" s="252"/>
    </row>
    <row r="6" spans="1:45">
      <c r="B6" s="240" t="s">
        <v>3724</v>
      </c>
      <c r="C6" s="241"/>
      <c r="D6" s="250" t="str">
        <f>VLOOKUP(D7,エンティティ一覧!A1:'エンティティ一覧'!AM10147,15,FALSE)</f>
        <v>ENT_21_02</v>
      </c>
      <c r="E6" s="251"/>
      <c r="F6" s="251"/>
      <c r="G6" s="251"/>
      <c r="H6" s="251"/>
      <c r="I6" s="251"/>
      <c r="J6" s="252"/>
    </row>
    <row r="7" spans="1:45">
      <c r="B7" s="240" t="s">
        <v>115</v>
      </c>
      <c r="C7" s="241"/>
      <c r="D7" s="242" t="s">
        <v>3880</v>
      </c>
      <c r="E7" s="243"/>
      <c r="F7" s="243"/>
      <c r="G7" s="243"/>
      <c r="H7" s="243"/>
      <c r="I7" s="243"/>
      <c r="J7" s="244"/>
    </row>
    <row r="8" spans="1:45">
      <c r="B8" s="240" t="s">
        <v>116</v>
      </c>
      <c r="C8" s="241"/>
      <c r="D8" s="242" t="str">
        <f>エンティティ一覧!AE2&amp;"_"&amp;D5&amp;"_shisetsu"</f>
        <v>sny_202310_mt_shisetsu</v>
      </c>
      <c r="E8" s="243"/>
      <c r="F8" s="243"/>
      <c r="G8" s="243"/>
      <c r="H8" s="243"/>
      <c r="I8" s="243"/>
      <c r="J8" s="244"/>
    </row>
    <row r="9" spans="1:45" ht="19.5" customHeight="1" thickBot="1">
      <c r="B9" s="245" t="s">
        <v>117</v>
      </c>
      <c r="C9" s="246"/>
      <c r="D9" s="247"/>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milscm_2023_009.sny_202310_mt_shisetsu;</v>
      </c>
      <c r="O10" s="78"/>
      <c r="P10" s="78"/>
      <c r="Q10" s="78"/>
      <c r="R10" s="78"/>
      <c r="S10" s="78"/>
      <c r="T10" s="78"/>
      <c r="AJ10" s="78" t="str">
        <f>"ALTER TABLE ONLY "&amp;エンティティ一覧!$O$2&amp;"."&amp;D$8</f>
        <v>ALTER TABLE ONLY milscm_2023_009.sny_202310_mt_shisetsu</v>
      </c>
      <c r="AS10" s="78" t="str">
        <f>"ALTER TABLE "&amp;エンティティ一覧!$O$2&amp;"."&amp;D$8&amp;" OWNER TO pgmisgrp1;"</f>
        <v>ALTER TABLE milscm_2023_009.sny_202310_mt_shisetsu OWNER TO pgmisgrp1;</v>
      </c>
    </row>
    <row r="11" spans="1:45" ht="18" thickBot="1">
      <c r="B11" s="20" t="s">
        <v>118</v>
      </c>
      <c r="C11" s="19"/>
      <c r="D11" s="5"/>
      <c r="E11" s="5"/>
      <c r="F11" s="5"/>
      <c r="G11" s="5"/>
      <c r="H11" s="5"/>
      <c r="I11" s="5"/>
      <c r="J11" s="18"/>
      <c r="N11" s="78" t="str">
        <f>"CREATE TABLE  "&amp;エンティティ一覧!$O$2&amp;"."&amp;D$8</f>
        <v>CREATE TABLE  milscm_2023_009.sny_202310_mt_shisetsu</v>
      </c>
      <c r="O11" s="78"/>
      <c r="P11" s="78"/>
      <c r="Q11" s="78"/>
      <c r="R11" s="78"/>
      <c r="S11" s="78"/>
      <c r="T11" s="78"/>
      <c r="AJ11" s="78" t="str">
        <f>"ADD CONSTRAINT "&amp;D$8&amp;"_pkey PRIMARY KEY"</f>
        <v>ADD CONSTRAINT sny_202310_mt_shisetsu_pkey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milscm_2023_009.sny_202310_mt_shisetsu IS '施設マスタ';</v>
      </c>
    </row>
    <row r="13" spans="1:45" s="25" customFormat="1">
      <c r="A13" s="4"/>
      <c r="B13" s="21">
        <f>ROW()-12</f>
        <v>1</v>
      </c>
      <c r="C13" s="13" t="s">
        <v>137</v>
      </c>
      <c r="D13" s="13" t="s">
        <v>128</v>
      </c>
      <c r="E13" s="7" t="s">
        <v>127</v>
      </c>
      <c r="F13" s="7" t="s">
        <v>3847</v>
      </c>
      <c r="G13" s="7" t="str">
        <f>IF(F13="フラグ","boolean",IF(F13="文字列","text",IF(F13="整数","integer",IF(F13="実数","numeric",""))))</f>
        <v>text</v>
      </c>
      <c r="H13" s="9"/>
      <c r="I13" s="10" t="s">
        <v>127</v>
      </c>
      <c r="J13" s="24"/>
      <c r="M13" s="4"/>
      <c r="N13" s="78"/>
      <c r="O13" s="78"/>
      <c r="P13" s="78" t="str">
        <f>IF(B13&lt;&gt;1,","&amp;D13,D13)</f>
        <v>facility_id</v>
      </c>
      <c r="Q13" s="78" t="str">
        <f t="shared" ref="Q13:Q20" si="0">UPPER(G13)</f>
        <v>TEXT</v>
      </c>
      <c r="R13" s="78" t="str">
        <f t="shared" ref="R13:R20" si="1">IF(H13&lt;&gt;"","default "&amp;IF(G13="text","'"&amp;H13&amp;"'",H13),"")</f>
        <v/>
      </c>
      <c r="S13" s="78" t="str">
        <f t="shared" ref="S13:S20" si="2">IF(I13="○","NOT NULL","")</f>
        <v>NOT NULL</v>
      </c>
      <c r="T13" s="78" t="str">
        <f t="shared" ref="T13:T20"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milscm_2023_009.sny_202310_mt_shisetsu.facility_id IS '施設ID';</v>
      </c>
    </row>
    <row r="14" spans="1:45" s="25" customFormat="1">
      <c r="A14" s="4"/>
      <c r="B14" s="21">
        <f>ROW()-12</f>
        <v>2</v>
      </c>
      <c r="C14" s="13" t="s">
        <v>2422</v>
      </c>
      <c r="D14" s="13" t="s">
        <v>2423</v>
      </c>
      <c r="E14" s="7"/>
      <c r="F14" s="7" t="s">
        <v>3848</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milscm_2023_009.sny_202310_mt_shisetsu.facility_id_mml IS '施設ID（MML）';</v>
      </c>
    </row>
    <row r="15" spans="1:45" s="25" customFormat="1">
      <c r="A15" s="4"/>
      <c r="B15" s="21">
        <f t="shared" ref="B15:B20" si="4">ROW()-12</f>
        <v>3</v>
      </c>
      <c r="C15" s="6" t="s">
        <v>3849</v>
      </c>
      <c r="D15" s="6" t="s">
        <v>2425</v>
      </c>
      <c r="E15" s="8"/>
      <c r="F15" s="7" t="s">
        <v>3850</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milscm_2023_009.sny_202310_mt_shisetsu.facility_name IS '施設名';</v>
      </c>
    </row>
    <row r="16" spans="1:45" s="25" customFormat="1">
      <c r="A16" s="4"/>
      <c r="B16" s="21">
        <f>ROW()-12</f>
        <v>4</v>
      </c>
      <c r="C16" s="13" t="s">
        <v>3851</v>
      </c>
      <c r="D16" s="13" t="s">
        <v>2431</v>
      </c>
      <c r="E16" s="7"/>
      <c r="F16" s="7" t="s">
        <v>3848</v>
      </c>
      <c r="G16" s="7" t="str">
        <f>IF(F16="フラグ","boolean",IF(F16="文字列","text",IF(F16="整数","integer",IF(F16="実数","numeric",""))))</f>
        <v>text</v>
      </c>
      <c r="H16" s="9"/>
      <c r="I16" s="10"/>
      <c r="J16" s="24"/>
      <c r="M16" s="4"/>
      <c r="N16" s="78"/>
      <c r="O16" s="78"/>
      <c r="P16" s="78" t="str">
        <f>IF(B16&lt;&gt;1,","&amp;D16,D16)</f>
        <v>,facility_contract_start</v>
      </c>
      <c r="Q16" s="78" t="str">
        <f t="shared" si="0"/>
        <v>TEXT</v>
      </c>
      <c r="R16" s="78" t="str">
        <f t="shared" si="1"/>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milscm_2023_009.sny_202310_mt_shisetsu.facility_contract_start IS '施設データ提供開始日';</v>
      </c>
    </row>
    <row r="17" spans="1:52" s="25" customFormat="1">
      <c r="A17" s="4"/>
      <c r="B17" s="21">
        <f t="shared" si="4"/>
        <v>5</v>
      </c>
      <c r="C17" s="6" t="s">
        <v>3852</v>
      </c>
      <c r="D17" s="6" t="s">
        <v>2433</v>
      </c>
      <c r="E17" s="8"/>
      <c r="F17" s="7" t="s">
        <v>3848</v>
      </c>
      <c r="G17" s="7" t="str">
        <f t="shared" ref="G17:G20" si="7">IF(F17="フラグ","boolean",IF(F17="文字列","text",IF(F17="整数","integer",IF(F17="実数","numeric",""))))</f>
        <v>text</v>
      </c>
      <c r="H17" s="58"/>
      <c r="I17" s="23"/>
      <c r="J17" s="24"/>
      <c r="M17" s="4"/>
      <c r="N17" s="78"/>
      <c r="O17" s="78"/>
      <c r="P17" s="78" t="str">
        <f t="shared" ref="P17:P20" si="8">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milscm_2023_009.sny_202310_mt_shisetsu.facility_contract_end IS '施設データ提供終了日';</v>
      </c>
    </row>
    <row r="18" spans="1:52" s="25" customFormat="1">
      <c r="A18" s="4"/>
      <c r="B18" s="21">
        <f>ROW()-12</f>
        <v>6</v>
      </c>
      <c r="C18" s="13" t="s">
        <v>3853</v>
      </c>
      <c r="D18" s="13" t="s">
        <v>2435</v>
      </c>
      <c r="E18" s="7"/>
      <c r="F18" s="7" t="s">
        <v>204</v>
      </c>
      <c r="G18" s="7" t="str">
        <f>IF(F18="フラグ","boolean",IF(F18="文字列","text",IF(F18="整数","integer",IF(F18="実数","numeric",""))))</f>
        <v>integer</v>
      </c>
      <c r="H18" s="9"/>
      <c r="I18" s="10"/>
      <c r="J18" s="24"/>
      <c r="M18" s="4"/>
      <c r="N18" s="78"/>
      <c r="O18" s="78"/>
      <c r="P18" s="78" t="str">
        <f>IF(B18&lt;&gt;1,","&amp;D18,D18)</f>
        <v>,size</v>
      </c>
      <c r="Q18" s="78" t="str">
        <f t="shared" si="0"/>
        <v>INTEGER</v>
      </c>
      <c r="R18" s="78" t="str">
        <f t="shared" si="1"/>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milscm_2023_009.sny_202310_mt_shisetsu.size IS '施設規模';</v>
      </c>
    </row>
    <row r="19" spans="1:52" s="25" customFormat="1">
      <c r="A19" s="4"/>
      <c r="B19" s="21">
        <f>ROW()-12</f>
        <v>7</v>
      </c>
      <c r="C19" s="13" t="s">
        <v>3881</v>
      </c>
      <c r="D19" s="13" t="s">
        <v>3883</v>
      </c>
      <c r="E19" s="7"/>
      <c r="F19" s="7" t="s">
        <v>3848</v>
      </c>
      <c r="G19" s="7" t="str">
        <f>IF(F19="フラグ","boolean",IF(F19="文字列","text",IF(F19="整数","integer",IF(F19="実数","numeric",""))))</f>
        <v>text</v>
      </c>
      <c r="H19" s="9"/>
      <c r="I19" s="10"/>
      <c r="J19" s="24"/>
      <c r="M19" s="4"/>
      <c r="N19" s="78"/>
      <c r="O19" s="78"/>
      <c r="P19" s="78" t="str">
        <f>IF(B19&lt;&gt;1,","&amp;D19,D19)</f>
        <v>,facility_riyo_start</v>
      </c>
      <c r="Q19" s="78" t="str">
        <f t="shared" ref="Q19" si="9">UPPER(G19)</f>
        <v>TEXT</v>
      </c>
      <c r="R19" s="78" t="str">
        <f t="shared" ref="R19" si="10">IF(H19&lt;&gt;"","default "&amp;IF(G19="text","'"&amp;H19&amp;"'",H19),"")</f>
        <v/>
      </c>
      <c r="S19" s="78" t="str">
        <f t="shared" si="2"/>
        <v/>
      </c>
      <c r="T19" s="78" t="str">
        <f t="shared" si="3"/>
        <v>-- 施設データ利用可能開始日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milscm_2023_009.sny_202310_mt_shisetsu.facility_riyo_start IS '施設データ利用可能開始日';</v>
      </c>
    </row>
    <row r="20" spans="1:52" s="25" customFormat="1" ht="18" thickBot="1">
      <c r="A20" s="4"/>
      <c r="B20" s="70">
        <f t="shared" si="4"/>
        <v>8</v>
      </c>
      <c r="C20" s="71" t="s">
        <v>3882</v>
      </c>
      <c r="D20" s="71" t="s">
        <v>3884</v>
      </c>
      <c r="E20" s="74"/>
      <c r="F20" s="72" t="s">
        <v>3848</v>
      </c>
      <c r="G20" s="72" t="str">
        <f t="shared" si="7"/>
        <v>text</v>
      </c>
      <c r="H20" s="73"/>
      <c r="I20" s="74"/>
      <c r="J20" s="75"/>
      <c r="M20" s="4"/>
      <c r="N20" s="78"/>
      <c r="O20" s="78"/>
      <c r="P20" s="78" t="str">
        <f t="shared" si="8"/>
        <v>,facility_riyo_end</v>
      </c>
      <c r="Q20" s="78" t="str">
        <f t="shared" si="0"/>
        <v>TEXT</v>
      </c>
      <c r="R20" s="78" t="str">
        <f t="shared" si="1"/>
        <v/>
      </c>
      <c r="S20" s="78" t="str">
        <f t="shared" si="2"/>
        <v/>
      </c>
      <c r="T20" s="78" t="str">
        <f t="shared" si="3"/>
        <v>-- 施設データ利用可能終了日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milscm_2023_009.sny_202310_mt_shisetsu.facility_riyo_end IS '施設データ利用可能終了日';</v>
      </c>
    </row>
    <row r="21" spans="1:52">
      <c r="L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29" t="s">
        <v>110</v>
      </c>
      <c r="C1" s="230"/>
      <c r="D1" s="233" t="s">
        <v>111</v>
      </c>
      <c r="E1" s="234"/>
      <c r="F1" s="234"/>
      <c r="G1" s="225"/>
      <c r="H1" s="233" t="s">
        <v>112</v>
      </c>
      <c r="I1" s="225"/>
      <c r="J1" s="15" t="s">
        <v>113</v>
      </c>
    </row>
    <row r="2" spans="1:52" ht="18" thickBot="1">
      <c r="B2" s="231"/>
      <c r="C2" s="232"/>
      <c r="D2" s="235" t="s">
        <v>114</v>
      </c>
      <c r="E2" s="236"/>
      <c r="F2" s="236"/>
      <c r="G2" s="237"/>
      <c r="H2" s="238"/>
      <c r="I2" s="239"/>
      <c r="J2" s="17"/>
    </row>
    <row r="3" spans="1:52" ht="18" thickBot="1">
      <c r="B3" s="5"/>
      <c r="C3" s="5"/>
      <c r="D3" s="5"/>
      <c r="E3" s="5"/>
      <c r="F3" s="5"/>
      <c r="G3" s="5"/>
      <c r="H3" s="5"/>
      <c r="I3" s="5"/>
      <c r="J3" s="18"/>
    </row>
    <row r="4" spans="1:52">
      <c r="B4" s="224" t="s">
        <v>3722</v>
      </c>
      <c r="C4" s="225"/>
      <c r="D4" s="226" t="str">
        <f>VLOOKUP(D7,エンティティ一覧!A1:'エンティティ一覧'!AM10147,2,FALSE)</f>
        <v>21</v>
      </c>
      <c r="E4" s="227"/>
      <c r="F4" s="227"/>
      <c r="G4" s="227"/>
      <c r="H4" s="227"/>
      <c r="I4" s="227"/>
      <c r="J4" s="228"/>
    </row>
    <row r="5" spans="1:52">
      <c r="B5" s="240" t="s">
        <v>3723</v>
      </c>
      <c r="C5" s="241"/>
      <c r="D5" s="250" t="str">
        <f>VLOOKUP(D7,エンティティ一覧!A1:'エンティティ一覧'!AM10147,7,FALSE)</f>
        <v>mt</v>
      </c>
      <c r="E5" s="251"/>
      <c r="F5" s="251"/>
      <c r="G5" s="251"/>
      <c r="H5" s="251"/>
      <c r="I5" s="251"/>
      <c r="J5" s="252"/>
    </row>
    <row r="6" spans="1:52">
      <c r="B6" s="240" t="s">
        <v>3724</v>
      </c>
      <c r="C6" s="241"/>
      <c r="D6" s="250" t="str">
        <f>VLOOKUP(D7,エンティティ一覧!A1:'エンティティ一覧'!AM10147,15,FALSE)</f>
        <v>ENT_21_03</v>
      </c>
      <c r="E6" s="251"/>
      <c r="F6" s="251"/>
      <c r="G6" s="251"/>
      <c r="H6" s="251"/>
      <c r="I6" s="251"/>
      <c r="J6" s="252"/>
    </row>
    <row r="7" spans="1:52">
      <c r="B7" s="240" t="s">
        <v>115</v>
      </c>
      <c r="C7" s="241"/>
      <c r="D7" s="242" t="s">
        <v>306</v>
      </c>
      <c r="E7" s="243"/>
      <c r="F7" s="243"/>
      <c r="G7" s="243"/>
      <c r="H7" s="243"/>
      <c r="I7" s="243"/>
      <c r="J7" s="244"/>
    </row>
    <row r="8" spans="1:52">
      <c r="B8" s="240" t="s">
        <v>116</v>
      </c>
      <c r="C8" s="241"/>
      <c r="D8" s="242" t="str">
        <f>エンティティ一覧!AE2&amp;"_"&amp;D5&amp;"_kanja"</f>
        <v>sny_202310_mt_kanja</v>
      </c>
      <c r="E8" s="243"/>
      <c r="F8" s="243"/>
      <c r="G8" s="243"/>
      <c r="H8" s="243"/>
      <c r="I8" s="243"/>
      <c r="J8" s="244"/>
    </row>
    <row r="9" spans="1:52" ht="19.5" customHeight="1" thickBot="1">
      <c r="B9" s="245" t="s">
        <v>117</v>
      </c>
      <c r="C9" s="246"/>
      <c r="D9" s="247"/>
      <c r="E9" s="248"/>
      <c r="F9" s="248"/>
      <c r="G9" s="248"/>
      <c r="H9" s="248"/>
      <c r="I9" s="248"/>
      <c r="J9" s="249"/>
    </row>
    <row r="10" spans="1:52">
      <c r="B10" s="19"/>
      <c r="C10" s="19"/>
      <c r="D10" s="5"/>
      <c r="E10" s="5"/>
      <c r="F10" s="5"/>
      <c r="G10" s="5"/>
      <c r="H10" s="5"/>
      <c r="I10" s="5"/>
      <c r="J10" s="18"/>
      <c r="N10" s="78" t="str">
        <f>"--DROP TABLE  "&amp;エンティティ一覧!$O$2&amp;"."&amp;D$8&amp;";"</f>
        <v>--DROP TABLE  milscm_2023_009.sny_202310_mt_kanja;</v>
      </c>
      <c r="O10" s="78"/>
      <c r="P10" s="78"/>
      <c r="Q10" s="78"/>
      <c r="R10" s="78"/>
      <c r="S10" s="78"/>
      <c r="T10" s="78"/>
      <c r="AJ10" s="78" t="str">
        <f>"ALTER TABLE ONLY "&amp;エンティティ一覧!$O$2&amp;"."&amp;D$8</f>
        <v>ALTER TABLE ONLY milscm_2023_009.sny_202310_mt_kanja</v>
      </c>
      <c r="AS10" s="78" t="str">
        <f>"ALTER TABLE "&amp;エンティティ一覧!$O$2&amp;"."&amp;D$8&amp;" OWNER TO pgmisgrp1;"</f>
        <v>ALTER TABLE milscm_2023_009.sny_202310_mt_kanja OWNER TO pgmisgrp1;</v>
      </c>
    </row>
    <row r="11" spans="1:52" ht="18" thickBot="1">
      <c r="B11" s="20" t="s">
        <v>118</v>
      </c>
      <c r="C11" s="19"/>
      <c r="D11" s="5"/>
      <c r="E11" s="5"/>
      <c r="F11" s="5"/>
      <c r="G11" s="5"/>
      <c r="H11" s="5"/>
      <c r="I11" s="5"/>
      <c r="J11" s="18"/>
      <c r="N11" s="78" t="str">
        <f>"CREATE TABLE  "&amp;エンティティ一覧!$O$2&amp;"."&amp;D$8</f>
        <v>CREATE TABLE  milscm_2023_009.sny_202310_mt_kanja</v>
      </c>
      <c r="O11" s="78"/>
      <c r="P11" s="78"/>
      <c r="Q11" s="78"/>
      <c r="R11" s="78"/>
      <c r="S11" s="78"/>
      <c r="T11" s="78"/>
      <c r="AJ11" s="78" t="str">
        <f>"ADD CONSTRAINT "&amp;D$8&amp;"_pkey PRIMARY KEY"</f>
        <v>ADD CONSTRAINT sny_202310_mt_kanja_pkey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 IS '患者マスタ';</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milscm_2023_009.sny_202310_mt_kanja.facility_id IS '施設ID';</v>
      </c>
    </row>
    <row r="14" spans="1:52" s="25" customFormat="1">
      <c r="A14" s="4"/>
      <c r="B14" s="21">
        <f t="shared" ref="B14:B15" si="2">ROW()-12</f>
        <v>2</v>
      </c>
      <c r="C14" s="6" t="s">
        <v>320</v>
      </c>
      <c r="D14" s="6" t="s">
        <v>210</v>
      </c>
      <c r="E14" s="8" t="s">
        <v>127</v>
      </c>
      <c r="F14" s="7" t="s">
        <v>317</v>
      </c>
      <c r="G14" s="7" t="str">
        <f t="shared" ref="G14" si="3">IF(F14="フラグ","boolean",IF(F14="文字列","text",IF(F14="整数","integer",IF(F14="実数","numeric",""))))</f>
        <v>text</v>
      </c>
      <c r="H14" s="58"/>
      <c r="I14" s="23" t="s">
        <v>127</v>
      </c>
      <c r="J14" s="24"/>
      <c r="M14" s="4"/>
      <c r="N14" s="78"/>
      <c r="O14" s="78"/>
      <c r="P14" s="78" t="str">
        <f t="shared" ref="P14:P15"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milscm_2023_009.sny_202310_mt_kanja.shikibetsu_no IS 'データ識別番号';</v>
      </c>
    </row>
    <row r="15" spans="1:52" s="25" customFormat="1" ht="18" thickBot="1">
      <c r="A15" s="4"/>
      <c r="B15" s="70">
        <f t="shared" si="2"/>
        <v>3</v>
      </c>
      <c r="C15" s="71" t="s">
        <v>905</v>
      </c>
      <c r="D15" s="71" t="s">
        <v>906</v>
      </c>
      <c r="E15" s="74" t="s">
        <v>127</v>
      </c>
      <c r="F15" s="72" t="s">
        <v>317</v>
      </c>
      <c r="G15" s="72" t="str">
        <f t="shared" ref="G15" si="5">IF(F15="フラグ","boolean",IF(F15="文字列","text",IF(F15="整数","integer",IF(F15="実数","numeric",""))))</f>
        <v>text</v>
      </c>
      <c r="H15" s="73"/>
      <c r="I15" s="74" t="s">
        <v>127</v>
      </c>
      <c r="J15" s="75" t="s">
        <v>912</v>
      </c>
      <c r="M15" s="4"/>
      <c r="N15" s="78"/>
      <c r="O15" s="78"/>
      <c r="P15" s="78" t="str">
        <f t="shared" si="4"/>
        <v>,sex</v>
      </c>
      <c r="Q15" s="78" t="str">
        <f t="shared" si="0"/>
        <v>TEXT</v>
      </c>
      <c r="R15" s="78" t="str">
        <f t="shared" si="1"/>
        <v/>
      </c>
      <c r="S15" s="78" t="str">
        <f>IF(I15="○","NOT NULL","")</f>
        <v>NOT NULL</v>
      </c>
      <c r="T15" s="78" t="str">
        <f>"-- "&amp;C15</f>
        <v>-- 性別</v>
      </c>
      <c r="U15" s="4"/>
      <c r="AA15" s="4"/>
      <c r="AB15" s="4"/>
      <c r="AC15" s="4"/>
      <c r="AD15" s="4"/>
      <c r="AE15" s="4"/>
      <c r="AF15" s="4"/>
      <c r="AG15" s="4"/>
      <c r="AH15" s="4"/>
      <c r="AI15" s="4"/>
      <c r="AJ15" s="78" t="str">
        <f>IF(E15="○",IF(COUNTA(E$13:E15)=1,"",",")&amp;D15,"")</f>
        <v>,sex</v>
      </c>
      <c r="AK15" s="4"/>
      <c r="AL15" s="4"/>
      <c r="AM15" s="4"/>
      <c r="AN15" s="4"/>
      <c r="AO15" s="4"/>
      <c r="AP15" s="4"/>
      <c r="AQ15" s="4"/>
      <c r="AR15" s="4"/>
      <c r="AS15" s="78" t="str">
        <f>"COMMENT ON COLUMN "&amp;エンティティ一覧!$O$2&amp;"."&amp;D$8&amp;"."&amp;D15&amp;" IS '"&amp;C15&amp;"';"</f>
        <v>COMMENT ON COLUMN milscm_2023_009.sny_202310_mt_kanja.sex IS '性別';</v>
      </c>
    </row>
    <row r="16" spans="1:52">
      <c r="L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21</v>
      </c>
      <c r="E4" s="227"/>
      <c r="F4" s="227"/>
      <c r="G4" s="227"/>
      <c r="H4" s="227"/>
      <c r="I4" s="227"/>
      <c r="J4" s="228"/>
    </row>
    <row r="5" spans="1:45">
      <c r="B5" s="240" t="s">
        <v>3723</v>
      </c>
      <c r="C5" s="241"/>
      <c r="D5" s="250" t="str">
        <f>VLOOKUP(D7,エンティティ一覧!A1:'エンティティ一覧'!AM10147,7,FALSE)</f>
        <v>mt</v>
      </c>
      <c r="E5" s="251"/>
      <c r="F5" s="251"/>
      <c r="G5" s="251"/>
      <c r="H5" s="251"/>
      <c r="I5" s="251"/>
      <c r="J5" s="252"/>
    </row>
    <row r="6" spans="1:45">
      <c r="B6" s="240" t="s">
        <v>3724</v>
      </c>
      <c r="C6" s="241"/>
      <c r="D6" s="250" t="str">
        <f>VLOOKUP(D7,エンティティ一覧!A1:'エンティティ一覧'!AM10147,15,FALSE)</f>
        <v>ENT_21_04</v>
      </c>
      <c r="E6" s="251"/>
      <c r="F6" s="251"/>
      <c r="G6" s="251"/>
      <c r="H6" s="251"/>
      <c r="I6" s="251"/>
      <c r="J6" s="252"/>
    </row>
    <row r="7" spans="1:45">
      <c r="B7" s="240" t="s">
        <v>115</v>
      </c>
      <c r="C7" s="241"/>
      <c r="D7" s="242" t="s">
        <v>307</v>
      </c>
      <c r="E7" s="243"/>
      <c r="F7" s="243"/>
      <c r="G7" s="243"/>
      <c r="H7" s="243"/>
      <c r="I7" s="243"/>
      <c r="J7" s="244"/>
    </row>
    <row r="8" spans="1:45">
      <c r="B8" s="240" t="s">
        <v>116</v>
      </c>
      <c r="C8" s="241"/>
      <c r="D8" s="242" t="str">
        <f>エンティティ一覧!AE2&amp;"_"&amp;D5&amp;"_shikkan"</f>
        <v>sny_202310_mt_shikkan</v>
      </c>
      <c r="E8" s="243"/>
      <c r="F8" s="243"/>
      <c r="G8" s="243"/>
      <c r="H8" s="243"/>
      <c r="I8" s="243"/>
      <c r="J8" s="244"/>
    </row>
    <row r="9" spans="1:45" ht="19.5" customHeight="1" thickBot="1">
      <c r="B9" s="245" t="s">
        <v>117</v>
      </c>
      <c r="C9" s="246"/>
      <c r="D9" s="247"/>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milscm_2023_009.sny_202310_mt_shikkan;</v>
      </c>
      <c r="O10" s="78"/>
      <c r="P10" s="78"/>
      <c r="Q10" s="78"/>
      <c r="R10" s="78"/>
      <c r="S10" s="78"/>
      <c r="T10" s="78"/>
      <c r="AJ10" s="78" t="str">
        <f>"ALTER TABLE ONLY "&amp;エンティティ一覧!$O$2&amp;"."&amp;D$8</f>
        <v>ALTER TABLE ONLY milscm_2023_009.sny_202310_mt_shikkan</v>
      </c>
      <c r="AS10" s="78" t="str">
        <f>"ALTER TABLE "&amp;エンティティ一覧!$O$2&amp;"."&amp;D$8&amp;" OWNER TO pgmisgrp1;"</f>
        <v>ALTER TABLE milscm_2023_009.sny_202310_mt_shikkan OWNER TO pgmisgrp1;</v>
      </c>
    </row>
    <row r="11" spans="1:45" ht="18" thickBot="1">
      <c r="B11" s="20" t="s">
        <v>118</v>
      </c>
      <c r="C11" s="19"/>
      <c r="D11" s="5"/>
      <c r="E11" s="5"/>
      <c r="F11" s="5"/>
      <c r="G11" s="5"/>
      <c r="H11" s="5"/>
      <c r="I11" s="5"/>
      <c r="J11" s="18"/>
      <c r="N11" s="78" t="str">
        <f>"CREATE TABLE  "&amp;エンティティ一覧!$O$2&amp;"."&amp;D$8</f>
        <v>CREATE TABLE  milscm_2023_009.sny_202310_mt_shikkan</v>
      </c>
      <c r="O11" s="78"/>
      <c r="P11" s="78"/>
      <c r="Q11" s="78"/>
      <c r="R11" s="78"/>
      <c r="S11" s="78"/>
      <c r="T11" s="78"/>
      <c r="AJ11" s="78" t="str">
        <f>"ADD CONSTRAINT "&amp;D$8&amp;"_pkey PRIMARY KEY"</f>
        <v>ADD CONSTRAINT sny_202310_mt_shikkan_pkey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milscm_2023_009.sny_202310_mt_shikkan IS '疾患マスタ';</v>
      </c>
    </row>
    <row r="13" spans="1:45" s="25" customFormat="1">
      <c r="A13" s="4"/>
      <c r="B13" s="21">
        <f t="shared" ref="B13:B22" si="0">ROW()-12</f>
        <v>1</v>
      </c>
      <c r="C13" s="6" t="s">
        <v>899</v>
      </c>
      <c r="D13" s="6" t="s">
        <v>3813</v>
      </c>
      <c r="E13" s="8" t="s">
        <v>127</v>
      </c>
      <c r="F13" s="7" t="s">
        <v>739</v>
      </c>
      <c r="G13" s="7" t="str">
        <f t="shared" ref="G13:G22" si="1">IF(F13="フラグ","boolean",IF(F13="文字列","text",IF(F13="整数","integer",IF(F13="実数","numeric",""))))</f>
        <v>text</v>
      </c>
      <c r="H13" s="67"/>
      <c r="I13" s="8" t="s">
        <v>127</v>
      </c>
      <c r="J13" s="11"/>
      <c r="M13" s="4"/>
      <c r="N13" s="78"/>
      <c r="O13" s="78"/>
      <c r="P13" s="78" t="str">
        <f t="shared" ref="P13:P22" si="2">IF(B13&lt;&gt;1,","&amp;D13,D13)</f>
        <v>shobyo_name_cd</v>
      </c>
      <c r="Q13" s="78" t="str">
        <f t="shared" ref="Q13:Q22" si="3">UPPER(G13)</f>
        <v>TEXT</v>
      </c>
      <c r="R13" s="78" t="str">
        <f t="shared" ref="R13:R22" si="4">IF(H13&lt;&gt;"","default "&amp;IF(G13="text","'"&amp;H13&amp;"'",H13),"")</f>
        <v/>
      </c>
      <c r="S13" s="78" t="str">
        <f>IF(I13="○","NOT NULL","")</f>
        <v>NOT NULL</v>
      </c>
      <c r="T13" s="78" t="str">
        <f>"-- "&amp;C13</f>
        <v>-- 傷病名コード</v>
      </c>
      <c r="U13" s="4"/>
      <c r="AA13" s="4"/>
      <c r="AB13" s="4"/>
      <c r="AC13" s="4"/>
      <c r="AD13" s="4"/>
      <c r="AE13" s="4"/>
      <c r="AF13" s="4"/>
      <c r="AG13" s="4"/>
      <c r="AH13" s="4"/>
      <c r="AI13" s="4"/>
      <c r="AJ13" s="78" t="str">
        <f>IF(E13="○",IF(COUNTA(E$13:E13)=1,"",",")&amp;D13,"")</f>
        <v>shobyo_name_cd</v>
      </c>
      <c r="AK13" s="4"/>
      <c r="AL13" s="4"/>
      <c r="AM13" s="4"/>
      <c r="AN13" s="4"/>
      <c r="AO13" s="4"/>
      <c r="AP13" s="4"/>
      <c r="AQ13" s="4"/>
      <c r="AR13" s="4"/>
      <c r="AS13" s="78" t="str">
        <f>"COMMENT ON COLUMN "&amp;エンティティ一覧!$O$2&amp;"."&amp;D$8&amp;"."&amp;D13&amp;" IS '"&amp;C13&amp;"';"</f>
        <v>COMMENT ON COLUMN milscm_2023_009.sny_202310_mt_shikkan.shobyo_name_cd IS '傷病名コード';</v>
      </c>
    </row>
    <row r="14" spans="1:45" s="25" customFormat="1">
      <c r="A14" s="4"/>
      <c r="B14" s="21">
        <f t="shared" si="0"/>
        <v>2</v>
      </c>
      <c r="C14" s="6" t="s">
        <v>900</v>
      </c>
      <c r="D14" s="6" t="s">
        <v>1129</v>
      </c>
      <c r="E14" s="8"/>
      <c r="F14" s="7" t="s">
        <v>739</v>
      </c>
      <c r="G14" s="7" t="str">
        <f>IF(F14="フラグ","boolean",IF(F14="文字列","text",IF(F14="整数","integer",IF(F14="実数","numeric",""))))</f>
        <v>text</v>
      </c>
      <c r="H14" s="67"/>
      <c r="I14" s="8" t="s">
        <v>127</v>
      </c>
      <c r="J14" s="11"/>
      <c r="M14" s="4"/>
      <c r="N14" s="78"/>
      <c r="O14" s="78"/>
      <c r="P14" s="78" t="str">
        <f t="shared" si="2"/>
        <v>,shobyo_name</v>
      </c>
      <c r="Q14" s="78" t="str">
        <f t="shared" si="3"/>
        <v>TEXT</v>
      </c>
      <c r="R14" s="78" t="str">
        <f t="shared" si="4"/>
        <v/>
      </c>
      <c r="S14" s="78" t="str">
        <f t="shared" ref="S14:S22" si="5">IF(I14="○","NOT NULL","")</f>
        <v>NOT NULL</v>
      </c>
      <c r="T14" s="78" t="str">
        <f t="shared" ref="T14:T22" si="6">"-- "&amp;C14</f>
        <v>-- 傷病名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milscm_2023_009.sny_202310_mt_shikkan.shobyo_name IS '傷病名';</v>
      </c>
    </row>
    <row r="15" spans="1:45" s="25" customFormat="1">
      <c r="A15" s="4"/>
      <c r="B15" s="21">
        <f>ROW()-12</f>
        <v>3</v>
      </c>
      <c r="C15" s="6" t="s">
        <v>904</v>
      </c>
      <c r="D15" s="6" t="s">
        <v>897</v>
      </c>
      <c r="E15" s="8"/>
      <c r="F15" s="7" t="s">
        <v>739</v>
      </c>
      <c r="G15" s="7" t="str">
        <f>IF(F15="フラグ","boolean",IF(F15="文字列","text",IF(F15="整数","integer",IF(F15="実数","numeric",""))))</f>
        <v>text</v>
      </c>
      <c r="H15" s="67"/>
      <c r="I15" s="8" t="s">
        <v>127</v>
      </c>
      <c r="J15" s="11"/>
      <c r="M15" s="4"/>
      <c r="N15" s="78"/>
      <c r="O15" s="78"/>
      <c r="P15" s="78" t="str">
        <f>IF(B15&lt;&gt;1,","&amp;D15,D15)</f>
        <v>,icd10_s_cd</v>
      </c>
      <c r="Q15" s="78" t="str">
        <f>UPPER(G15)</f>
        <v>TEXT</v>
      </c>
      <c r="R15" s="78" t="str">
        <f>IF(H15&lt;&gt;"","default "&amp;IF(G15="text","'"&amp;H15&amp;"'",H15),"")</f>
        <v/>
      </c>
      <c r="S15" s="78" t="str">
        <f>IF(I15="○","NOT NULL","")</f>
        <v>NOT NULL</v>
      </c>
      <c r="T15" s="78" t="str">
        <f>"-- "&amp;C15</f>
        <v>-- ICD10小区分</v>
      </c>
      <c r="U15" s="4"/>
      <c r="AA15" s="4"/>
      <c r="AB15" s="4"/>
      <c r="AC15" s="4"/>
      <c r="AD15" s="4"/>
      <c r="AE15" s="4"/>
      <c r="AF15" s="4"/>
      <c r="AG15" s="4"/>
      <c r="AH15" s="4"/>
      <c r="AI15" s="4"/>
      <c r="AJ15" s="78" t="str">
        <f>IF(E15="○",IF(COUNTA(E$15:E15)=1,"",",")&amp;D15,"")</f>
        <v/>
      </c>
      <c r="AK15" s="4"/>
      <c r="AL15" s="4"/>
      <c r="AM15" s="4"/>
      <c r="AN15" s="4"/>
      <c r="AO15" s="4"/>
      <c r="AP15" s="4"/>
      <c r="AQ15" s="4"/>
      <c r="AR15" s="4"/>
      <c r="AS15" s="78" t="str">
        <f>"COMMENT ON COLUMN "&amp;エンティティ一覧!$O$2&amp;"."&amp;D$8&amp;"."&amp;D15&amp;" IS '"&amp;C15&amp;"';"</f>
        <v>COMMENT ON COLUMN milscm_2023_009.sny_202310_mt_shikkan.icd10_s_cd IS 'ICD10小区分';</v>
      </c>
    </row>
    <row r="16" spans="1:45" s="25" customFormat="1">
      <c r="A16" s="4"/>
      <c r="B16" s="21">
        <f t="shared" si="0"/>
        <v>4</v>
      </c>
      <c r="C16" s="6" t="s">
        <v>903</v>
      </c>
      <c r="D16" s="6" t="s">
        <v>898</v>
      </c>
      <c r="E16" s="8"/>
      <c r="F16" s="7" t="s">
        <v>739</v>
      </c>
      <c r="G16" s="7" t="str">
        <f>IF(F16="フラグ","boolean",IF(F16="文字列","text",IF(F16="整数","integer",IF(F16="実数","numeric",""))))</f>
        <v>text</v>
      </c>
      <c r="H16" s="67"/>
      <c r="I16" s="8" t="s">
        <v>127</v>
      </c>
      <c r="J16" s="11"/>
      <c r="M16" s="4"/>
      <c r="N16" s="78"/>
      <c r="O16" s="78"/>
      <c r="P16" s="78" t="str">
        <f>IF(B16&lt;&gt;1,","&amp;D16,D16)</f>
        <v>,icd10_s_name</v>
      </c>
      <c r="Q16" s="78" t="str">
        <f>UPPER(G16)</f>
        <v>TEXT</v>
      </c>
      <c r="R16" s="78" t="str">
        <f>IF(H16&lt;&gt;"","default "&amp;IF(G16="text","'"&amp;H16&amp;"'",H16),"")</f>
        <v/>
      </c>
      <c r="S16" s="78" t="str">
        <f>IF(I16="○","NOT NULL","")</f>
        <v>NOT NULL</v>
      </c>
      <c r="T16" s="78" t="str">
        <f>"-- "&amp;C16</f>
        <v>-- ICD10小区分名称</v>
      </c>
      <c r="U16" s="4"/>
      <c r="AA16" s="4"/>
      <c r="AB16" s="4"/>
      <c r="AC16" s="4"/>
      <c r="AD16" s="4"/>
      <c r="AE16" s="4"/>
      <c r="AF16" s="4"/>
      <c r="AG16" s="4"/>
      <c r="AH16" s="4"/>
      <c r="AI16" s="4"/>
      <c r="AJ16" s="78" t="str">
        <f>IF(E16="○",IF(COUNTA(E$15:E16)=1,"",",")&amp;D16,"")</f>
        <v/>
      </c>
      <c r="AK16" s="4"/>
      <c r="AL16" s="4"/>
      <c r="AM16" s="4"/>
      <c r="AN16" s="4"/>
      <c r="AO16" s="4"/>
      <c r="AP16" s="4"/>
      <c r="AQ16" s="4"/>
      <c r="AR16" s="4"/>
      <c r="AS16" s="78" t="str">
        <f>"COMMENT ON COLUMN "&amp;エンティティ一覧!$O$2&amp;"."&amp;D$8&amp;"."&amp;D16&amp;" IS '"&amp;C16&amp;"';"</f>
        <v>COMMENT ON COLUMN milscm_2023_009.sny_202310_mt_shikkan.icd10_s_name IS 'ICD10小区分名称';</v>
      </c>
    </row>
    <row r="17" spans="1:52" s="25" customFormat="1">
      <c r="A17" s="4"/>
      <c r="B17" s="21">
        <f>ROW()-12</f>
        <v>5</v>
      </c>
      <c r="C17" s="6" t="s">
        <v>3887</v>
      </c>
      <c r="D17" s="6" t="s">
        <v>3889</v>
      </c>
      <c r="E17" s="8"/>
      <c r="F17" s="7" t="s">
        <v>739</v>
      </c>
      <c r="G17" s="7" t="str">
        <f>IF(F17="フラグ","boolean",IF(F17="文字列","text",IF(F17="整数","integer",IF(F17="実数","numeric",""))))</f>
        <v>text</v>
      </c>
      <c r="H17" s="67"/>
      <c r="I17" s="8" t="s">
        <v>127</v>
      </c>
      <c r="J17" s="11"/>
      <c r="M17" s="4"/>
      <c r="N17" s="78"/>
      <c r="O17" s="78"/>
      <c r="P17" s="78" t="str">
        <f>IF(B17&lt;&gt;1,","&amp;D17,D17)</f>
        <v>,icd10_ss_cd</v>
      </c>
      <c r="Q17" s="78" t="str">
        <f>UPPER(G17)</f>
        <v>TEXT</v>
      </c>
      <c r="R17" s="78" t="str">
        <f>IF(H17&lt;&gt;"","default "&amp;IF(G17="text","'"&amp;H17&amp;"'",H17),"")</f>
        <v/>
      </c>
      <c r="S17" s="78" t="str">
        <f>IF(I17="○","NOT NULL","")</f>
        <v>NOT NULL</v>
      </c>
      <c r="T17" s="78" t="str">
        <f>"-- "&amp;C17</f>
        <v>-- ICD10細区分</v>
      </c>
      <c r="U17" s="4"/>
      <c r="AA17" s="4"/>
      <c r="AB17" s="4"/>
      <c r="AC17" s="4"/>
      <c r="AD17" s="4"/>
      <c r="AE17" s="4"/>
      <c r="AF17" s="4"/>
      <c r="AG17" s="4"/>
      <c r="AH17" s="4"/>
      <c r="AI17" s="4"/>
      <c r="AJ17" s="78" t="str">
        <f>IF(E17="○",IF(COUNTA(E$15:E17)=1,"",",")&amp;D17,"")</f>
        <v/>
      </c>
      <c r="AK17" s="4"/>
      <c r="AL17" s="4"/>
      <c r="AM17" s="4"/>
      <c r="AN17" s="4"/>
      <c r="AO17" s="4"/>
      <c r="AP17" s="4"/>
      <c r="AQ17" s="4"/>
      <c r="AR17" s="4"/>
      <c r="AS17" s="78" t="str">
        <f>"COMMENT ON COLUMN "&amp;エンティティ一覧!$O$2&amp;"."&amp;D$8&amp;"."&amp;D17&amp;" IS '"&amp;C17&amp;"';"</f>
        <v>COMMENT ON COLUMN milscm_2023_009.sny_202310_mt_shikkan.icd10_ss_cd IS 'ICD10細区分';</v>
      </c>
    </row>
    <row r="18" spans="1:52" s="25" customFormat="1">
      <c r="A18" s="4"/>
      <c r="B18" s="21">
        <f t="shared" si="0"/>
        <v>6</v>
      </c>
      <c r="C18" s="6" t="s">
        <v>3888</v>
      </c>
      <c r="D18" s="6" t="s">
        <v>3890</v>
      </c>
      <c r="E18" s="8"/>
      <c r="F18" s="7" t="s">
        <v>739</v>
      </c>
      <c r="G18" s="7" t="str">
        <f>IF(F18="フラグ","boolean",IF(F18="文字列","text",IF(F18="整数","integer",IF(F18="実数","numeric",""))))</f>
        <v>text</v>
      </c>
      <c r="H18" s="67"/>
      <c r="I18" s="8" t="s">
        <v>127</v>
      </c>
      <c r="J18" s="11"/>
      <c r="M18" s="4"/>
      <c r="N18" s="78"/>
      <c r="O18" s="78"/>
      <c r="P18" s="78" t="str">
        <f>IF(B18&lt;&gt;1,","&amp;D18,D18)</f>
        <v>,icd10_ss_name</v>
      </c>
      <c r="Q18" s="78" t="str">
        <f>UPPER(G18)</f>
        <v>TEXT</v>
      </c>
      <c r="R18" s="78" t="str">
        <f>IF(H18&lt;&gt;"","default "&amp;IF(G18="text","'"&amp;H18&amp;"'",H18),"")</f>
        <v/>
      </c>
      <c r="S18" s="78" t="str">
        <f>IF(I18="○","NOT NULL","")</f>
        <v>NOT NULL</v>
      </c>
      <c r="T18" s="78" t="str">
        <f>"-- "&amp;C18</f>
        <v>-- ICD10細区分名称</v>
      </c>
      <c r="U18" s="4"/>
      <c r="AA18" s="4"/>
      <c r="AB18" s="4"/>
      <c r="AC18" s="4"/>
      <c r="AD18" s="4"/>
      <c r="AE18" s="4"/>
      <c r="AF18" s="4"/>
      <c r="AG18" s="4"/>
      <c r="AH18" s="4"/>
      <c r="AI18" s="4"/>
      <c r="AJ18" s="78" t="str">
        <f>IF(E18="○",IF(COUNTA(E$15:E18)=1,"",",")&amp;D18,"")</f>
        <v/>
      </c>
      <c r="AK18" s="4"/>
      <c r="AL18" s="4"/>
      <c r="AM18" s="4"/>
      <c r="AN18" s="4"/>
      <c r="AO18" s="4"/>
      <c r="AP18" s="4"/>
      <c r="AQ18" s="4"/>
      <c r="AR18" s="4"/>
      <c r="AS18" s="78" t="str">
        <f>"COMMENT ON COLUMN "&amp;エンティティ一覧!$O$2&amp;"."&amp;D$8&amp;"."&amp;D18&amp;" IS '"&amp;C18&amp;"';"</f>
        <v>COMMENT ON COLUMN milscm_2023_009.sny_202310_mt_shikkan.icd10_ss_name IS 'ICD10細区分名称';</v>
      </c>
    </row>
    <row r="19" spans="1:52" s="25" customFormat="1">
      <c r="A19" s="4"/>
      <c r="B19" s="21">
        <f t="shared" si="0"/>
        <v>7</v>
      </c>
      <c r="C19" s="6" t="s">
        <v>3814</v>
      </c>
      <c r="D19" s="6" t="s">
        <v>3815</v>
      </c>
      <c r="E19" s="8"/>
      <c r="F19" s="7" t="s">
        <v>739</v>
      </c>
      <c r="G19" s="7" t="str">
        <f t="shared" si="1"/>
        <v>text</v>
      </c>
      <c r="H19" s="67"/>
      <c r="I19" s="8" t="s">
        <v>127</v>
      </c>
      <c r="J19" s="11"/>
      <c r="N19" s="78"/>
      <c r="O19" s="78"/>
      <c r="P19" s="78" t="str">
        <f t="shared" si="2"/>
        <v>,disp_name</v>
      </c>
      <c r="Q19" s="78" t="str">
        <f t="shared" si="3"/>
        <v>TEXT</v>
      </c>
      <c r="R19" s="78" t="str">
        <f t="shared" si="4"/>
        <v/>
      </c>
      <c r="S19" s="78" t="str">
        <f t="shared" si="5"/>
        <v>NOT NULL</v>
      </c>
      <c r="T19" s="78" t="str">
        <f t="shared" si="6"/>
        <v>-- 表示名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milscm_2023_009.sny_202310_mt_shikkan.disp_name IS '表示名';</v>
      </c>
    </row>
    <row r="20" spans="1:52" s="25" customFormat="1">
      <c r="A20" s="4"/>
      <c r="B20" s="21">
        <f t="shared" si="0"/>
        <v>8</v>
      </c>
      <c r="C20" s="6" t="s">
        <v>3816</v>
      </c>
      <c r="D20" s="6" t="s">
        <v>3817</v>
      </c>
      <c r="E20" s="8"/>
      <c r="F20" s="7" t="s">
        <v>739</v>
      </c>
      <c r="G20" s="7" t="str">
        <f>IF(F20="フラグ","boolean",IF(F20="文字列","text",IF(F20="整数","integer",IF(F20="実数","numeric",""))))</f>
        <v>text</v>
      </c>
      <c r="H20" s="67"/>
      <c r="I20" s="8"/>
      <c r="J20" s="11"/>
      <c r="N20" s="78"/>
      <c r="O20" s="78"/>
      <c r="P20" s="78" t="str">
        <f t="shared" si="2"/>
        <v>,hassho_jiki</v>
      </c>
      <c r="Q20" s="78" t="str">
        <f t="shared" si="3"/>
        <v>TEXT</v>
      </c>
      <c r="R20" s="78" t="str">
        <f t="shared" si="4"/>
        <v/>
      </c>
      <c r="S20" s="78" t="str">
        <f t="shared" si="5"/>
        <v/>
      </c>
      <c r="T20" s="78" t="str">
        <f t="shared" si="6"/>
        <v>-- 発症時期</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milscm_2023_009.sny_202310_mt_shikkan.hassho_jiki IS '発症時期';</v>
      </c>
    </row>
    <row r="21" spans="1:52" s="25" customFormat="1">
      <c r="A21" s="4"/>
      <c r="B21" s="21">
        <f t="shared" si="0"/>
        <v>9</v>
      </c>
      <c r="C21" s="6" t="s">
        <v>3818</v>
      </c>
      <c r="D21" s="6" t="s">
        <v>3819</v>
      </c>
      <c r="E21" s="8"/>
      <c r="F21" s="7" t="s">
        <v>739</v>
      </c>
      <c r="G21" s="7" t="str">
        <f t="shared" si="1"/>
        <v>text</v>
      </c>
      <c r="H21" s="67"/>
      <c r="I21" s="8"/>
      <c r="J21" s="11"/>
      <c r="N21" s="78"/>
      <c r="O21" s="78"/>
      <c r="P21" s="78" t="str">
        <f t="shared" si="2"/>
        <v>,saihatsu_umu</v>
      </c>
      <c r="Q21" s="78" t="str">
        <f t="shared" si="3"/>
        <v>TEXT</v>
      </c>
      <c r="R21" s="78" t="str">
        <f t="shared" si="4"/>
        <v/>
      </c>
      <c r="S21" s="78" t="str">
        <f t="shared" si="5"/>
        <v/>
      </c>
      <c r="T21" s="78" t="str">
        <f t="shared" si="6"/>
        <v>-- 再発の有無</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milscm_2023_009.sny_202310_mt_shikkan.saihatsu_umu IS '再発の有無';</v>
      </c>
    </row>
    <row r="22" spans="1:52" s="25" customFormat="1" ht="18" thickBot="1">
      <c r="A22" s="4"/>
      <c r="B22" s="66">
        <f t="shared" si="0"/>
        <v>10</v>
      </c>
      <c r="C22" s="28" t="s">
        <v>3820</v>
      </c>
      <c r="D22" s="28" t="s">
        <v>3821</v>
      </c>
      <c r="E22" s="29"/>
      <c r="F22" s="56" t="s">
        <v>739</v>
      </c>
      <c r="G22" s="56" t="str">
        <f t="shared" si="1"/>
        <v>text</v>
      </c>
      <c r="H22" s="68"/>
      <c r="I22" s="29"/>
      <c r="J22" s="69"/>
      <c r="N22" s="78"/>
      <c r="O22" s="78"/>
      <c r="P22" s="78" t="str">
        <f t="shared" si="2"/>
        <v>,nyuin_umu</v>
      </c>
      <c r="Q22" s="78" t="str">
        <f t="shared" si="3"/>
        <v>TEXT</v>
      </c>
      <c r="R22" s="78" t="str">
        <f t="shared" si="4"/>
        <v/>
      </c>
      <c r="S22" s="78" t="str">
        <f t="shared" si="5"/>
        <v/>
      </c>
      <c r="T22" s="78" t="str">
        <f t="shared" si="6"/>
        <v>-- 入院の有無</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milscm_2023_009.sny_202310_mt_shikkan.nyuin_umu IS '入院の有無';</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ENT_31_01</v>
      </c>
      <c r="E6" s="251"/>
      <c r="F6" s="251"/>
      <c r="G6" s="251"/>
      <c r="H6" s="251"/>
      <c r="I6" s="251"/>
      <c r="J6" s="252"/>
    </row>
    <row r="7" spans="1:45">
      <c r="B7" s="240" t="s">
        <v>115</v>
      </c>
      <c r="C7" s="241"/>
      <c r="D7" s="242" t="s">
        <v>3712</v>
      </c>
      <c r="E7" s="243"/>
      <c r="F7" s="243"/>
      <c r="G7" s="243"/>
      <c r="H7" s="243"/>
      <c r="I7" s="243"/>
      <c r="J7" s="244"/>
    </row>
    <row r="8" spans="1:45">
      <c r="B8" s="240" t="s">
        <v>116</v>
      </c>
      <c r="C8" s="241"/>
      <c r="D8" s="242" t="str">
        <f>エンティティ一覧!AE2&amp;"_"&amp;D5&amp;"_mart_shohou"</f>
        <v>sny_202310_base_mart_shohou</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バックアップ_処方データテーブルから対象患者で絞り込んだ結果を格納するテーブル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milscm_2023_009.sny_202310_base_mart_shohou;</v>
      </c>
      <c r="O10" s="78"/>
      <c r="P10" s="78"/>
      <c r="Q10" s="78"/>
      <c r="R10" s="78"/>
      <c r="S10" s="78"/>
      <c r="T10" s="78"/>
      <c r="AJ10" s="78" t="str">
        <f>"ALTER TABLE ONLY "&amp;エンティティ一覧!$O$2&amp;"."&amp;D$8</f>
        <v>ALTER TABLE ONLY milscm_2023_009.sny_202310_base_mart_shohou</v>
      </c>
      <c r="AS10" s="78" t="str">
        <f>"ALTER TABLE "&amp;エンティティ一覧!$O$2&amp;"."&amp;D$8&amp;" OWNER TO pgmisgrp1;"</f>
        <v>ALTER TABLE milscm_2023_009.sny_202310_base_mart_shohou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milscm_2023_009.sny_202310_base_mart_shohou</v>
      </c>
      <c r="O11" s="78"/>
      <c r="P11" s="78"/>
      <c r="Q11" s="78"/>
      <c r="R11" s="78"/>
      <c r="S11" s="78"/>
      <c r="T11" s="78"/>
      <c r="AJ11" s="78" t="str">
        <f>"ADD CONSTRAINT "&amp;D$8&amp;"_pkey PRIMARY KEY"</f>
        <v>ADD CONSTRAINT sny_202310_base_mart_shohou_pkey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milscm_2023_009.sny_202310_base_mart_shohou IS 'ベース_処方データ';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milscm_2023_009.sny_202310_base_mart_shohou.junjo_no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milscm_2023_009.sny_202310_base_mart_shohou.koi_meisai_no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milscm_2023_009.sny_202310_base_mart_shohou.meisai_tensu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milscm_2023_009.sny_202310_base_mart_shohou.department_kubun IS '診療科区分';</v>
      </c>
    </row>
    <row r="31" spans="1:45" s="25" customFormat="1" ht="34.799999999999997">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milscm_2023_009.sny_202310_base_mart_shohou.nyugai_kubun IS '入外区分';</v>
      </c>
    </row>
    <row r="32" spans="1:45" s="25" customFormat="1" ht="18"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milscm_2023_009.sny_202310_base_mart_shohou.seq_no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ENT_31_02</v>
      </c>
      <c r="E6" s="251"/>
      <c r="F6" s="251"/>
      <c r="G6" s="251"/>
      <c r="H6" s="251"/>
      <c r="I6" s="251"/>
      <c r="J6" s="252"/>
    </row>
    <row r="7" spans="1:45">
      <c r="B7" s="240" t="s">
        <v>115</v>
      </c>
      <c r="C7" s="241"/>
      <c r="D7" s="242" t="s">
        <v>3713</v>
      </c>
      <c r="E7" s="243"/>
      <c r="F7" s="243"/>
      <c r="G7" s="243"/>
      <c r="H7" s="243"/>
      <c r="I7" s="243"/>
      <c r="J7" s="244"/>
    </row>
    <row r="8" spans="1:45">
      <c r="B8" s="240" t="s">
        <v>116</v>
      </c>
      <c r="C8" s="241"/>
      <c r="D8" s="242" t="str">
        <f>エンティティ一覧!AE2&amp;"_"&amp;D5&amp;"_mart_shinryou_koui"</f>
        <v>sny_202310_base_mart_shinryou_koui</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バックアップ_診療行為データテーブルから対象患者で絞り込んだ結果を格納するテーブル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milscm_2023_009.sny_202310_base_mart_shinryou_koui;</v>
      </c>
      <c r="O10" s="78"/>
      <c r="P10" s="78"/>
      <c r="Q10" s="78"/>
      <c r="R10" s="78"/>
      <c r="S10" s="78"/>
      <c r="T10" s="78"/>
      <c r="AJ10" s="78" t="str">
        <f>"ALTER TABLE ONLY "&amp;エンティティ一覧!$O$2&amp;"."&amp;D$8</f>
        <v>ALTER TABLE ONLY milscm_2023_009.sny_202310_base_mart_shinryou_koui</v>
      </c>
      <c r="AS10" s="78" t="str">
        <f>"ALTER TABLE "&amp;エンティティ一覧!$O$2&amp;"."&amp;D$8&amp;" OWNER TO pgmisgrp1;"</f>
        <v>ALTER TABLE milscm_2023_009.sny_202310_base_mart_shinryou_koui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milscm_2023_009.sny_202310_base_mart_shinryou_koui</v>
      </c>
      <c r="O11" s="78"/>
      <c r="P11" s="78"/>
      <c r="Q11" s="78"/>
      <c r="R11" s="78"/>
      <c r="S11" s="78"/>
      <c r="T11" s="78"/>
      <c r="AJ11" s="78" t="str">
        <f>"ADD CONSTRAINT "&amp;D$8&amp;"_pkey PRIMARY KEY"</f>
        <v>ADD CONSTRAINT sny_202310_base_mart_shinryou_koui_pkey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milscm_2023_009.sny_202310_base_mart_shinryou_koui IS 'ベース_診療行為データ';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milscm_2023_009.sny_202310_base_mart_shinryou_koui.junjo_no IS '順序番号';</v>
      </c>
    </row>
    <row r="18" spans="1:45" s="25" customFormat="1" ht="34.799999999999997">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milscm_2023_009.sny_202310_base_mart_shinryou_koui.koi_meisai_no IS '行為明細番号';</v>
      </c>
    </row>
    <row r="19" spans="1:45" s="25" customFormat="1" ht="34.799999999999997">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milscm_2023_009.sny_202310_base_mart_shinryou_koui.kaishaku_no IS '解釈番号';</v>
      </c>
    </row>
    <row r="21" spans="1:45" s="25" customFormat="1" ht="34.799999999999997">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milscm_2023_009.sny_202310_base_mart_shinryou_koui.meisai_tensu IS '明細点数・金額';</v>
      </c>
    </row>
    <row r="24" spans="1:45" s="25" customFormat="1" ht="34.799999999999997">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milscm_2023_009.sny_202310_base_mart_shinryou_koui.dekidaka_tensu IS '出来高実績点数';</v>
      </c>
    </row>
    <row r="26" spans="1:45" s="25" customFormat="1" ht="69.599999999999994">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milscm_2023_009.sny_202310_base_mart_shinryou_koui.koi_meisai_kubun IS '行為明細区分情報';</v>
      </c>
    </row>
    <row r="27" spans="1:45" s="25" customFormat="1" ht="34.799999999999997">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1770</v>
      </c>
      <c r="D31" s="13" t="s">
        <v>233</v>
      </c>
      <c r="E31" s="7"/>
      <c r="F31" s="7" t="s">
        <v>1757</v>
      </c>
      <c r="G31" s="7" t="str">
        <f t="shared" si="3"/>
        <v>text</v>
      </c>
      <c r="H31" s="58"/>
      <c r="I31" s="23"/>
      <c r="J31" s="24" t="s">
        <v>1788</v>
      </c>
      <c r="M31" s="4"/>
      <c r="N31" s="78"/>
      <c r="O31" s="78"/>
      <c r="P31" s="78" t="str">
        <f t="shared" si="4"/>
        <v>,receipt_type_code</v>
      </c>
      <c r="Q31" s="78" t="str">
        <f t="shared" si="0"/>
        <v>TEXT</v>
      </c>
      <c r="R31" s="78" t="str">
        <f t="shared" si="1"/>
        <v/>
      </c>
      <c r="S31" s="78" t="str">
        <f t="shared" si="5"/>
        <v/>
      </c>
      <c r="T31" s="78" t="str">
        <f t="shared" si="6"/>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1771</v>
      </c>
      <c r="D32" s="13" t="s">
        <v>155</v>
      </c>
      <c r="E32" s="7" t="s">
        <v>127</v>
      </c>
      <c r="F32" s="7" t="s">
        <v>1757</v>
      </c>
      <c r="G32" s="7" t="str">
        <f t="shared" si="3"/>
        <v>text</v>
      </c>
      <c r="H32" s="58"/>
      <c r="I32" s="23" t="s">
        <v>127</v>
      </c>
      <c r="J32" s="24" t="s">
        <v>1788</v>
      </c>
      <c r="M32" s="4"/>
      <c r="N32" s="78"/>
      <c r="O32" s="78"/>
      <c r="P32" s="78" t="str">
        <f t="shared" si="4"/>
        <v>,jisshi_ymd</v>
      </c>
      <c r="Q32" s="78" t="str">
        <f t="shared" si="0"/>
        <v>TEXT</v>
      </c>
      <c r="R32" s="78" t="str">
        <f t="shared" si="1"/>
        <v/>
      </c>
      <c r="S32" s="78" t="str">
        <f t="shared" si="5"/>
        <v>NOT NULL</v>
      </c>
      <c r="T32" s="78" t="str">
        <f t="shared" si="6"/>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1772</v>
      </c>
      <c r="D33" s="13" t="s">
        <v>235</v>
      </c>
      <c r="E33" s="7"/>
      <c r="F33" s="7" t="s">
        <v>1757</v>
      </c>
      <c r="G33" s="7" t="str">
        <f t="shared" si="3"/>
        <v>text</v>
      </c>
      <c r="H33" s="58"/>
      <c r="I33" s="23"/>
      <c r="J33" s="24" t="s">
        <v>1788</v>
      </c>
      <c r="M33" s="4"/>
      <c r="N33" s="78"/>
      <c r="O33" s="78"/>
      <c r="P33" s="78" t="str">
        <f t="shared" si="4"/>
        <v>,receipt_ka_kubun</v>
      </c>
      <c r="Q33" s="78" t="str">
        <f t="shared" si="0"/>
        <v>TEXT</v>
      </c>
      <c r="R33" s="78" t="str">
        <f t="shared" si="1"/>
        <v/>
      </c>
      <c r="S33" s="78" t="str">
        <f t="shared" si="5"/>
        <v/>
      </c>
      <c r="T33" s="78" t="str">
        <f t="shared" si="6"/>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1757</v>
      </c>
      <c r="G34" s="7" t="str">
        <f t="shared" si="3"/>
        <v>text</v>
      </c>
      <c r="H34" s="58"/>
      <c r="I34" s="23"/>
      <c r="J34" s="24" t="s">
        <v>1788</v>
      </c>
      <c r="M34" s="4"/>
      <c r="N34" s="78"/>
      <c r="O34" s="78"/>
      <c r="P34" s="78" t="str">
        <f t="shared" si="4"/>
        <v>,department_kubun</v>
      </c>
      <c r="Q34" s="78" t="str">
        <f t="shared" si="0"/>
        <v>TEXT</v>
      </c>
      <c r="R34" s="78" t="str">
        <f t="shared" si="1"/>
        <v/>
      </c>
      <c r="S34" s="78" t="str">
        <f t="shared" si="5"/>
        <v/>
      </c>
      <c r="T34" s="78" t="str">
        <f t="shared" si="6"/>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milscm_2023_009.sny_202310_base_mart_shinryou_koui.department_kubun IS '診療科区分';</v>
      </c>
    </row>
    <row r="35" spans="1:52" s="25" customFormat="1" ht="34.799999999999997">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milscm_2023_009.sny_202310_base_mart_shinryou_koui.nyugai_kubun IS '入外区分';</v>
      </c>
    </row>
    <row r="36" spans="1:52" s="25" customFormat="1" ht="18"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milscm_2023_009.sny_202310_base_mart_shinryou_koui.seq_no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ENT_31_03</v>
      </c>
      <c r="E6" s="251"/>
      <c r="F6" s="251"/>
      <c r="G6" s="251"/>
      <c r="H6" s="251"/>
      <c r="I6" s="251"/>
      <c r="J6" s="252"/>
    </row>
    <row r="7" spans="1:45">
      <c r="B7" s="240" t="s">
        <v>115</v>
      </c>
      <c r="C7" s="241"/>
      <c r="D7" s="242" t="s">
        <v>3714</v>
      </c>
      <c r="E7" s="243"/>
      <c r="F7" s="243"/>
      <c r="G7" s="243"/>
      <c r="H7" s="243"/>
      <c r="I7" s="243"/>
      <c r="J7" s="244"/>
    </row>
    <row r="8" spans="1:45">
      <c r="B8" s="240" t="s">
        <v>116</v>
      </c>
      <c r="C8" s="241"/>
      <c r="D8" s="242" t="str">
        <f>エンティティ一覧!AE2&amp;"_"&amp;D5&amp;"_mart_nyu_tai_in"</f>
        <v>sny_202310_base_mart_nyu_tai_in</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バックアップ_入院退院データテーブルから対象患者で絞り込んだ結果を格納するテーブル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milscm_2023_009.sny_202310_base_mart_nyu_tai_in;</v>
      </c>
      <c r="O10" s="78"/>
      <c r="P10" s="78"/>
      <c r="Q10" s="78"/>
      <c r="R10" s="78"/>
      <c r="S10" s="78"/>
      <c r="T10" s="78"/>
      <c r="AJ10" s="78" t="str">
        <f>"ALTER TABLE ONLY "&amp;エンティティ一覧!$O$2&amp;"."&amp;D$8</f>
        <v>ALTER TABLE ONLY milscm_2023_009.sny_202310_base_mart_nyu_tai_in</v>
      </c>
      <c r="AS10" s="78" t="str">
        <f>"ALTER TABLE "&amp;エンティティ一覧!$O$2&amp;"."&amp;D$8&amp;" OWNER TO pgmisgrp1;"</f>
        <v>ALTER TABLE milscm_2023_009.sny_202310_base_mart_nyu_tai_in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milscm_2023_009.sny_202310_base_mart_nyu_tai_in</v>
      </c>
      <c r="O11" s="78"/>
      <c r="P11" s="78"/>
      <c r="Q11" s="78"/>
      <c r="R11" s="78"/>
      <c r="S11" s="78"/>
      <c r="T11" s="78"/>
      <c r="AJ11" s="78" t="str">
        <f>"ADD CONSTRAINT "&amp;D$8&amp;"_pkey PRIMARY KEY"</f>
        <v>ADD CONSTRAINT sny_202310_base_mart_nyu_tai_in_pkey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milscm_2023_009.sny_202310_base_mart_nyu_tai_in IS 'ベース_入院退院データ';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t="s">
        <v>1835</v>
      </c>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0"/>
        <v>TEXT</v>
      </c>
      <c r="R15" s="78" t="str">
        <f t="shared" si="1"/>
        <v/>
      </c>
      <c r="S15" s="78" t="str">
        <f t="shared" si="5"/>
        <v>NOT NULL</v>
      </c>
      <c r="T15" s="78" t="str">
        <f t="shared" si="6"/>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milscm_2023_009.sny_202310_base_mart_nyu_tai_in.nyuin_ym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0"/>
        <v>TEXT</v>
      </c>
      <c r="R16" s="78" t="str">
        <f t="shared" si="1"/>
        <v/>
      </c>
      <c r="S16" s="78" t="str">
        <f t="shared" si="5"/>
        <v>NOT NULL</v>
      </c>
      <c r="T16" s="78" t="str">
        <f t="shared" si="6"/>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0"/>
        <v>TEXT</v>
      </c>
      <c r="R17" s="78" t="str">
        <f t="shared" si="1"/>
        <v/>
      </c>
      <c r="S17" s="78" t="str">
        <f t="shared" si="5"/>
        <v>NOT NULL</v>
      </c>
      <c r="T17" s="78" t="str">
        <f t="shared" si="6"/>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1832</v>
      </c>
      <c r="D18" s="6" t="s">
        <v>212</v>
      </c>
      <c r="E18" s="8" t="s">
        <v>127</v>
      </c>
      <c r="F18" s="7" t="s">
        <v>1757</v>
      </c>
      <c r="G18" s="7" t="str">
        <f t="shared" si="3"/>
        <v>text</v>
      </c>
      <c r="H18" s="26"/>
      <c r="I18" s="10" t="s">
        <v>127</v>
      </c>
      <c r="J18" s="11" t="s">
        <v>1835</v>
      </c>
      <c r="M18" s="4"/>
      <c r="N18" s="78"/>
      <c r="O18" s="78"/>
      <c r="P18" s="78" t="str">
        <f t="shared" si="4"/>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milscm_2023_009.sny_202310_base_mart_nyu_tai_in.taiin_ymd IS '退院年月日';</v>
      </c>
    </row>
    <row r="19" spans="1:52" s="25" customFormat="1" ht="35.4" thickBot="1">
      <c r="A19" s="4"/>
      <c r="B19" s="27">
        <f>ROW()-12</f>
        <v>7</v>
      </c>
      <c r="C19" s="57" t="s">
        <v>1833</v>
      </c>
      <c r="D19" s="57" t="s">
        <v>1834</v>
      </c>
      <c r="E19" s="56"/>
      <c r="F19" s="56" t="s">
        <v>1757</v>
      </c>
      <c r="G19" s="56" t="str">
        <f t="shared" si="3"/>
        <v>text</v>
      </c>
      <c r="H19" s="59"/>
      <c r="I19" s="60" t="s">
        <v>127</v>
      </c>
      <c r="J19" s="64" t="s">
        <v>1838</v>
      </c>
      <c r="N19" s="78"/>
      <c r="O19" s="78"/>
      <c r="P19" s="78" t="str">
        <f t="shared" si="4"/>
        <v>,nyuinchu_flg</v>
      </c>
      <c r="Q19" s="78" t="str">
        <f t="shared" si="0"/>
        <v>TEXT</v>
      </c>
      <c r="R19" s="78" t="str">
        <f t="shared" si="1"/>
        <v/>
      </c>
      <c r="S19" s="78" t="str">
        <f t="shared" ref="S19" si="7">IF(I19="○","NOT NULL","")</f>
        <v>NOT NULL</v>
      </c>
      <c r="T19" s="78" t="str">
        <f t="shared" ref="T19" si="8">"--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ENT_31_04</v>
      </c>
      <c r="E6" s="251"/>
      <c r="F6" s="251"/>
      <c r="G6" s="251"/>
      <c r="H6" s="251"/>
      <c r="I6" s="251"/>
      <c r="J6" s="252"/>
    </row>
    <row r="7" spans="1:45">
      <c r="B7" s="240" t="s">
        <v>115</v>
      </c>
      <c r="C7" s="241"/>
      <c r="D7" s="242" t="s">
        <v>3715</v>
      </c>
      <c r="E7" s="243"/>
      <c r="F7" s="243"/>
      <c r="G7" s="243"/>
      <c r="H7" s="243"/>
      <c r="I7" s="243"/>
      <c r="J7" s="244"/>
    </row>
    <row r="8" spans="1:45">
      <c r="B8" s="240" t="s">
        <v>116</v>
      </c>
      <c r="C8" s="241"/>
      <c r="D8" s="242" t="str">
        <f>エンティティ一覧!AE2&amp;"_"&amp;D5&amp;"_mart_patient_basic"</f>
        <v>sny_202310_base_mart_patient_basic</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バックアップ_患者基本データテーブルから対象患者で絞り込んだ結果を格納するテーブル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milscm_2023_009.sny_202310_base_mart_patient_basic;</v>
      </c>
      <c r="O10" s="78"/>
      <c r="P10" s="78"/>
      <c r="Q10" s="78"/>
      <c r="R10" s="78"/>
      <c r="S10" s="78"/>
      <c r="T10" s="78"/>
      <c r="AJ10" s="78" t="str">
        <f>"ALTER TABLE ONLY "&amp;エンティティ一覧!$O$2&amp;"."&amp;D$8</f>
        <v>ALTER TABLE ONLY milscm_2023_009.sny_202310_base_mart_patient_basic</v>
      </c>
      <c r="AS10" s="78" t="str">
        <f>"ALTER TABLE "&amp;エンティティ一覧!$O$2&amp;"."&amp;D$8&amp;" OWNER TO pgmisgrp1;"</f>
        <v>ALTER TABLE milscm_2023_009.sny_202310_base_mart_patient_basic OWNER TO pgmisgrp1;</v>
      </c>
    </row>
    <row r="11" spans="1:45" ht="18" thickBot="1">
      <c r="B11" s="20" t="s">
        <v>118</v>
      </c>
      <c r="C11" s="19"/>
      <c r="D11" s="5"/>
      <c r="E11" s="5"/>
      <c r="F11" s="5"/>
      <c r="G11" s="5"/>
      <c r="H11" s="5"/>
      <c r="I11" s="5"/>
      <c r="J11" s="18"/>
      <c r="N11" s="78" t="str">
        <f>"CREATE TABLE  "&amp;エンティティ一覧!$O$2&amp;"."&amp;D$8</f>
        <v>CREATE TABLE  milscm_2023_009.sny_202310_base_mart_patient_basic</v>
      </c>
      <c r="O11" s="78"/>
      <c r="P11" s="78"/>
      <c r="Q11" s="78"/>
      <c r="R11" s="78"/>
      <c r="S11" s="78"/>
      <c r="T11" s="78"/>
      <c r="AJ11" s="78" t="str">
        <f>"ADD CONSTRAINT "&amp;D$8&amp;"_pkey PRIMARY KEY"</f>
        <v>ADD CONSTRAINT sny_202310_base_mart_patient_basic_pkey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milscm_2023_009.sny_202310_base_mart_patient_basic IS 'ベース_患者基本データ';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1846</v>
      </c>
      <c r="D16" s="6" t="s">
        <v>1847</v>
      </c>
      <c r="E16" s="8"/>
      <c r="F16" s="7" t="s">
        <v>1848</v>
      </c>
      <c r="G16" s="7" t="str">
        <f t="shared" si="3"/>
        <v>text</v>
      </c>
      <c r="H16" s="26"/>
      <c r="I16" s="10"/>
      <c r="J16" s="11" t="s">
        <v>1870</v>
      </c>
      <c r="M16" s="4"/>
      <c r="N16" s="78"/>
      <c r="O16" s="78"/>
      <c r="P16" s="78" t="str">
        <f t="shared" si="4"/>
        <v>,shinryo_ym_min</v>
      </c>
      <c r="Q16" s="78" t="str">
        <f t="shared" si="0"/>
        <v>TEXT</v>
      </c>
      <c r="R16" s="78" t="str">
        <f t="shared" si="1"/>
        <v/>
      </c>
      <c r="S16" s="78" t="str">
        <f t="shared" si="5"/>
        <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1849</v>
      </c>
      <c r="D17" s="6" t="s">
        <v>1850</v>
      </c>
      <c r="E17" s="8"/>
      <c r="F17" s="7" t="s">
        <v>1841</v>
      </c>
      <c r="G17" s="7" t="str">
        <f t="shared" si="3"/>
        <v>text</v>
      </c>
      <c r="H17" s="26"/>
      <c r="I17" s="10"/>
      <c r="J17" s="11" t="s">
        <v>1870</v>
      </c>
      <c r="M17" s="4"/>
      <c r="N17" s="78"/>
      <c r="O17" s="78"/>
      <c r="P17" s="78" t="str">
        <f t="shared" si="4"/>
        <v>,shinryo_ym_max</v>
      </c>
      <c r="Q17" s="78" t="str">
        <f t="shared" si="0"/>
        <v>TEXT</v>
      </c>
      <c r="R17" s="78" t="str">
        <f t="shared" si="1"/>
        <v/>
      </c>
      <c r="S17" s="78" t="str">
        <f t="shared" si="5"/>
        <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milscm_2023_009.sny_202310_base_mart_patient_basic.shinryo_ym_max IS '診療年月_最大';</v>
      </c>
    </row>
    <row r="18" spans="1:52" s="25" customFormat="1" ht="34.799999999999997">
      <c r="A18" s="4"/>
      <c r="B18" s="21">
        <f t="shared" si="2"/>
        <v>6</v>
      </c>
      <c r="C18" s="6" t="s">
        <v>1851</v>
      </c>
      <c r="D18" s="6" t="s">
        <v>965</v>
      </c>
      <c r="E18" s="8"/>
      <c r="F18" s="7" t="s">
        <v>1757</v>
      </c>
      <c r="G18" s="7" t="str">
        <f t="shared" si="3"/>
        <v>text</v>
      </c>
      <c r="H18" s="26"/>
      <c r="I18" s="10" t="s">
        <v>127</v>
      </c>
      <c r="J18" s="11" t="s">
        <v>1871</v>
      </c>
      <c r="M18" s="4"/>
      <c r="N18" s="78"/>
      <c r="O18" s="78"/>
      <c r="P18" s="78" t="str">
        <f t="shared" si="4"/>
        <v>,sex_kubun</v>
      </c>
      <c r="Q18" s="78" t="str">
        <f t="shared" si="0"/>
        <v>TEXT</v>
      </c>
      <c r="R18" s="78" t="str">
        <f t="shared" si="1"/>
        <v/>
      </c>
      <c r="S18" s="78" t="str">
        <f t="shared" si="5"/>
        <v>NOT NULL</v>
      </c>
      <c r="T18" s="78" t="str">
        <f t="shared" si="6"/>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milscm_2023_009.sny_202310_base_mart_patient_basic.sex_kubun IS '男女区分';</v>
      </c>
    </row>
    <row r="19" spans="1:52" s="25" customFormat="1" ht="52.2">
      <c r="A19" s="4"/>
      <c r="B19" s="21">
        <f t="shared" si="2"/>
        <v>7</v>
      </c>
      <c r="C19" s="6" t="s">
        <v>1852</v>
      </c>
      <c r="D19" s="6" t="s">
        <v>322</v>
      </c>
      <c r="E19" s="8"/>
      <c r="F19" s="7" t="s">
        <v>1757</v>
      </c>
      <c r="G19" s="7" t="str">
        <f t="shared" si="3"/>
        <v>text</v>
      </c>
      <c r="H19" s="26"/>
      <c r="I19" s="10" t="s">
        <v>127</v>
      </c>
      <c r="J19" s="11" t="s">
        <v>1872</v>
      </c>
      <c r="M19" s="4"/>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milscm_2023_009.sny_202310_base_mart_patient_basic.birthday IS '生年月日';</v>
      </c>
    </row>
    <row r="20" spans="1:52" s="25" customFormat="1" ht="69.599999999999994">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milscm_2023_009.sny_202310_base_mart_patient_basic.death_flag IS '死亡フラグ';</v>
      </c>
    </row>
    <row r="21" spans="1:52" s="25" customFormat="1" ht="70.2"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ENT_31_05</v>
      </c>
      <c r="E6" s="251"/>
      <c r="F6" s="251"/>
      <c r="G6" s="251"/>
      <c r="H6" s="251"/>
      <c r="I6" s="251"/>
      <c r="J6" s="252"/>
    </row>
    <row r="7" spans="1:45">
      <c r="B7" s="240" t="s">
        <v>115</v>
      </c>
      <c r="C7" s="241"/>
      <c r="D7" s="242" t="s">
        <v>3716</v>
      </c>
      <c r="E7" s="243"/>
      <c r="F7" s="243"/>
      <c r="G7" s="243"/>
      <c r="H7" s="243"/>
      <c r="I7" s="243"/>
      <c r="J7" s="244"/>
    </row>
    <row r="8" spans="1:45">
      <c r="B8" s="240" t="s">
        <v>116</v>
      </c>
      <c r="C8" s="241"/>
      <c r="D8" s="242" t="str">
        <f>エンティティ一覧!AE2&amp;"_"&amp;D5&amp;"_text_mml_common"</f>
        <v>sny_202310_base_text_mml_common</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バックアップ_MML共通テーブルから対象患者で絞り込んだ結果を格納するテーブル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milscm_2023_009.sny_202310_base_text_mml_common;</v>
      </c>
      <c r="O10" s="78"/>
      <c r="P10" s="78"/>
      <c r="Q10" s="78"/>
      <c r="R10" s="78"/>
      <c r="S10" s="78"/>
      <c r="T10" s="78"/>
      <c r="AJ10" s="78" t="str">
        <f>"ALTER TABLE ONLY "&amp;エンティティ一覧!$O$2&amp;"."&amp;D$8</f>
        <v>ALTER TABLE ONLY milscm_2023_009.sny_202310_base_text_mml_common</v>
      </c>
      <c r="AS10" s="78" t="str">
        <f>"ALTER TABLE "&amp;エンティティ一覧!$O$2&amp;"."&amp;D$8&amp;" OWNER TO pgmisgrp1;"</f>
        <v>ALTER TABLE milscm_2023_009.sny_202310_base_text_mml_common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milscm_2023_009.sny_202310_base_text_mml_common</v>
      </c>
      <c r="O11" s="78"/>
      <c r="P11" s="78"/>
      <c r="Q11" s="78"/>
      <c r="R11" s="78"/>
      <c r="S11" s="78"/>
      <c r="T11" s="78"/>
      <c r="AJ11" s="78" t="str">
        <f>"ADD CONSTRAINT "&amp;D$8&amp;"_pkey PRIMARY KEY"</f>
        <v>ADD CONSTRAINT sny_202310_base_text_mml_common_pkey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milscm_2023_009.sny_202310_base_text_mml_common IS 'ベース_MML共通';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milscm_2023_009.sny_202310_base_text_mml_common.new_f IS '最新フラグ';</v>
      </c>
    </row>
    <row r="23" spans="1:52" s="25" customFormat="1" ht="18"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ENT_31_06</v>
      </c>
      <c r="E6" s="251"/>
      <c r="F6" s="251"/>
      <c r="G6" s="251"/>
      <c r="H6" s="251"/>
      <c r="I6" s="251"/>
      <c r="J6" s="252"/>
    </row>
    <row r="7" spans="1:45">
      <c r="B7" s="240" t="s">
        <v>115</v>
      </c>
      <c r="C7" s="241"/>
      <c r="D7" s="242" t="s">
        <v>3717</v>
      </c>
      <c r="E7" s="243"/>
      <c r="F7" s="243"/>
      <c r="G7" s="243"/>
      <c r="H7" s="243"/>
      <c r="I7" s="243"/>
      <c r="J7" s="244"/>
    </row>
    <row r="8" spans="1:45">
      <c r="B8" s="240" t="s">
        <v>116</v>
      </c>
      <c r="C8" s="241"/>
      <c r="D8" s="242" t="str">
        <f>エンティティ一覧!AE2&amp;"_"&amp;D5&amp;"_text_mml_mmlrd_body"</f>
        <v>sny_202310_base_text_mml_mmlrd_body</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milscm_2023_009.sny_202310_base_text_mml_mmlrd_body;</v>
      </c>
      <c r="O10" s="78"/>
      <c r="P10" s="78"/>
      <c r="Q10" s="78"/>
      <c r="R10" s="78"/>
      <c r="S10" s="78"/>
      <c r="T10" s="78"/>
      <c r="AJ10" s="78" t="str">
        <f>"ALTER TABLE ONLY "&amp;エンティティ一覧!$O$2&amp;"."&amp;D$8</f>
        <v>ALTER TABLE ONLY milscm_2023_009.sny_202310_base_text_mml_mmlrd_body</v>
      </c>
      <c r="AS10" s="78" t="str">
        <f>"ALTER TABLE "&amp;エンティティ一覧!$O$2&amp;"."&amp;D$8&amp;" OWNER TO pgmisgrp1;"</f>
        <v>ALTER TABLE milscm_2023_009.sny_202310_base_text_mml_mmlrd_body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milscm_2023_009.sny_202310_base_text_mml_mmlrd_body</v>
      </c>
      <c r="O11" s="78"/>
      <c r="P11" s="78"/>
      <c r="Q11" s="78"/>
      <c r="R11" s="78"/>
      <c r="S11" s="78"/>
      <c r="T11" s="78"/>
      <c r="AJ11" s="78" t="str">
        <f>"ADD CONSTRAINT "&amp;D$8&amp;"_pkey PRIMARY KEY"</f>
        <v>ADD CONSTRAINT sny_202310_base_text_mml_mmlrd_body_pkey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milscm_2023_009.sny_202310_base_text_mml_mmlrd_body.outcome IS '転帰';</v>
      </c>
    </row>
    <row r="21" spans="1:52" s="25" customFormat="1" ht="18"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ENT_31_07</v>
      </c>
      <c r="E6" s="251"/>
      <c r="F6" s="251"/>
      <c r="G6" s="251"/>
      <c r="H6" s="251"/>
      <c r="I6" s="251"/>
      <c r="J6" s="252"/>
    </row>
    <row r="7" spans="1:45">
      <c r="B7" s="240" t="s">
        <v>115</v>
      </c>
      <c r="C7" s="241"/>
      <c r="D7" s="242" t="s">
        <v>3718</v>
      </c>
      <c r="E7" s="243"/>
      <c r="F7" s="243"/>
      <c r="G7" s="243"/>
      <c r="H7" s="243"/>
      <c r="I7" s="243"/>
      <c r="J7" s="244"/>
    </row>
    <row r="8" spans="1:45">
      <c r="B8" s="240" t="s">
        <v>116</v>
      </c>
      <c r="C8" s="241"/>
      <c r="D8" s="242" t="str">
        <f>エンティティ一覧!AE2&amp;"_"&amp;D5&amp;"_text_mml_mmlrd_byomei"</f>
        <v>sny_202310_base_text_mml_mmlrd_byomei</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milscm_2023_009.sny_202310_base_text_mml_mmlrd_byomei;</v>
      </c>
      <c r="O10" s="78"/>
      <c r="P10" s="78"/>
      <c r="Q10" s="78"/>
      <c r="R10" s="78"/>
      <c r="S10" s="78"/>
      <c r="T10" s="78"/>
      <c r="AJ10" s="78" t="str">
        <f>"ALTER TABLE ONLY "&amp;エンティティ一覧!$O$2&amp;"."&amp;D$8</f>
        <v>ALTER TABLE ONLY milscm_2023_009.sny_202310_base_text_mml_mmlrd_byomei</v>
      </c>
      <c r="AS10" s="78" t="str">
        <f>"ALTER TABLE "&amp;エンティティ一覧!$O$2&amp;"."&amp;D$8&amp;" OWNER TO pgmisgrp1;"</f>
        <v>ALTER TABLE milscm_2023_009.sny_202310_base_text_mml_mmlrd_byomei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milscm_2023_009.sny_202310_base_text_mml_mmlrd_byomei</v>
      </c>
      <c r="O11" s="78"/>
      <c r="P11" s="78"/>
      <c r="Q11" s="78"/>
      <c r="R11" s="78"/>
      <c r="S11" s="78"/>
      <c r="T11" s="78"/>
      <c r="AJ11" s="78" t="str">
        <f>"ADD CONSTRAINT "&amp;D$8&amp;"_pkey PRIMARY KEY"</f>
        <v>ADD CONSTRAINT sny_202310_base_text_mml_mmlrd_byomei_pkey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milscm_2023_009.sny_202310_base_text_mml_mmlrd_byomei.tag_name IS 'タグ名';</v>
      </c>
    </row>
    <row r="20" spans="1:52" s="25" customFormat="1" ht="34.799999999999997">
      <c r="A20" s="4"/>
      <c r="B20" s="21">
        <f t="shared" si="2"/>
        <v>8</v>
      </c>
      <c r="C20" s="6" t="s">
        <v>1341</v>
      </c>
      <c r="D20" s="6" t="s">
        <v>2820</v>
      </c>
      <c r="E20" s="8"/>
      <c r="F20" s="7" t="s">
        <v>1841</v>
      </c>
      <c r="G20" s="7" t="str">
        <f t="shared" si="3"/>
        <v>text</v>
      </c>
      <c r="H20" s="26"/>
      <c r="I20" s="10"/>
      <c r="J20" s="11" t="s">
        <v>2825</v>
      </c>
      <c r="M20" s="4"/>
      <c r="N20" s="78"/>
      <c r="O20" s="78"/>
      <c r="P20" s="78" t="str">
        <f t="shared" si="4"/>
        <v>,diagnosis</v>
      </c>
      <c r="Q20" s="78" t="str">
        <f t="shared" si="0"/>
        <v>TEXT</v>
      </c>
      <c r="R20" s="78" t="str">
        <f t="shared" si="1"/>
        <v/>
      </c>
      <c r="S20" s="78" t="str">
        <f t="shared" si="5"/>
        <v/>
      </c>
      <c r="T20" s="78" t="str">
        <f t="shared" si="6"/>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milscm_2023_009.sny_202310_base_text_mml_mmlrd_byomei.code IS 'コード値';</v>
      </c>
    </row>
    <row r="22" spans="1:52" s="25" customFormat="1" ht="18"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ENT_31_08</v>
      </c>
      <c r="E6" s="251"/>
      <c r="F6" s="251"/>
      <c r="G6" s="251"/>
      <c r="H6" s="251"/>
      <c r="I6" s="251"/>
      <c r="J6" s="252"/>
    </row>
    <row r="7" spans="1:45">
      <c r="B7" s="240" t="s">
        <v>115</v>
      </c>
      <c r="C7" s="241"/>
      <c r="D7" s="242" t="s">
        <v>3719</v>
      </c>
      <c r="E7" s="243"/>
      <c r="F7" s="243"/>
      <c r="G7" s="243"/>
      <c r="H7" s="243"/>
      <c r="I7" s="243"/>
      <c r="J7" s="244"/>
    </row>
    <row r="8" spans="1:45">
      <c r="B8" s="240" t="s">
        <v>116</v>
      </c>
      <c r="C8" s="241"/>
      <c r="D8" s="242" t="str">
        <f>エンティティ一覧!AE2&amp;"_"&amp;D5&amp;"_text_mml_mmlps_body"</f>
        <v>sny_202310_base_text_mml_mmlps_body</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milscm_2023_009.sny_202310_base_text_mml_mmlps_body;</v>
      </c>
      <c r="O10" s="78"/>
      <c r="P10" s="78"/>
      <c r="Q10" s="78"/>
      <c r="R10" s="78"/>
      <c r="S10" s="78"/>
      <c r="T10" s="78"/>
      <c r="AJ10" s="78" t="str">
        <f>"ALTER TABLE ONLY "&amp;エンティティ一覧!$O$2&amp;"."&amp;D$8</f>
        <v>ALTER TABLE ONLY milscm_2023_009.sny_202310_base_text_mml_mmlps_body</v>
      </c>
      <c r="AS10" s="78" t="str">
        <f>"ALTER TABLE "&amp;エンティティ一覧!$O$2&amp;"."&amp;D$8&amp;" OWNER TO pgmisgrp1;"</f>
        <v>ALTER TABLE milscm_2023_009.sny_202310_base_text_mml_mmlps_body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milscm_2023_009.sny_202310_base_text_mml_mmlps_body</v>
      </c>
      <c r="O11" s="78"/>
      <c r="P11" s="78"/>
      <c r="Q11" s="78"/>
      <c r="R11" s="78"/>
      <c r="S11" s="78"/>
      <c r="T11" s="78"/>
      <c r="AJ11" s="78" t="str">
        <f>"ADD CONSTRAINT "&amp;D$8&amp;"_pkey PRIMARY KEY"</f>
        <v>ADD CONSTRAINT sny_202310_base_text_mml_mmlps_body_pkey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milscm_2023_009.sny_202310_base_text_mml_mmlps_body.master_id IS '患者ID';</v>
      </c>
    </row>
    <row r="18" spans="1:52" s="25" customFormat="1" ht="34.799999999999997">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milscm_2023_009.sny_202310_base_text_mml_mmlps_body.issued_to IS '院外、院内処方箋の別';</v>
      </c>
    </row>
    <row r="19" spans="1:52" s="25" customFormat="1" ht="30">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milscm_2023_009.sny_202310_base_text_mml_mmlps_body.narcotic_prescription_license_no IS '麻薬施用者番号';</v>
      </c>
    </row>
    <row r="20" spans="1:52" s="25" customFormat="1" ht="18"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ENT_31_09</v>
      </c>
      <c r="E6" s="251"/>
      <c r="F6" s="251"/>
      <c r="G6" s="251"/>
      <c r="H6" s="251"/>
      <c r="I6" s="251"/>
      <c r="J6" s="252"/>
    </row>
    <row r="7" spans="1:45">
      <c r="B7" s="240" t="s">
        <v>115</v>
      </c>
      <c r="C7" s="241"/>
      <c r="D7" s="242" t="s">
        <v>3720</v>
      </c>
      <c r="E7" s="243"/>
      <c r="F7" s="243"/>
      <c r="G7" s="243"/>
      <c r="H7" s="243"/>
      <c r="I7" s="243"/>
      <c r="J7" s="244"/>
    </row>
    <row r="8" spans="1:45">
      <c r="B8" s="240" t="s">
        <v>116</v>
      </c>
      <c r="C8" s="241"/>
      <c r="D8" s="242" t="str">
        <f>エンティティ一覧!AE2&amp;"_"&amp;D5&amp;"_text_mml_mmlps_medication"</f>
        <v>sny_202310_base_text_mml_mmlps_medication</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milscm_2023_009.sny_202310_base_text_mml_mmlps_medication;</v>
      </c>
      <c r="O10" s="78"/>
      <c r="P10" s="78"/>
      <c r="Q10" s="78"/>
      <c r="R10" s="78"/>
      <c r="S10" s="78"/>
      <c r="T10" s="78"/>
      <c r="AJ10" s="78" t="str">
        <f>"ALTER TABLE ONLY "&amp;エンティティ一覧!$O$2&amp;"."&amp;D$8</f>
        <v>ALTER TABLE ONLY milscm_2023_009.sny_202310_base_text_mml_mmlps_medication</v>
      </c>
      <c r="AS10" s="78" t="str">
        <f>"ALTER TABLE "&amp;エンティティ一覧!$O$2&amp;"."&amp;D$8&amp;" OWNER TO pgmisgrp1;"</f>
        <v>ALTER TABLE milscm_2023_009.sny_202310_base_text_mml_mmlps_medication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milscm_2023_009.sny_202310_base_text_mml_mmlps_medication</v>
      </c>
      <c r="O11" s="78"/>
      <c r="P11" s="78"/>
      <c r="Q11" s="78"/>
      <c r="R11" s="78"/>
      <c r="S11" s="78"/>
      <c r="T11" s="78"/>
      <c r="AJ11" s="78" t="str">
        <f>"ADD CONSTRAINT "&amp;D$8&amp;"_pkey PRIMARY KEY"</f>
        <v>ADD CONSTRAINT sny_202310_base_text_mml_mmlps_medication_pkey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2842</v>
      </c>
      <c r="D19" s="6" t="s">
        <v>2843</v>
      </c>
      <c r="E19" s="8"/>
      <c r="F19" s="7" t="s">
        <v>1841</v>
      </c>
      <c r="G19" s="7" t="str">
        <f t="shared" si="3"/>
        <v>text</v>
      </c>
      <c r="H19" s="26"/>
      <c r="I19" s="10"/>
      <c r="J19" s="11"/>
      <c r="M19" s="4"/>
      <c r="N19" s="78"/>
      <c r="O19" s="78"/>
      <c r="P19" s="78" t="str">
        <f t="shared" si="4"/>
        <v>,medicine_name</v>
      </c>
      <c r="Q19" s="78" t="str">
        <f t="shared" si="0"/>
        <v>TEXT</v>
      </c>
      <c r="R19" s="78" t="str">
        <f t="shared" si="1"/>
        <v/>
      </c>
      <c r="S19" s="78" t="str">
        <f t="shared" si="5"/>
        <v/>
      </c>
      <c r="T19" s="78" t="str">
        <f t="shared" si="6"/>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2844</v>
      </c>
      <c r="D20" s="6" t="s">
        <v>2845</v>
      </c>
      <c r="E20" s="8"/>
      <c r="F20" s="7" t="s">
        <v>1841</v>
      </c>
      <c r="G20" s="7" t="str">
        <f t="shared" si="3"/>
        <v>text</v>
      </c>
      <c r="H20" s="26"/>
      <c r="I20" s="10"/>
      <c r="J20" s="11"/>
      <c r="M20" s="4"/>
      <c r="N20" s="78"/>
      <c r="O20" s="78"/>
      <c r="P20" s="78" t="str">
        <f t="shared" si="4"/>
        <v>,dose</v>
      </c>
      <c r="Q20" s="78" t="str">
        <f t="shared" si="0"/>
        <v>TEXT</v>
      </c>
      <c r="R20" s="78" t="str">
        <f t="shared" si="1"/>
        <v/>
      </c>
      <c r="S20" s="78" t="str">
        <f t="shared" si="5"/>
        <v/>
      </c>
      <c r="T20" s="78" t="str">
        <f t="shared" si="6"/>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milscm_2023_009.sny_202310_base_text_mml_mmlps_medication.dose IS '用量';</v>
      </c>
    </row>
    <row r="21" spans="1:45" s="25" customFormat="1">
      <c r="A21" s="4"/>
      <c r="B21" s="21">
        <f t="shared" si="2"/>
        <v>9</v>
      </c>
      <c r="C21" s="6" t="s">
        <v>2846</v>
      </c>
      <c r="D21" s="6" t="s">
        <v>2847</v>
      </c>
      <c r="E21" s="8"/>
      <c r="F21" s="7" t="s">
        <v>1841</v>
      </c>
      <c r="G21" s="7" t="str">
        <f t="shared" si="3"/>
        <v>text</v>
      </c>
      <c r="H21" s="26"/>
      <c r="I21" s="10"/>
      <c r="J21" s="11"/>
      <c r="M21" s="4"/>
      <c r="N21" s="78"/>
      <c r="O21" s="78"/>
      <c r="P21" s="78" t="str">
        <f t="shared" si="4"/>
        <v>,dose_unit</v>
      </c>
      <c r="Q21" s="78" t="str">
        <f t="shared" si="0"/>
        <v>TEXT</v>
      </c>
      <c r="R21" s="78" t="str">
        <f t="shared" si="1"/>
        <v/>
      </c>
      <c r="S21" s="78" t="str">
        <f t="shared" si="5"/>
        <v/>
      </c>
      <c r="T21" s="78" t="str">
        <f t="shared" si="6"/>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2848</v>
      </c>
      <c r="D22" s="6" t="s">
        <v>2849</v>
      </c>
      <c r="E22" s="8"/>
      <c r="F22" s="7" t="s">
        <v>1841</v>
      </c>
      <c r="G22" s="7" t="str">
        <f t="shared" si="3"/>
        <v>text</v>
      </c>
      <c r="H22" s="26"/>
      <c r="I22" s="10"/>
      <c r="J22" s="11"/>
      <c r="M22" s="4"/>
      <c r="N22" s="78"/>
      <c r="O22" s="78"/>
      <c r="P22" s="78" t="str">
        <f t="shared" si="4"/>
        <v>,frequency_per_day</v>
      </c>
      <c r="Q22" s="78" t="str">
        <f t="shared" si="0"/>
        <v>TEXT</v>
      </c>
      <c r="R22" s="78" t="str">
        <f t="shared" si="1"/>
        <v/>
      </c>
      <c r="S22" s="78" t="str">
        <f t="shared" si="5"/>
        <v/>
      </c>
      <c r="T22" s="78" t="str">
        <f t="shared" si="6"/>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2850</v>
      </c>
      <c r="D23" s="6" t="s">
        <v>2809</v>
      </c>
      <c r="E23" s="8"/>
      <c r="F23" s="7" t="s">
        <v>1841</v>
      </c>
      <c r="G23" s="7" t="str">
        <f t="shared" si="3"/>
        <v>text</v>
      </c>
      <c r="H23" s="26"/>
      <c r="I23" s="10"/>
      <c r="J23" s="11" t="s">
        <v>2871</v>
      </c>
      <c r="M23" s="4"/>
      <c r="N23" s="78"/>
      <c r="O23" s="78"/>
      <c r="P23" s="78" t="str">
        <f t="shared" si="4"/>
        <v>,start_date</v>
      </c>
      <c r="Q23" s="78" t="str">
        <f t="shared" si="0"/>
        <v>TEXT</v>
      </c>
      <c r="R23" s="78" t="str">
        <f t="shared" si="1"/>
        <v/>
      </c>
      <c r="S23" s="78" t="str">
        <f t="shared" si="5"/>
        <v/>
      </c>
      <c r="T23" s="78" t="str">
        <f t="shared" si="6"/>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2851</v>
      </c>
      <c r="D24" s="6" t="s">
        <v>2852</v>
      </c>
      <c r="E24" s="8"/>
      <c r="F24" s="7" t="s">
        <v>1841</v>
      </c>
      <c r="G24" s="7" t="str">
        <f t="shared" si="3"/>
        <v>text</v>
      </c>
      <c r="H24" s="26"/>
      <c r="I24" s="10"/>
      <c r="J24" s="11"/>
      <c r="M24" s="4"/>
      <c r="N24" s="78"/>
      <c r="O24" s="78"/>
      <c r="P24" s="78" t="str">
        <f t="shared" si="4"/>
        <v>,duration</v>
      </c>
      <c r="Q24" s="78" t="str">
        <f t="shared" si="0"/>
        <v>TEXT</v>
      </c>
      <c r="R24" s="78" t="str">
        <f t="shared" si="1"/>
        <v/>
      </c>
      <c r="S24" s="78" t="str">
        <f t="shared" si="5"/>
        <v/>
      </c>
      <c r="T24" s="78" t="str">
        <f t="shared" si="6"/>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2853</v>
      </c>
      <c r="D25" s="6" t="s">
        <v>2854</v>
      </c>
      <c r="E25" s="8"/>
      <c r="F25" s="7" t="s">
        <v>1841</v>
      </c>
      <c r="G25" s="7" t="str">
        <f t="shared" si="3"/>
        <v>text</v>
      </c>
      <c r="H25" s="26"/>
      <c r="I25" s="10"/>
      <c r="J25" s="11"/>
      <c r="M25" s="4"/>
      <c r="N25" s="78"/>
      <c r="O25" s="78"/>
      <c r="P25" s="78" t="str">
        <f t="shared" si="4"/>
        <v>,instruction</v>
      </c>
      <c r="Q25" s="78" t="str">
        <f t="shared" si="0"/>
        <v>TEXT</v>
      </c>
      <c r="R25" s="78" t="str">
        <f t="shared" si="1"/>
        <v/>
      </c>
      <c r="S25" s="78" t="str">
        <f t="shared" si="5"/>
        <v/>
      </c>
      <c r="T25" s="78" t="str">
        <f t="shared" si="6"/>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2855</v>
      </c>
      <c r="D26" s="6" t="s">
        <v>2856</v>
      </c>
      <c r="E26" s="8"/>
      <c r="F26" s="7" t="s">
        <v>1841</v>
      </c>
      <c r="G26" s="7" t="str">
        <f t="shared" si="3"/>
        <v>text</v>
      </c>
      <c r="H26" s="26"/>
      <c r="I26" s="10"/>
      <c r="J26" s="11" t="s">
        <v>2872</v>
      </c>
      <c r="M26" s="4"/>
      <c r="N26" s="78"/>
      <c r="O26" s="78"/>
      <c r="P26" s="78" t="str">
        <f t="shared" si="4"/>
        <v>,prn</v>
      </c>
      <c r="Q26" s="78" t="str">
        <f t="shared" si="0"/>
        <v>TEXT</v>
      </c>
      <c r="R26" s="78" t="str">
        <f t="shared" si="1"/>
        <v/>
      </c>
      <c r="S26" s="78" t="str">
        <f t="shared" si="5"/>
        <v/>
      </c>
      <c r="T26" s="78" t="str">
        <f t="shared" si="6"/>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2857</v>
      </c>
      <c r="D27" s="6" t="s">
        <v>2858</v>
      </c>
      <c r="E27" s="8"/>
      <c r="F27" s="7" t="s">
        <v>1841</v>
      </c>
      <c r="G27" s="7" t="str">
        <f t="shared" si="3"/>
        <v>text</v>
      </c>
      <c r="H27" s="26"/>
      <c r="I27" s="10"/>
      <c r="J27" s="11"/>
      <c r="M27" s="4"/>
      <c r="N27" s="78"/>
      <c r="O27" s="78"/>
      <c r="P27" s="78" t="str">
        <f t="shared" si="4"/>
        <v>,repetitions</v>
      </c>
      <c r="Q27" s="78" t="str">
        <f t="shared" si="0"/>
        <v>TEXT</v>
      </c>
      <c r="R27" s="78" t="str">
        <f t="shared" si="1"/>
        <v/>
      </c>
      <c r="S27" s="78" t="str">
        <f t="shared" si="5"/>
        <v/>
      </c>
      <c r="T27" s="78" t="str">
        <f t="shared" si="6"/>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2859</v>
      </c>
      <c r="D28" s="6" t="s">
        <v>2860</v>
      </c>
      <c r="E28" s="8"/>
      <c r="F28" s="7" t="s">
        <v>1841</v>
      </c>
      <c r="G28" s="7" t="str">
        <f t="shared" si="3"/>
        <v>text</v>
      </c>
      <c r="H28" s="26"/>
      <c r="I28" s="10"/>
      <c r="J28" s="11"/>
      <c r="M28" s="4"/>
      <c r="N28" s="78"/>
      <c r="O28" s="78"/>
      <c r="P28" s="78" t="str">
        <f t="shared" si="4"/>
        <v>,route</v>
      </c>
      <c r="Q28" s="78" t="str">
        <f t="shared" si="0"/>
        <v>TEXT</v>
      </c>
      <c r="R28" s="78" t="str">
        <f t="shared" si="1"/>
        <v/>
      </c>
      <c r="S28" s="78" t="str">
        <f t="shared" si="5"/>
        <v/>
      </c>
      <c r="T28" s="78" t="str">
        <f t="shared" si="6"/>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2861</v>
      </c>
      <c r="D29" s="6" t="s">
        <v>2862</v>
      </c>
      <c r="E29" s="8"/>
      <c r="F29" s="7" t="s">
        <v>1841</v>
      </c>
      <c r="G29" s="7" t="str">
        <f t="shared" si="3"/>
        <v>text</v>
      </c>
      <c r="H29" s="26"/>
      <c r="I29" s="10"/>
      <c r="J29" s="11"/>
      <c r="M29" s="4"/>
      <c r="N29" s="78"/>
      <c r="O29" s="78"/>
      <c r="P29" s="78" t="str">
        <f t="shared" si="4"/>
        <v>,form</v>
      </c>
      <c r="Q29" s="78" t="str">
        <f t="shared" si="0"/>
        <v>TEXT</v>
      </c>
      <c r="R29" s="78" t="str">
        <f t="shared" si="1"/>
        <v/>
      </c>
      <c r="S29" s="78" t="str">
        <f t="shared" si="5"/>
        <v/>
      </c>
      <c r="T29" s="78" t="str">
        <f t="shared" si="6"/>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milscm_2023_009.sny_202310_base_text_mml_mmlps_medication.form IS '剤形';</v>
      </c>
    </row>
    <row r="30" spans="1:45" s="25" customFormat="1">
      <c r="A30" s="4"/>
      <c r="B30" s="21">
        <f t="shared" si="2"/>
        <v>18</v>
      </c>
      <c r="C30" s="6" t="s">
        <v>2863</v>
      </c>
      <c r="D30" s="6" t="s">
        <v>2864</v>
      </c>
      <c r="E30" s="8"/>
      <c r="F30" s="7" t="s">
        <v>1841</v>
      </c>
      <c r="G30" s="7" t="str">
        <f t="shared" si="3"/>
        <v>text</v>
      </c>
      <c r="H30" s="26"/>
      <c r="I30" s="10"/>
      <c r="J30" s="11"/>
      <c r="M30" s="4"/>
      <c r="N30" s="78"/>
      <c r="O30" s="78"/>
      <c r="P30" s="78" t="str">
        <f t="shared" si="4"/>
        <v>,batch_no</v>
      </c>
      <c r="Q30" s="78" t="str">
        <f t="shared" si="0"/>
        <v>TEXT</v>
      </c>
      <c r="R30" s="78" t="str">
        <f t="shared" si="1"/>
        <v/>
      </c>
      <c r="S30" s="78" t="str">
        <f t="shared" si="5"/>
        <v/>
      </c>
      <c r="T30" s="78" t="str">
        <f t="shared" si="6"/>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milscm_2023_009.sny_202310_base_text_mml_mmlps_medication.batch_no IS '処方番号';</v>
      </c>
    </row>
    <row r="31" spans="1:45" s="25" customFormat="1" ht="34.799999999999997">
      <c r="A31" s="4"/>
      <c r="B31" s="21">
        <f t="shared" si="2"/>
        <v>19</v>
      </c>
      <c r="C31" s="6" t="s">
        <v>2865</v>
      </c>
      <c r="D31" s="6" t="s">
        <v>2866</v>
      </c>
      <c r="E31" s="8"/>
      <c r="F31" s="7" t="s">
        <v>1841</v>
      </c>
      <c r="G31" s="7" t="str">
        <f t="shared" si="3"/>
        <v>text</v>
      </c>
      <c r="H31" s="26"/>
      <c r="I31" s="10"/>
      <c r="J31" s="11" t="s">
        <v>2873</v>
      </c>
      <c r="M31" s="4"/>
      <c r="N31" s="78"/>
      <c r="O31" s="78"/>
      <c r="P31" s="78" t="str">
        <f t="shared" si="4"/>
        <v>,brand_substitution_permitted</v>
      </c>
      <c r="Q31" s="78" t="str">
        <f t="shared" si="0"/>
        <v>TEXT</v>
      </c>
      <c r="R31" s="78" t="str">
        <f t="shared" si="1"/>
        <v/>
      </c>
      <c r="S31" s="78" t="str">
        <f t="shared" si="5"/>
        <v/>
      </c>
      <c r="T31" s="78" t="str">
        <f t="shared" si="6"/>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milscm_2023_009.sny_202310_base_text_mml_mmlps_medication.long_term IS '長期処方可';</v>
      </c>
    </row>
    <row r="33" spans="1:52" s="25" customFormat="1" ht="18"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1932</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ENT_31_10</v>
      </c>
      <c r="E6" s="251"/>
      <c r="F6" s="251"/>
      <c r="G6" s="251"/>
      <c r="H6" s="251"/>
      <c r="I6" s="251"/>
      <c r="J6" s="252"/>
    </row>
    <row r="7" spans="1:45">
      <c r="B7" s="240" t="s">
        <v>115</v>
      </c>
      <c r="C7" s="241"/>
      <c r="D7" s="242" t="s">
        <v>3721</v>
      </c>
      <c r="E7" s="243"/>
      <c r="F7" s="243"/>
      <c r="G7" s="243"/>
      <c r="H7" s="243"/>
      <c r="I7" s="243"/>
      <c r="J7" s="244"/>
    </row>
    <row r="8" spans="1:45">
      <c r="B8" s="240" t="s">
        <v>116</v>
      </c>
      <c r="C8" s="241"/>
      <c r="D8" s="242" t="str">
        <f>エンティティ一覧!AE2&amp;"_"&amp;D5&amp;"_text_mml_mmlps_medicine"</f>
        <v>sny_202310_base_text_mml_mmlps_medicine</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milscm_2023_009.sny_202310_base_text_mml_mmlps_medicine;</v>
      </c>
      <c r="O10" s="78"/>
      <c r="P10" s="78"/>
      <c r="Q10" s="78"/>
      <c r="R10" s="78"/>
      <c r="S10" s="78"/>
      <c r="T10" s="78"/>
      <c r="AJ10" s="78" t="str">
        <f>"ALTER TABLE ONLY "&amp;エンティティ一覧!$O$2&amp;"."&amp;D$8</f>
        <v>ALTER TABLE ONLY milscm_2023_009.sny_202310_base_text_mml_mmlps_medicine</v>
      </c>
      <c r="AS10" s="78" t="str">
        <f>"ALTER TABLE "&amp;エンティティ一覧!$O$2&amp;"."&amp;D$8&amp;" OWNER TO pgmisgrp1;"</f>
        <v>ALTER TABLE milscm_2023_009.sny_202310_base_text_mml_mmlps_medicine OWNER TO pgmisgrp1;</v>
      </c>
    </row>
    <row r="11" spans="1:45" ht="18" thickBot="1">
      <c r="B11" s="20" t="s">
        <v>118</v>
      </c>
      <c r="C11" s="19"/>
      <c r="D11" s="5"/>
      <c r="E11" s="5"/>
      <c r="F11" s="5"/>
      <c r="G11" s="5"/>
      <c r="H11" s="5"/>
      <c r="I11" s="5"/>
      <c r="J11" s="18"/>
      <c r="N11" s="78" t="str">
        <f>"CREATE TABLE  "&amp;エンティティ一覧!$O$2&amp;"."&amp;D$8</f>
        <v>CREATE TABLE  milscm_2023_009.sny_202310_base_text_mml_mmlps_medicine</v>
      </c>
      <c r="O11" s="78"/>
      <c r="P11" s="78"/>
      <c r="Q11" s="78"/>
      <c r="R11" s="78"/>
      <c r="S11" s="78"/>
      <c r="T11" s="78"/>
      <c r="AJ11" s="78" t="str">
        <f>"ADD CONSTRAINT "&amp;D$8&amp;"_pkey PRIMARY KEY"</f>
        <v>ADD CONSTRAINT sny_202310_base_text_mml_mmlps_medicine_pkey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milscm_2023_009.sny_202310_base_text_mml_mmlps_medicine.code IS '薬剤コード';</v>
      </c>
    </row>
    <row r="21" spans="1:52" s="25" customFormat="1" ht="18"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ENT_31_11</v>
      </c>
      <c r="E6" s="251"/>
      <c r="F6" s="251"/>
      <c r="G6" s="251"/>
      <c r="H6" s="251"/>
      <c r="I6" s="251"/>
      <c r="J6" s="252"/>
    </row>
    <row r="7" spans="1:45">
      <c r="B7" s="240" t="s">
        <v>115</v>
      </c>
      <c r="C7" s="241"/>
      <c r="D7" s="242" t="s">
        <v>309</v>
      </c>
      <c r="E7" s="243"/>
      <c r="F7" s="243"/>
      <c r="G7" s="243"/>
      <c r="H7" s="243"/>
      <c r="I7" s="243"/>
      <c r="J7" s="244"/>
    </row>
    <row r="8" spans="1:45">
      <c r="B8" s="240" t="s">
        <v>116</v>
      </c>
      <c r="C8" s="241"/>
      <c r="D8" s="242" t="str">
        <f>エンティティ一覧!AE2&amp;"_"&amp;D5&amp;"_merge_dpc_efn"</f>
        <v>sny_202310_base_merge_dpc_efn</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milscm_2023_009.sny_202310_base_merge_dpc_efn;</v>
      </c>
      <c r="O10" s="78"/>
      <c r="P10" s="78"/>
      <c r="Q10" s="78"/>
      <c r="R10" s="78"/>
      <c r="S10" s="78"/>
      <c r="T10" s="78"/>
      <c r="AJ10" s="78" t="str">
        <f>"ALTER TABLE ONLY "&amp;エンティティ一覧!$O$2&amp;"."&amp;D$8</f>
        <v>ALTER TABLE ONLY milscm_2023_009.sny_202310_base_merge_dpc_efn</v>
      </c>
      <c r="AS10" s="78" t="str">
        <f>"ALTER TABLE "&amp;エンティティ一覧!$O$2&amp;"."&amp;D$8&amp;" OWNER TO pgmisgrp1;"</f>
        <v>ALTER TABLE milscm_2023_009.sny_202310_base_merge_dpc_efn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milscm_2023_009.sny_202310_base_merge_dpc_efn</v>
      </c>
      <c r="O11" s="78"/>
      <c r="P11" s="78"/>
      <c r="Q11" s="78"/>
      <c r="R11" s="78"/>
      <c r="S11" s="78"/>
      <c r="T11" s="78"/>
      <c r="AJ11" s="78" t="str">
        <f>"ADD CONSTRAINT "&amp;D$8&amp;"_pkey PRIMARY KEY"</f>
        <v>ADD CONSTRAINT sny_202310_base_merge_dpc_efn_pkey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milscm_2023_009.sny_202310_base_merge_dpc_efn.taiin_ymd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milscm_2023_009.sny_202310_base_merge_dpc_efn.dekidaka_tensu IS '出来高実績点数';</v>
      </c>
    </row>
    <row r="33" spans="1:52" s="25" customFormat="1" ht="52.2">
      <c r="A33" s="4"/>
      <c r="B33" s="21">
        <f t="shared" si="2"/>
        <v>21</v>
      </c>
      <c r="C33" s="6" t="s">
        <v>281</v>
      </c>
      <c r="D33" s="6" t="s">
        <v>132</v>
      </c>
      <c r="E33" s="8"/>
      <c r="F33" s="8" t="s">
        <v>201</v>
      </c>
      <c r="G33" s="7" t="str">
        <f t="shared" si="3"/>
        <v>text</v>
      </c>
      <c r="H33" s="9"/>
      <c r="I33" s="10"/>
      <c r="J33" s="53"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milscm_2023_009.sny_202310_base_merge_dpc_efn.koi_meisai_kubun IS '行為明細区分情報';</v>
      </c>
    </row>
    <row r="34" spans="1:52" s="25" customFormat="1" ht="52.2">
      <c r="A34" s="4"/>
      <c r="B34" s="21">
        <f t="shared" si="2"/>
        <v>22</v>
      </c>
      <c r="C34" s="6" t="s">
        <v>282</v>
      </c>
      <c r="D34" s="6" t="s">
        <v>224</v>
      </c>
      <c r="E34" s="8"/>
      <c r="F34" s="8" t="s">
        <v>225</v>
      </c>
      <c r="G34" s="7" t="str">
        <f t="shared" si="3"/>
        <v>numeric</v>
      </c>
      <c r="H34" s="9"/>
      <c r="I34" s="10"/>
      <c r="J34" s="53"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8"/>
      <c r="O40" s="78"/>
      <c r="P40" s="78" t="str">
        <f t="shared" si="7"/>
        <v>,jisshi_ymd</v>
      </c>
      <c r="Q40" s="78" t="str">
        <f t="shared" si="8"/>
        <v>TEXT</v>
      </c>
      <c r="R40" s="78" t="str">
        <f t="shared" si="9"/>
        <v/>
      </c>
      <c r="S40" s="78" t="str">
        <f t="shared" si="10"/>
        <v>NOT NULL</v>
      </c>
      <c r="T40" s="78" t="str">
        <f t="shared" si="11"/>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milscm_2023_009.sny_202310_base_merge_dpc_efn.nyugai_kubun IS '入外区分';</v>
      </c>
      <c r="AT46" s="4"/>
      <c r="AU46" s="4"/>
    </row>
    <row r="47" spans="1:52" s="25" customFormat="1" ht="18" thickBot="1">
      <c r="A47" s="4"/>
      <c r="B47" s="27">
        <f>ROW()-12</f>
        <v>35</v>
      </c>
      <c r="C47" s="28" t="s">
        <v>294</v>
      </c>
      <c r="D47" s="28" t="s">
        <v>245</v>
      </c>
      <c r="E47" s="29"/>
      <c r="F47" s="29" t="s">
        <v>201</v>
      </c>
      <c r="G47" s="56" t="str">
        <f t="shared" si="3"/>
        <v>text</v>
      </c>
      <c r="H47" s="30"/>
      <c r="I47" s="31"/>
      <c r="J47" s="55"/>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ENT_31_12</v>
      </c>
      <c r="E6" s="251"/>
      <c r="F6" s="251"/>
      <c r="G6" s="251"/>
      <c r="H6" s="251"/>
      <c r="I6" s="251"/>
      <c r="J6" s="252"/>
    </row>
    <row r="7" spans="1:45">
      <c r="B7" s="240" t="s">
        <v>115</v>
      </c>
      <c r="C7" s="241"/>
      <c r="D7" s="242" t="s">
        <v>310</v>
      </c>
      <c r="E7" s="243"/>
      <c r="F7" s="243"/>
      <c r="G7" s="243"/>
      <c r="H7" s="243"/>
      <c r="I7" s="243"/>
      <c r="J7" s="244"/>
    </row>
    <row r="8" spans="1:45">
      <c r="B8" s="240" t="s">
        <v>116</v>
      </c>
      <c r="C8" s="241"/>
      <c r="D8" s="242" t="str">
        <f>エンティティ一覧!AE2&amp;"_"&amp;D5&amp;"_merge_dpc_efg"</f>
        <v>sny_202310_base_merge_dpc_efg</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milscm_2023_009.sny_202310_base_merge_dpc_efg;</v>
      </c>
      <c r="O10" s="78"/>
      <c r="P10" s="78"/>
      <c r="Q10" s="78"/>
      <c r="R10" s="78"/>
      <c r="S10" s="78"/>
      <c r="T10" s="78"/>
      <c r="AJ10" s="78" t="str">
        <f>"ALTER TABLE ONLY "&amp;エンティティ一覧!$O$2&amp;"."&amp;D$8</f>
        <v>ALTER TABLE ONLY milscm_2023_009.sny_202310_base_merge_dpc_efg</v>
      </c>
      <c r="AS10" s="78" t="str">
        <f>"ALTER TABLE "&amp;エンティティ一覧!$O$2&amp;"."&amp;D$8&amp;" OWNER TO pgmisgrp1;"</f>
        <v>ALTER TABLE milscm_2023_009.sny_202310_base_merge_dpc_efg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milscm_2023_009.sny_202310_base_merge_dpc_efg</v>
      </c>
      <c r="O11" s="78"/>
      <c r="P11" s="78"/>
      <c r="Q11" s="78"/>
      <c r="R11" s="78"/>
      <c r="S11" s="78"/>
      <c r="T11" s="78"/>
      <c r="AJ11" s="78" t="str">
        <f>"ADD CONSTRAINT "&amp;D$8&amp;"_pkey PRIMARY KEY"</f>
        <v>ADD CONSTRAINT sny_202310_base_merge_dpc_efg_pkey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milscm_2023_009.sny_202310_base_merge_dpc_efg.birthday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milscm_2023_009.sny_202310_base_merge_dpc_efg.dekidaka_tensu IS '出来高実績点数';</v>
      </c>
    </row>
    <row r="33" spans="1:52" s="25" customFormat="1" ht="52.2">
      <c r="A33" s="4"/>
      <c r="B33" s="21">
        <f t="shared" si="2"/>
        <v>21</v>
      </c>
      <c r="C33" s="6" t="s">
        <v>338</v>
      </c>
      <c r="D33" s="6" t="s">
        <v>132</v>
      </c>
      <c r="E33" s="8"/>
      <c r="F33" s="7" t="s">
        <v>317</v>
      </c>
      <c r="G33" s="7" t="str">
        <f t="shared" si="3"/>
        <v>text</v>
      </c>
      <c r="H33" s="26"/>
      <c r="I33" s="10"/>
      <c r="J33" s="11"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milscm_2023_009.sny_202310_base_merge_dpc_efg.koi_meisai_kubun IS '行為明細区分情報';</v>
      </c>
    </row>
    <row r="34" spans="1:52" s="25" customFormat="1" ht="52.2">
      <c r="A34" s="4"/>
      <c r="B34" s="21">
        <f t="shared" si="2"/>
        <v>22</v>
      </c>
      <c r="C34" s="13" t="s">
        <v>339</v>
      </c>
      <c r="D34" s="13" t="s">
        <v>340</v>
      </c>
      <c r="E34" s="7"/>
      <c r="F34" s="7" t="s">
        <v>332</v>
      </c>
      <c r="G34" s="7" t="str">
        <f t="shared" si="3"/>
        <v>numeric</v>
      </c>
      <c r="H34" s="58"/>
      <c r="I34" s="23"/>
      <c r="J34" s="24"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8"/>
      <c r="O40" s="78"/>
      <c r="P40" s="78" t="str">
        <f t="shared" si="7"/>
        <v>,jisshi_ymd</v>
      </c>
      <c r="Q40" s="78" t="str">
        <f t="shared" si="8"/>
        <v>TEXT</v>
      </c>
      <c r="R40" s="78" t="str">
        <f t="shared" si="9"/>
        <v/>
      </c>
      <c r="S40" s="78" t="str">
        <f t="shared" si="10"/>
        <v>NOT NULL</v>
      </c>
      <c r="T40" s="78" t="str">
        <f t="shared" si="11"/>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milscm_2023_009.sny_202310_base_merge_dpc_efg.nyugai_kubun IS '入外区分';</v>
      </c>
      <c r="AT46" s="4"/>
      <c r="AU46" s="4"/>
    </row>
    <row r="47" spans="1:52" s="25" customFormat="1" ht="18" thickBot="1">
      <c r="A47" s="4"/>
      <c r="B47" s="27">
        <f>ROW()-12</f>
        <v>35</v>
      </c>
      <c r="C47" s="57" t="s">
        <v>352</v>
      </c>
      <c r="D47" s="57" t="s">
        <v>245</v>
      </c>
      <c r="E47" s="56"/>
      <c r="F47" s="56" t="s">
        <v>317</v>
      </c>
      <c r="G47" s="56" t="str">
        <f t="shared" si="3"/>
        <v>text</v>
      </c>
      <c r="H47" s="59"/>
      <c r="I47" s="60"/>
      <c r="J47" s="61"/>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ENT_31_13</v>
      </c>
      <c r="E6" s="251"/>
      <c r="F6" s="251"/>
      <c r="G6" s="251"/>
      <c r="H6" s="251"/>
      <c r="I6" s="251"/>
      <c r="J6" s="252"/>
    </row>
    <row r="7" spans="1:45">
      <c r="B7" s="240" t="s">
        <v>115</v>
      </c>
      <c r="C7" s="241"/>
      <c r="D7" s="242" t="s">
        <v>311</v>
      </c>
      <c r="E7" s="243"/>
      <c r="F7" s="243"/>
      <c r="G7" s="243"/>
      <c r="H7" s="243"/>
      <c r="I7" s="243"/>
      <c r="J7" s="244"/>
    </row>
    <row r="8" spans="1:45">
      <c r="B8" s="240" t="s">
        <v>116</v>
      </c>
      <c r="C8" s="241"/>
      <c r="D8" s="242" t="str">
        <f>エンティティ一覧!AE2&amp;"_"&amp;D5&amp;"_merge_dpc_ff1"</f>
        <v>sny_202310_base_merge_dpc_ff1</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バックアップ_DPC調査データ_様式1テーブルから対象患者で絞り込んだ結果を格納するテーブル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milscm_2023_009.sny_202310_base_merge_dpc_ff1;</v>
      </c>
      <c r="O10" s="78"/>
      <c r="P10" s="78"/>
      <c r="Q10" s="78"/>
      <c r="R10" s="78"/>
      <c r="S10" s="78"/>
      <c r="T10" s="78"/>
      <c r="AJ10" s="78" t="str">
        <f>"ALTER TABLE ONLY "&amp;エンティティ一覧!$O$2&amp;"."&amp;D$8</f>
        <v>ALTER TABLE ONLY milscm_2023_009.sny_202310_base_merge_dpc_ff1</v>
      </c>
      <c r="AS10" s="78" t="str">
        <f>"ALTER TABLE "&amp;エンティティ一覧!$O$2&amp;"."&amp;D$8&amp;" OWNER TO pgmisgrp1;"</f>
        <v>ALTER TABLE milscm_2023_009.sny_202310_base_merge_dpc_ff1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v>
      </c>
      <c r="O11" s="78"/>
      <c r="P11" s="78"/>
      <c r="Q11" s="78"/>
      <c r="R11" s="78"/>
      <c r="S11" s="78"/>
      <c r="T11" s="78"/>
      <c r="AJ11" s="78" t="str">
        <f>"ADD CONSTRAINT "&amp;D$8&amp;"_pkey PRIMARY KEY"</f>
        <v>ADD CONSTRAINT sny_202310_base_merge_dpc_ff1_pkey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milscm_2023_009.sny_202310_base_merge_dpc_ff1.facility_id IS '施設ID';</v>
      </c>
    </row>
    <row r="16" spans="1:45" s="25" customFormat="1" ht="87">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5"/>
        <v/>
      </c>
      <c r="T25" s="78" t="str">
        <f t="shared" si="6"/>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5"/>
        <v/>
      </c>
      <c r="T26" s="78" t="str">
        <f t="shared" si="6"/>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5"/>
        <v/>
      </c>
      <c r="T27" s="78" t="str">
        <f t="shared" si="6"/>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5"/>
        <v/>
      </c>
      <c r="T28" s="78" t="str">
        <f t="shared" si="6"/>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5"/>
        <v/>
      </c>
      <c r="T29" s="78" t="str">
        <f t="shared" si="6"/>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5"/>
        <v/>
      </c>
      <c r="T30" s="78" t="str">
        <f t="shared" si="6"/>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milscm_2023_009.sny_202310_base_merge_dpc_ff1.a000020_shokai_flag IS '他院よりの紹介の有無';</v>
      </c>
    </row>
    <row r="31" spans="1:45" s="25" customFormat="1" ht="30">
      <c r="A31" s="4"/>
      <c r="B31" s="21">
        <f t="shared" si="2"/>
        <v>19</v>
      </c>
      <c r="C31" s="6" t="s">
        <v>580</v>
      </c>
      <c r="D31" s="6" t="s">
        <v>581</v>
      </c>
      <c r="E31" s="8"/>
      <c r="F31" s="7" t="s">
        <v>317</v>
      </c>
      <c r="G31" s="7" t="str">
        <f t="shared" si="3"/>
        <v>text</v>
      </c>
      <c r="H31" s="26"/>
      <c r="I31" s="10"/>
      <c r="J31" s="11" t="s">
        <v>815</v>
      </c>
      <c r="N31" s="78"/>
      <c r="O31" s="78"/>
      <c r="P31" s="78" t="str">
        <f t="shared" ref="P31:P94" si="7">IF(B31&lt;&gt;1,","&amp;D31,D31)</f>
        <v>,a000020_gairai_nyuin_flag</v>
      </c>
      <c r="Q31" s="78" t="str">
        <f t="shared" ref="Q31:Q94" si="8">UPPER(G31)</f>
        <v>TEXT</v>
      </c>
      <c r="R31" s="78" t="str">
        <f t="shared" ref="R31:R94" si="9">IF(H31&lt;&gt;"","default "&amp;IF(G31="text","'"&amp;H31&amp;"'",H31),"")</f>
        <v/>
      </c>
      <c r="S31" s="78" t="str">
        <f t="shared" ref="S31:S94" si="10">IF(I31="○","NOT NULL","")</f>
        <v/>
      </c>
      <c r="T31" s="78" t="str">
        <f t="shared" ref="T31:T94" si="11">"-- "&amp;C31</f>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7"/>
        <v>,a000020_yotei_nyuin</v>
      </c>
      <c r="Q32" s="78" t="str">
        <f t="shared" si="8"/>
        <v>TEXT</v>
      </c>
      <c r="R32" s="78" t="str">
        <f t="shared" si="9"/>
        <v/>
      </c>
      <c r="S32" s="78" t="str">
        <f t="shared" si="10"/>
        <v/>
      </c>
      <c r="T32" s="78" t="str">
        <f t="shared" si="11"/>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7"/>
        <v>,a000020_hanso_flag</v>
      </c>
      <c r="Q33" s="78" t="str">
        <f t="shared" si="8"/>
        <v>TEXT</v>
      </c>
      <c r="R33" s="78" t="str">
        <f t="shared" si="9"/>
        <v/>
      </c>
      <c r="S33" s="78" t="str">
        <f t="shared" si="10"/>
        <v/>
      </c>
      <c r="T33" s="78" t="str">
        <f t="shared" si="11"/>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milscm_2023_009.sny_202310_base_merge_dpc_ff1.a000020_hanso_flag IS '救急車による搬送の有無';</v>
      </c>
    </row>
    <row r="34" spans="1:52" s="25" customFormat="1" ht="30">
      <c r="A34" s="4"/>
      <c r="B34" s="21">
        <f t="shared" si="2"/>
        <v>22</v>
      </c>
      <c r="C34" s="13" t="s">
        <v>586</v>
      </c>
      <c r="D34" s="13" t="s">
        <v>587</v>
      </c>
      <c r="E34" s="7"/>
      <c r="F34" s="7" t="s">
        <v>317</v>
      </c>
      <c r="G34" s="7" t="str">
        <f t="shared" si="3"/>
        <v>text</v>
      </c>
      <c r="H34" s="58"/>
      <c r="I34" s="23"/>
      <c r="J34" s="24" t="s">
        <v>815</v>
      </c>
      <c r="N34" s="78"/>
      <c r="O34" s="78"/>
      <c r="P34" s="78" t="str">
        <f t="shared" si="7"/>
        <v>,a000020_nyuin_homecare_flag</v>
      </c>
      <c r="Q34" s="78" t="str">
        <f t="shared" si="8"/>
        <v>TEXT</v>
      </c>
      <c r="R34" s="78" t="str">
        <f t="shared" si="9"/>
        <v/>
      </c>
      <c r="S34" s="78" t="str">
        <f t="shared" si="10"/>
        <v/>
      </c>
      <c r="T34" s="78" t="str">
        <f t="shared" si="11"/>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milscm_2023_009.sny_202310_base_merge_dpc_ff1.a000020_nyuin_homecare_flag IS '入院前の在宅医療の有無';</v>
      </c>
    </row>
    <row r="35" spans="1:52" s="25" customFormat="1" ht="191.4">
      <c r="A35" s="4"/>
      <c r="B35" s="21">
        <f t="shared" si="2"/>
        <v>23</v>
      </c>
      <c r="C35" s="6" t="s">
        <v>588</v>
      </c>
      <c r="D35" s="6" t="s">
        <v>589</v>
      </c>
      <c r="E35" s="8"/>
      <c r="F35" s="7" t="s">
        <v>317</v>
      </c>
      <c r="G35" s="7" t="str">
        <f t="shared" si="3"/>
        <v>text</v>
      </c>
      <c r="H35" s="26"/>
      <c r="I35" s="10"/>
      <c r="J35" s="11" t="s">
        <v>816</v>
      </c>
      <c r="N35" s="78"/>
      <c r="O35" s="78"/>
      <c r="P35" s="78" t="str">
        <f t="shared" si="7"/>
        <v>,a000020_jisho_flag</v>
      </c>
      <c r="Q35" s="78" t="str">
        <f t="shared" si="8"/>
        <v>TEXT</v>
      </c>
      <c r="R35" s="78" t="str">
        <f t="shared" si="9"/>
        <v/>
      </c>
      <c r="S35" s="78" t="str">
        <f t="shared" si="10"/>
        <v/>
      </c>
      <c r="T35" s="78" t="str">
        <f t="shared" si="11"/>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milscm_2023_009.sny_202310_base_merge_dpc_ff1.a000020_jisho_flag IS '自傷行為・自殺企図の有無';</v>
      </c>
    </row>
    <row r="36" spans="1:52" s="25" customFormat="1" ht="52.2">
      <c r="A36" s="4"/>
      <c r="B36" s="21">
        <f t="shared" si="2"/>
        <v>24</v>
      </c>
      <c r="C36" s="13" t="s">
        <v>590</v>
      </c>
      <c r="D36" s="13" t="s">
        <v>591</v>
      </c>
      <c r="E36" s="7"/>
      <c r="F36" s="7" t="s">
        <v>317</v>
      </c>
      <c r="G36" s="7" t="str">
        <f t="shared" si="3"/>
        <v>text</v>
      </c>
      <c r="H36" s="26"/>
      <c r="I36" s="10"/>
      <c r="J36" s="11" t="s">
        <v>817</v>
      </c>
      <c r="N36" s="78"/>
      <c r="O36" s="78"/>
      <c r="P36" s="78" t="str">
        <f t="shared" si="7"/>
        <v>,a000020_kako_jisho_flag</v>
      </c>
      <c r="Q36" s="78" t="str">
        <f t="shared" si="8"/>
        <v>TEXT</v>
      </c>
      <c r="R36" s="78" t="str">
        <f t="shared" si="9"/>
        <v/>
      </c>
      <c r="S36" s="78" t="str">
        <f t="shared" si="10"/>
        <v/>
      </c>
      <c r="T36" s="78" t="str">
        <f t="shared" si="11"/>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7"/>
        <v>,a000030_taiin_ymd</v>
      </c>
      <c r="Q37" s="78" t="str">
        <f t="shared" si="8"/>
        <v>TEXT</v>
      </c>
      <c r="R37" s="78" t="str">
        <f t="shared" si="9"/>
        <v/>
      </c>
      <c r="S37" s="78" t="str">
        <f t="shared" si="10"/>
        <v/>
      </c>
      <c r="T37" s="78" t="str">
        <f t="shared" si="11"/>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7"/>
        <v>,a000030_taiin_saki</v>
      </c>
      <c r="Q38" s="78" t="str">
        <f t="shared" si="8"/>
        <v>TEXT</v>
      </c>
      <c r="R38" s="78" t="str">
        <f t="shared" si="9"/>
        <v/>
      </c>
      <c r="S38" s="78" t="str">
        <f t="shared" si="10"/>
        <v/>
      </c>
      <c r="T38" s="78" t="str">
        <f t="shared" si="11"/>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7"/>
        <v>,a000030_taiin_tenki</v>
      </c>
      <c r="Q39" s="78" t="str">
        <f t="shared" si="8"/>
        <v>TEXT</v>
      </c>
      <c r="R39" s="78" t="str">
        <f t="shared" si="9"/>
        <v/>
      </c>
      <c r="S39" s="78" t="str">
        <f t="shared" si="10"/>
        <v/>
      </c>
      <c r="T39" s="78" t="str">
        <f t="shared" si="11"/>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milscm_2023_009.sny_202310_base_merge_dpc_ff1.a000030_taiin_tenki IS '退院時転帰';</v>
      </c>
    </row>
    <row r="40" spans="1:52" s="25" customFormat="1" ht="69.599999999999994">
      <c r="A40" s="4"/>
      <c r="B40" s="21">
        <f t="shared" si="2"/>
        <v>28</v>
      </c>
      <c r="C40" s="6" t="s">
        <v>597</v>
      </c>
      <c r="D40" s="6" t="s">
        <v>598</v>
      </c>
      <c r="E40" s="8"/>
      <c r="F40" s="7" t="s">
        <v>317</v>
      </c>
      <c r="G40" s="7" t="str">
        <f t="shared" si="3"/>
        <v>text</v>
      </c>
      <c r="H40" s="26"/>
      <c r="I40" s="10"/>
      <c r="J40" s="11" t="s">
        <v>818</v>
      </c>
      <c r="N40" s="78"/>
      <c r="O40" s="78"/>
      <c r="P40" s="78" t="str">
        <f t="shared" si="7"/>
        <v>,a000030_death24_flag</v>
      </c>
      <c r="Q40" s="78" t="str">
        <f t="shared" si="8"/>
        <v>TEXT</v>
      </c>
      <c r="R40" s="78" t="str">
        <f t="shared" si="9"/>
        <v/>
      </c>
      <c r="S40" s="78" t="str">
        <f t="shared" si="10"/>
        <v/>
      </c>
      <c r="T40" s="78" t="str">
        <f t="shared" si="11"/>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milscm_2023_009.sny_202310_base_merge_dpc_ff1.a000030_death24_flag IS '24時間以内の死亡の有無';</v>
      </c>
    </row>
    <row r="41" spans="1:52" s="25" customFormat="1" ht="30">
      <c r="A41" s="4"/>
      <c r="B41" s="21">
        <f t="shared" si="2"/>
        <v>29</v>
      </c>
      <c r="C41" s="13" t="s">
        <v>599</v>
      </c>
      <c r="D41" s="13" t="s">
        <v>600</v>
      </c>
      <c r="E41" s="7"/>
      <c r="F41" s="7" t="s">
        <v>317</v>
      </c>
      <c r="G41" s="7" t="str">
        <f t="shared" si="3"/>
        <v>text</v>
      </c>
      <c r="H41" s="58"/>
      <c r="I41" s="23"/>
      <c r="J41" s="24" t="s">
        <v>819</v>
      </c>
      <c r="N41" s="78"/>
      <c r="O41" s="78"/>
      <c r="P41" s="78" t="str">
        <f t="shared" si="7"/>
        <v>,a000030_taiin_homecare_flag</v>
      </c>
      <c r="Q41" s="78" t="str">
        <f t="shared" si="8"/>
        <v>TEXT</v>
      </c>
      <c r="R41" s="78" t="str">
        <f t="shared" si="9"/>
        <v/>
      </c>
      <c r="S41" s="78" t="str">
        <f t="shared" si="10"/>
        <v/>
      </c>
      <c r="T41" s="78" t="str">
        <f t="shared" si="11"/>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7"/>
        <v>,a000031_ff1_start_ymd</v>
      </c>
      <c r="Q42" s="78" t="str">
        <f t="shared" si="8"/>
        <v>TEXT</v>
      </c>
      <c r="R42" s="78" t="str">
        <f t="shared" si="9"/>
        <v/>
      </c>
      <c r="S42" s="78" t="str">
        <f t="shared" si="10"/>
        <v/>
      </c>
      <c r="T42" s="78" t="str">
        <f t="shared" si="11"/>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7"/>
        <v>,a000031_ff1_end_ymd</v>
      </c>
      <c r="Q43" s="78" t="str">
        <f t="shared" si="8"/>
        <v>TEXT</v>
      </c>
      <c r="R43" s="78" t="str">
        <f t="shared" si="9"/>
        <v/>
      </c>
      <c r="S43" s="78" t="str">
        <f t="shared" si="10"/>
        <v/>
      </c>
      <c r="T43" s="78" t="str">
        <f t="shared" si="11"/>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milscm_2023_009.sny_202310_base_merge_dpc_ff1.a000031_ff1_end_ymd IS '様式1終了日';</v>
      </c>
    </row>
    <row r="44" spans="1:52" s="25" customFormat="1" ht="30">
      <c r="A44" s="4"/>
      <c r="B44" s="21">
        <f t="shared" si="2"/>
        <v>32</v>
      </c>
      <c r="C44" s="6" t="s">
        <v>605</v>
      </c>
      <c r="D44" s="6" t="s">
        <v>606</v>
      </c>
      <c r="E44" s="8"/>
      <c r="F44" s="7" t="s">
        <v>317</v>
      </c>
      <c r="G44" s="7" t="str">
        <f t="shared" si="3"/>
        <v>text</v>
      </c>
      <c r="H44" s="26"/>
      <c r="I44" s="10"/>
      <c r="J44" s="11"/>
      <c r="N44" s="78"/>
      <c r="O44" s="78"/>
      <c r="P44" s="78" t="str">
        <f t="shared" si="7"/>
        <v>,a000040_department_code</v>
      </c>
      <c r="Q44" s="78" t="str">
        <f t="shared" si="8"/>
        <v>TEXT</v>
      </c>
      <c r="R44" s="78" t="str">
        <f t="shared" si="9"/>
        <v/>
      </c>
      <c r="S44" s="78" t="str">
        <f t="shared" si="10"/>
        <v/>
      </c>
      <c r="T44" s="78" t="str">
        <f t="shared" si="11"/>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7"/>
        <v>,a000040_tenka_flag</v>
      </c>
      <c r="Q45" s="78" t="str">
        <f t="shared" si="8"/>
        <v>TEXT</v>
      </c>
      <c r="R45" s="78" t="str">
        <f t="shared" si="9"/>
        <v/>
      </c>
      <c r="S45" s="78" t="str">
        <f t="shared" si="10"/>
        <v/>
      </c>
      <c r="T45" s="78" t="str">
        <f t="shared" si="11"/>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milscm_2023_009.sny_202310_base_merge_dpc_ff1.a000040_tenka_flag IS '転科の有無';</v>
      </c>
    </row>
    <row r="46" spans="1:52" s="25" customFormat="1" ht="30">
      <c r="A46" s="4"/>
      <c r="B46" s="21">
        <f t="shared" si="2"/>
        <v>34</v>
      </c>
      <c r="C46" s="6" t="s">
        <v>609</v>
      </c>
      <c r="D46" s="6" t="s">
        <v>610</v>
      </c>
      <c r="E46" s="8"/>
      <c r="F46" s="7" t="s">
        <v>317</v>
      </c>
      <c r="G46" s="7" t="str">
        <f t="shared" si="3"/>
        <v>text</v>
      </c>
      <c r="H46" s="58"/>
      <c r="I46" s="23"/>
      <c r="J46" s="24"/>
      <c r="N46" s="78"/>
      <c r="O46" s="78"/>
      <c r="P46" s="78" t="str">
        <f t="shared" si="7"/>
        <v>,a000050_ippan_ward_flag</v>
      </c>
      <c r="Q46" s="78" t="str">
        <f t="shared" si="8"/>
        <v>TEXT</v>
      </c>
      <c r="R46" s="78" t="str">
        <f t="shared" si="9"/>
        <v/>
      </c>
      <c r="S46" s="78" t="str">
        <f t="shared" si="10"/>
        <v/>
      </c>
      <c r="T46" s="78" t="str">
        <f t="shared" si="11"/>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0">
      <c r="A47" s="4"/>
      <c r="B47" s="21">
        <f t="shared" si="2"/>
        <v>35</v>
      </c>
      <c r="C47" s="13" t="s">
        <v>611</v>
      </c>
      <c r="D47" s="13" t="s">
        <v>612</v>
      </c>
      <c r="E47" s="7"/>
      <c r="F47" s="7" t="s">
        <v>317</v>
      </c>
      <c r="G47" s="7" t="str">
        <f t="shared" si="3"/>
        <v>text</v>
      </c>
      <c r="H47" s="26"/>
      <c r="I47" s="10"/>
      <c r="J47" s="11"/>
      <c r="L47" s="4"/>
      <c r="N47" s="78"/>
      <c r="O47" s="78"/>
      <c r="P47" s="78" t="str">
        <f t="shared" si="7"/>
        <v>,a000050_seishin_ward_flag</v>
      </c>
      <c r="Q47" s="78" t="str">
        <f t="shared" si="8"/>
        <v>TEXT</v>
      </c>
      <c r="R47" s="78" t="str">
        <f t="shared" si="9"/>
        <v/>
      </c>
      <c r="S47" s="78" t="str">
        <f t="shared" si="10"/>
        <v/>
      </c>
      <c r="T47" s="78" t="str">
        <f t="shared" si="11"/>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613</v>
      </c>
      <c r="D48" s="13" t="s">
        <v>614</v>
      </c>
      <c r="E48" s="7"/>
      <c r="F48" s="7" t="s">
        <v>317</v>
      </c>
      <c r="G48" s="7" t="str">
        <f t="shared" si="3"/>
        <v>text</v>
      </c>
      <c r="H48" s="26"/>
      <c r="I48" s="10"/>
      <c r="J48" s="11"/>
      <c r="L48" s="4"/>
      <c r="N48" s="78"/>
      <c r="O48" s="78"/>
      <c r="P48" s="78" t="str">
        <f t="shared" si="7"/>
        <v>,a000050_other_ward_flag</v>
      </c>
      <c r="Q48" s="78" t="str">
        <f t="shared" si="8"/>
        <v>TEXT</v>
      </c>
      <c r="R48" s="78" t="str">
        <f t="shared" si="9"/>
        <v/>
      </c>
      <c r="S48" s="78" t="str">
        <f t="shared" si="10"/>
        <v/>
      </c>
      <c r="T48" s="78" t="str">
        <f t="shared" si="11"/>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615</v>
      </c>
      <c r="D49" s="13" t="s">
        <v>616</v>
      </c>
      <c r="E49" s="7"/>
      <c r="F49" s="7" t="s">
        <v>317</v>
      </c>
      <c r="G49" s="7" t="str">
        <f t="shared" si="3"/>
        <v>text</v>
      </c>
      <c r="H49" s="58"/>
      <c r="I49" s="23"/>
      <c r="J49" s="24" t="s">
        <v>820</v>
      </c>
      <c r="L49" s="4"/>
      <c r="N49" s="78"/>
      <c r="O49" s="78"/>
      <c r="P49" s="78" t="str">
        <f t="shared" si="7"/>
        <v>,a000060_shinryo_purpose</v>
      </c>
      <c r="Q49" s="78" t="str">
        <f t="shared" si="8"/>
        <v>TEXT</v>
      </c>
      <c r="R49" s="78" t="str">
        <f t="shared" si="9"/>
        <v/>
      </c>
      <c r="S49" s="78" t="str">
        <f t="shared" si="10"/>
        <v/>
      </c>
      <c r="T49" s="78" t="str">
        <f t="shared" si="11"/>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7"/>
        <v>,a000060_trial_flag</v>
      </c>
      <c r="Q50" s="78" t="str">
        <f t="shared" si="8"/>
        <v>TEXT</v>
      </c>
      <c r="R50" s="78" t="str">
        <f t="shared" si="9"/>
        <v/>
      </c>
      <c r="S50" s="78" t="str">
        <f t="shared" si="10"/>
        <v/>
      </c>
      <c r="T50" s="78" t="str">
        <f t="shared" si="11"/>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7"/>
        <v>,a000070_zentaiin_ymd</v>
      </c>
      <c r="Q51" s="78" t="str">
        <f t="shared" si="8"/>
        <v>TEXT</v>
      </c>
      <c r="R51" s="78" t="str">
        <f t="shared" si="9"/>
        <v/>
      </c>
      <c r="S51" s="78" t="str">
        <f t="shared" si="10"/>
        <v/>
      </c>
      <c r="T51" s="78" t="str">
        <f t="shared" si="11"/>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0">
      <c r="A52" s="4"/>
      <c r="B52" s="21">
        <f t="shared" si="2"/>
        <v>40</v>
      </c>
      <c r="C52" s="6" t="s">
        <v>621</v>
      </c>
      <c r="D52" s="6" t="s">
        <v>622</v>
      </c>
      <c r="E52" s="8"/>
      <c r="F52" s="7" t="s">
        <v>317</v>
      </c>
      <c r="G52" s="7" t="str">
        <f t="shared" si="3"/>
        <v>text</v>
      </c>
      <c r="H52" s="26"/>
      <c r="I52" s="10"/>
      <c r="J52" s="11" t="s">
        <v>144</v>
      </c>
      <c r="L52" s="4"/>
      <c r="N52" s="78"/>
      <c r="O52" s="78"/>
      <c r="P52" s="78" t="str">
        <f t="shared" si="7"/>
        <v>,a000070_same_jiin_nyuin_flag</v>
      </c>
      <c r="Q52" s="78" t="str">
        <f t="shared" si="8"/>
        <v>TEXT</v>
      </c>
      <c r="R52" s="78" t="str">
        <f t="shared" si="9"/>
        <v/>
      </c>
      <c r="S52" s="78" t="str">
        <f t="shared" si="10"/>
        <v/>
      </c>
      <c r="T52" s="78" t="str">
        <f t="shared" si="11"/>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M53" s="4"/>
      <c r="N53" s="78"/>
      <c r="O53" s="78"/>
      <c r="P53" s="78" t="str">
        <f t="shared" si="7"/>
        <v>,a000080_sai_nyuin_type</v>
      </c>
      <c r="Q53" s="78" t="str">
        <f t="shared" si="8"/>
        <v>TEXT</v>
      </c>
      <c r="R53" s="78" t="str">
        <f t="shared" si="9"/>
        <v/>
      </c>
      <c r="S53" s="78" t="str">
        <f t="shared" si="10"/>
        <v/>
      </c>
      <c r="T53" s="78" t="str">
        <f t="shared" si="11"/>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7"/>
        <v>,a000080_riyu_type</v>
      </c>
      <c r="Q54" s="78" t="str">
        <f t="shared" si="8"/>
        <v>TEXT</v>
      </c>
      <c r="R54" s="78" t="str">
        <f t="shared" si="9"/>
        <v/>
      </c>
      <c r="S54" s="78" t="str">
        <f t="shared" si="10"/>
        <v/>
      </c>
      <c r="T54" s="78" t="str">
        <f t="shared" si="11"/>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7"/>
        <v>,a000080_free_entry</v>
      </c>
      <c r="Q55" s="78" t="str">
        <f t="shared" si="8"/>
        <v>TEXT</v>
      </c>
      <c r="R55" s="78" t="str">
        <f t="shared" si="9"/>
        <v/>
      </c>
      <c r="S55" s="78" t="str">
        <f t="shared" si="10"/>
        <v/>
      </c>
      <c r="T55" s="78" t="str">
        <f t="shared" si="11"/>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7"/>
        <v>,a000090_sai_tento_type</v>
      </c>
      <c r="Q56" s="78" t="str">
        <f t="shared" si="8"/>
        <v>TEXT</v>
      </c>
      <c r="R56" s="78" t="str">
        <f t="shared" si="9"/>
        <v/>
      </c>
      <c r="S56" s="78" t="str">
        <f t="shared" si="10"/>
        <v/>
      </c>
      <c r="T56" s="78" t="str">
        <f t="shared" si="11"/>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7"/>
        <v>,a000090_riyu_type</v>
      </c>
      <c r="Q57" s="78" t="str">
        <f t="shared" si="8"/>
        <v>TEXT</v>
      </c>
      <c r="R57" s="78" t="str">
        <f t="shared" si="9"/>
        <v/>
      </c>
      <c r="S57" s="78" t="str">
        <f t="shared" si="10"/>
        <v/>
      </c>
      <c r="T57" s="78" t="str">
        <f t="shared" si="11"/>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7"/>
        <v>,a000090_free_entry</v>
      </c>
      <c r="Q58" s="78" t="str">
        <f t="shared" si="8"/>
        <v>TEXT</v>
      </c>
      <c r="R58" s="78" t="str">
        <f t="shared" si="9"/>
        <v/>
      </c>
      <c r="S58" s="78" t="str">
        <f t="shared" si="10"/>
        <v/>
      </c>
      <c r="T58" s="78" t="str">
        <f t="shared" si="11"/>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7"/>
        <v>,a001010_height</v>
      </c>
      <c r="Q59" s="78" t="str">
        <f t="shared" si="8"/>
        <v>TEXT</v>
      </c>
      <c r="R59" s="78" t="str">
        <f t="shared" si="9"/>
        <v/>
      </c>
      <c r="S59" s="78" t="str">
        <f t="shared" si="10"/>
        <v/>
      </c>
      <c r="T59" s="78" t="str">
        <f t="shared" si="11"/>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4.799999999999997">
      <c r="A60" s="4"/>
      <c r="B60" s="21">
        <f t="shared" si="2"/>
        <v>48</v>
      </c>
      <c r="C60" s="13" t="s">
        <v>635</v>
      </c>
      <c r="D60" s="13" t="s">
        <v>636</v>
      </c>
      <c r="E60" s="7"/>
      <c r="F60" s="7" t="s">
        <v>317</v>
      </c>
      <c r="G60" s="7" t="str">
        <f t="shared" si="3"/>
        <v>text</v>
      </c>
      <c r="H60" s="26"/>
      <c r="I60" s="10"/>
      <c r="J60" s="11" t="s">
        <v>825</v>
      </c>
      <c r="L60" s="4"/>
      <c r="M60" s="4"/>
      <c r="N60" s="78"/>
      <c r="O60" s="78"/>
      <c r="P60" s="78" t="str">
        <f t="shared" si="7"/>
        <v>,a001010_weight</v>
      </c>
      <c r="Q60" s="78" t="str">
        <f t="shared" si="8"/>
        <v>TEXT</v>
      </c>
      <c r="R60" s="78" t="str">
        <f t="shared" si="9"/>
        <v/>
      </c>
      <c r="S60" s="78" t="str">
        <f t="shared" si="10"/>
        <v/>
      </c>
      <c r="T60" s="78" t="str">
        <f t="shared" si="11"/>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7"/>
        <v>,a001020_smoking</v>
      </c>
      <c r="Q61" s="78" t="str">
        <f t="shared" si="8"/>
        <v>TEXT</v>
      </c>
      <c r="R61" s="78" t="str">
        <f t="shared" si="9"/>
        <v/>
      </c>
      <c r="S61" s="78" t="str">
        <f t="shared" si="10"/>
        <v/>
      </c>
      <c r="T61" s="78" t="str">
        <f t="shared" si="11"/>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7"/>
        <v>,a002010_ninshin_flag</v>
      </c>
      <c r="Q62" s="78" t="str">
        <f t="shared" si="8"/>
        <v>TEXT</v>
      </c>
      <c r="R62" s="78" t="str">
        <f t="shared" si="9"/>
        <v/>
      </c>
      <c r="S62" s="78" t="str">
        <f t="shared" si="10"/>
        <v/>
      </c>
      <c r="T62" s="78" t="str">
        <f t="shared" si="11"/>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7"/>
        <v>,a002010_nyuin_ninshin</v>
      </c>
      <c r="Q63" s="78" t="str">
        <f t="shared" si="8"/>
        <v>TEXT</v>
      </c>
      <c r="R63" s="78" t="str">
        <f t="shared" si="9"/>
        <v/>
      </c>
      <c r="S63" s="78" t="str">
        <f t="shared" si="10"/>
        <v/>
      </c>
      <c r="T63" s="78" t="str">
        <f t="shared" si="11"/>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7"/>
        <v>,a003010_birth_weight</v>
      </c>
      <c r="Q64" s="78" t="str">
        <f t="shared" si="8"/>
        <v>TEXT</v>
      </c>
      <c r="R64" s="78" t="str">
        <f t="shared" si="9"/>
        <v/>
      </c>
      <c r="S64" s="78" t="str">
        <f t="shared" si="10"/>
        <v/>
      </c>
      <c r="T64" s="78" t="str">
        <f t="shared" si="11"/>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7"/>
        <v>,a003010_birth_ninshin</v>
      </c>
      <c r="Q65" s="78" t="str">
        <f t="shared" si="8"/>
        <v>TEXT</v>
      </c>
      <c r="R65" s="78" t="str">
        <f t="shared" si="9"/>
        <v/>
      </c>
      <c r="S65" s="78" t="str">
        <f t="shared" si="10"/>
        <v/>
      </c>
      <c r="T65" s="78" t="str">
        <f t="shared" si="11"/>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0">
      <c r="A66" s="4"/>
      <c r="B66" s="21">
        <f t="shared" si="2"/>
        <v>54</v>
      </c>
      <c r="C66" s="13" t="s">
        <v>647</v>
      </c>
      <c r="D66" s="13" t="s">
        <v>648</v>
      </c>
      <c r="E66" s="7"/>
      <c r="F66" s="7" t="s">
        <v>317</v>
      </c>
      <c r="G66" s="7" t="str">
        <f t="shared" si="3"/>
        <v>text</v>
      </c>
      <c r="H66" s="26"/>
      <c r="I66" s="10"/>
      <c r="J66" s="11" t="s">
        <v>830</v>
      </c>
      <c r="L66" s="4"/>
      <c r="M66" s="4"/>
      <c r="N66" s="78"/>
      <c r="O66" s="78"/>
      <c r="P66" s="78" t="str">
        <f t="shared" si="7"/>
        <v>,a004010_aged_jiritsu_kijun</v>
      </c>
      <c r="Q66" s="78" t="str">
        <f t="shared" si="8"/>
        <v>TEXT</v>
      </c>
      <c r="R66" s="78" t="str">
        <f t="shared" si="9"/>
        <v/>
      </c>
      <c r="S66" s="78" t="str">
        <f t="shared" si="10"/>
        <v/>
      </c>
      <c r="T66" s="78" t="str">
        <f t="shared" si="11"/>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649</v>
      </c>
      <c r="D67" s="6" t="s">
        <v>650</v>
      </c>
      <c r="E67" s="8"/>
      <c r="F67" s="7" t="s">
        <v>317</v>
      </c>
      <c r="G67" s="7" t="str">
        <f t="shared" si="3"/>
        <v>text</v>
      </c>
      <c r="H67" s="58"/>
      <c r="I67" s="23"/>
      <c r="J67" s="24" t="s">
        <v>831</v>
      </c>
      <c r="L67" s="4"/>
      <c r="M67" s="4"/>
      <c r="N67" s="78"/>
      <c r="O67" s="78"/>
      <c r="P67" s="78" t="str">
        <f t="shared" si="7"/>
        <v>,a004020_care</v>
      </c>
      <c r="Q67" s="78" t="str">
        <f t="shared" si="8"/>
        <v>TEXT</v>
      </c>
      <c r="R67" s="78" t="str">
        <f t="shared" si="9"/>
        <v/>
      </c>
      <c r="S67" s="78" t="str">
        <f t="shared" si="10"/>
        <v/>
      </c>
      <c r="T67" s="78" t="str">
        <f t="shared" si="11"/>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0">
      <c r="A68" s="4"/>
      <c r="B68" s="21">
        <f t="shared" si="2"/>
        <v>56</v>
      </c>
      <c r="C68" s="13" t="s">
        <v>246</v>
      </c>
      <c r="D68" s="13" t="s">
        <v>651</v>
      </c>
      <c r="E68" s="7"/>
      <c r="F68" s="7" t="s">
        <v>317</v>
      </c>
      <c r="G68" s="7" t="str">
        <f t="shared" si="3"/>
        <v>text</v>
      </c>
      <c r="H68" s="26"/>
      <c r="I68" s="10"/>
      <c r="J68" s="11" t="s">
        <v>144</v>
      </c>
      <c r="L68" s="4"/>
      <c r="M68" s="4"/>
      <c r="N68" s="78"/>
      <c r="O68" s="78"/>
      <c r="P68" s="78" t="str">
        <f t="shared" si="7"/>
        <v>,a004030_santei_start_ymd</v>
      </c>
      <c r="Q68" s="78" t="str">
        <f t="shared" si="8"/>
        <v>TEXT</v>
      </c>
      <c r="R68" s="78" t="str">
        <f t="shared" si="9"/>
        <v/>
      </c>
      <c r="S68" s="78" t="str">
        <f t="shared" si="10"/>
        <v/>
      </c>
      <c r="T68" s="78" t="str">
        <f t="shared" si="11"/>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ht="30">
      <c r="A69" s="4"/>
      <c r="B69" s="21">
        <f t="shared" si="2"/>
        <v>57</v>
      </c>
      <c r="C69" s="6" t="s">
        <v>248</v>
      </c>
      <c r="D69" s="6" t="s">
        <v>652</v>
      </c>
      <c r="E69" s="8"/>
      <c r="F69" s="7" t="s">
        <v>317</v>
      </c>
      <c r="G69" s="7" t="str">
        <f t="shared" si="3"/>
        <v>text</v>
      </c>
      <c r="H69" s="58"/>
      <c r="I69" s="23"/>
      <c r="J69" s="24" t="s">
        <v>144</v>
      </c>
      <c r="L69" s="4"/>
      <c r="M69" s="4"/>
      <c r="N69" s="78"/>
      <c r="O69" s="78"/>
      <c r="P69" s="78" t="str">
        <f t="shared" si="7"/>
        <v>,a004030_santei_end_ymd</v>
      </c>
      <c r="Q69" s="78" t="str">
        <f t="shared" si="8"/>
        <v>TEXT</v>
      </c>
      <c r="R69" s="78" t="str">
        <f t="shared" si="9"/>
        <v/>
      </c>
      <c r="S69" s="78" t="str">
        <f t="shared" si="10"/>
        <v/>
      </c>
      <c r="T69" s="78" t="str">
        <f t="shared" si="11"/>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0">
      <c r="A70" s="4"/>
      <c r="B70" s="21">
        <f t="shared" si="2"/>
        <v>58</v>
      </c>
      <c r="C70" s="13" t="s">
        <v>653</v>
      </c>
      <c r="D70" s="13" t="s">
        <v>654</v>
      </c>
      <c r="E70" s="7"/>
      <c r="F70" s="7" t="s">
        <v>317</v>
      </c>
      <c r="G70" s="7" t="str">
        <f t="shared" si="3"/>
        <v>text</v>
      </c>
      <c r="H70" s="58"/>
      <c r="I70" s="23"/>
      <c r="J70" s="24" t="s">
        <v>832</v>
      </c>
      <c r="L70" s="4"/>
      <c r="M70" s="4"/>
      <c r="N70" s="78"/>
      <c r="O70" s="78"/>
      <c r="P70" s="78" t="str">
        <f t="shared" si="7"/>
        <v>,a004030_teieiyo_start_flag</v>
      </c>
      <c r="Q70" s="78" t="str">
        <f t="shared" si="8"/>
        <v>TEXT</v>
      </c>
      <c r="R70" s="78" t="str">
        <f t="shared" si="9"/>
        <v/>
      </c>
      <c r="S70" s="78" t="str">
        <f t="shared" si="10"/>
        <v/>
      </c>
      <c r="T70" s="78" t="str">
        <f t="shared" si="11"/>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0">
      <c r="A71" s="4"/>
      <c r="B71" s="21">
        <f t="shared" si="2"/>
        <v>59</v>
      </c>
      <c r="C71" s="6" t="s">
        <v>655</v>
      </c>
      <c r="D71" s="6" t="s">
        <v>656</v>
      </c>
      <c r="E71" s="8"/>
      <c r="F71" s="7" t="s">
        <v>317</v>
      </c>
      <c r="G71" s="7" t="str">
        <f t="shared" si="3"/>
        <v>text</v>
      </c>
      <c r="H71" s="26"/>
      <c r="I71" s="10"/>
      <c r="J71" s="11" t="s">
        <v>832</v>
      </c>
      <c r="L71" s="4"/>
      <c r="M71" s="4"/>
      <c r="N71" s="78"/>
      <c r="O71" s="78"/>
      <c r="P71" s="78" t="str">
        <f t="shared" si="7"/>
        <v>,a004030_sesshoku_shogai_start_flag</v>
      </c>
      <c r="Q71" s="78" t="str">
        <f t="shared" si="8"/>
        <v>TEXT</v>
      </c>
      <c r="R71" s="78" t="str">
        <f t="shared" si="9"/>
        <v/>
      </c>
      <c r="S71" s="78" t="str">
        <f t="shared" si="10"/>
        <v/>
      </c>
      <c r="T71" s="78" t="str">
        <f t="shared" si="11"/>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657</v>
      </c>
      <c r="D72" s="6" t="s">
        <v>658</v>
      </c>
      <c r="E72" s="8"/>
      <c r="F72" s="7" t="s">
        <v>317</v>
      </c>
      <c r="G72" s="7" t="str">
        <f t="shared" si="3"/>
        <v>text</v>
      </c>
      <c r="H72" s="26"/>
      <c r="I72" s="10"/>
      <c r="J72" s="11" t="s">
        <v>832</v>
      </c>
      <c r="L72" s="4"/>
      <c r="M72" s="4"/>
      <c r="N72" s="78"/>
      <c r="O72" s="78"/>
      <c r="P72" s="78" t="str">
        <f t="shared" si="7"/>
        <v>,a004030_teieiyo_end_flag</v>
      </c>
      <c r="Q72" s="78" t="str">
        <f t="shared" si="8"/>
        <v>TEXT</v>
      </c>
      <c r="R72" s="78" t="str">
        <f t="shared" si="9"/>
        <v/>
      </c>
      <c r="S72" s="78" t="str">
        <f t="shared" si="10"/>
        <v/>
      </c>
      <c r="T72" s="78" t="str">
        <f t="shared" si="11"/>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0">
      <c r="A73" s="4"/>
      <c r="B73" s="21">
        <f t="shared" si="2"/>
        <v>61</v>
      </c>
      <c r="C73" s="13" t="s">
        <v>659</v>
      </c>
      <c r="D73" s="13" t="s">
        <v>660</v>
      </c>
      <c r="E73" s="7"/>
      <c r="F73" s="7" t="s">
        <v>317</v>
      </c>
      <c r="G73" s="7" t="str">
        <f t="shared" si="3"/>
        <v>text</v>
      </c>
      <c r="H73" s="58"/>
      <c r="I73" s="23"/>
      <c r="J73" s="24" t="s">
        <v>832</v>
      </c>
      <c r="L73" s="4"/>
      <c r="M73" s="4"/>
      <c r="N73" s="78"/>
      <c r="O73" s="78"/>
      <c r="P73" s="78" t="str">
        <f t="shared" si="7"/>
        <v>,a004030_sesshoku_shogai_end_flag</v>
      </c>
      <c r="Q73" s="78" t="str">
        <f t="shared" si="8"/>
        <v>TEXT</v>
      </c>
      <c r="R73" s="78" t="str">
        <f t="shared" si="9"/>
        <v/>
      </c>
      <c r="S73" s="78" t="str">
        <f t="shared" si="10"/>
        <v/>
      </c>
      <c r="T73" s="78" t="str">
        <f t="shared" si="11"/>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661</v>
      </c>
      <c r="D74" s="6" t="s">
        <v>662</v>
      </c>
      <c r="E74" s="8"/>
      <c r="F74" s="7" t="s">
        <v>317</v>
      </c>
      <c r="G74" s="7" t="str">
        <f t="shared" si="3"/>
        <v>text</v>
      </c>
      <c r="H74" s="26"/>
      <c r="I74" s="10"/>
      <c r="J74" s="11" t="s">
        <v>833</v>
      </c>
      <c r="L74" s="4"/>
      <c r="M74" s="4"/>
      <c r="N74" s="78"/>
      <c r="O74" s="78"/>
      <c r="P74" s="78" t="str">
        <f t="shared" si="7"/>
        <v>,a004030_keikan_eiyou_start</v>
      </c>
      <c r="Q74" s="78" t="str">
        <f t="shared" si="8"/>
        <v>TEXT</v>
      </c>
      <c r="R74" s="78" t="str">
        <f t="shared" si="9"/>
        <v/>
      </c>
      <c r="S74" s="78" t="str">
        <f t="shared" si="10"/>
        <v/>
      </c>
      <c r="T74" s="78" t="str">
        <f t="shared" si="11"/>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663</v>
      </c>
      <c r="D75" s="13" t="s">
        <v>664</v>
      </c>
      <c r="E75" s="7"/>
      <c r="F75" s="7" t="s">
        <v>317</v>
      </c>
      <c r="G75" s="7" t="str">
        <f t="shared" si="3"/>
        <v>text</v>
      </c>
      <c r="H75" s="58"/>
      <c r="I75" s="23"/>
      <c r="J75" s="24" t="s">
        <v>833</v>
      </c>
      <c r="L75" s="4"/>
      <c r="M75" s="4"/>
      <c r="N75" s="78"/>
      <c r="O75" s="78"/>
      <c r="P75" s="78" t="str">
        <f t="shared" si="7"/>
        <v>,a004030_keikan_eiyou_end</v>
      </c>
      <c r="Q75" s="78" t="str">
        <f t="shared" si="8"/>
        <v>TEXT</v>
      </c>
      <c r="R75" s="78" t="str">
        <f t="shared" si="9"/>
        <v/>
      </c>
      <c r="S75" s="78" t="str">
        <f t="shared" si="10"/>
        <v/>
      </c>
      <c r="T75" s="78" t="str">
        <f t="shared" si="11"/>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7"/>
        <v>,a006010_icd10_code</v>
      </c>
      <c r="Q76" s="78" t="str">
        <f t="shared" si="8"/>
        <v>TEXT</v>
      </c>
      <c r="R76" s="78" t="str">
        <f t="shared" si="9"/>
        <v/>
      </c>
      <c r="S76" s="78" t="str">
        <f t="shared" si="10"/>
        <v/>
      </c>
      <c r="T76" s="78" t="str">
        <f t="shared" si="11"/>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7"/>
        <v>,a006010_shobyo_code</v>
      </c>
      <c r="Q77" s="78" t="str">
        <f t="shared" si="8"/>
        <v>TEXT</v>
      </c>
      <c r="R77" s="78" t="str">
        <f t="shared" si="9"/>
        <v/>
      </c>
      <c r="S77" s="78" t="str">
        <f t="shared" si="10"/>
        <v/>
      </c>
      <c r="T77" s="78" t="str">
        <f t="shared" si="11"/>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ht="30">
      <c r="A78" s="4"/>
      <c r="B78" s="21">
        <f t="shared" si="2"/>
        <v>66</v>
      </c>
      <c r="C78" s="6" t="s">
        <v>669</v>
      </c>
      <c r="D78" s="6" t="s">
        <v>670</v>
      </c>
      <c r="E78" s="8"/>
      <c r="F78" s="7" t="s">
        <v>317</v>
      </c>
      <c r="G78" s="7" t="str">
        <f t="shared" si="3"/>
        <v>text</v>
      </c>
      <c r="H78" s="26"/>
      <c r="I78" s="10"/>
      <c r="J78" s="11"/>
      <c r="L78" s="4"/>
      <c r="M78" s="4"/>
      <c r="N78" s="78"/>
      <c r="O78" s="78"/>
      <c r="P78" s="78" t="str">
        <f t="shared" si="7"/>
        <v>,a006010_shushoku_code1</v>
      </c>
      <c r="Q78" s="78" t="str">
        <f t="shared" si="8"/>
        <v>TEXT</v>
      </c>
      <c r="R78" s="78" t="str">
        <f t="shared" si="9"/>
        <v/>
      </c>
      <c r="S78" s="78" t="str">
        <f t="shared" si="10"/>
        <v/>
      </c>
      <c r="T78" s="78" t="str">
        <f t="shared" si="11"/>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ht="30">
      <c r="A79" s="4"/>
      <c r="B79" s="21">
        <f t="shared" si="2"/>
        <v>67</v>
      </c>
      <c r="C79" s="13" t="s">
        <v>671</v>
      </c>
      <c r="D79" s="13" t="s">
        <v>672</v>
      </c>
      <c r="E79" s="7"/>
      <c r="F79" s="7" t="s">
        <v>317</v>
      </c>
      <c r="G79" s="7" t="str">
        <f t="shared" si="3"/>
        <v>text</v>
      </c>
      <c r="H79" s="58"/>
      <c r="I79" s="23"/>
      <c r="J79" s="24"/>
      <c r="L79" s="4"/>
      <c r="M79" s="4"/>
      <c r="N79" s="78"/>
      <c r="O79" s="78"/>
      <c r="P79" s="78" t="str">
        <f t="shared" si="7"/>
        <v>,a006010_shushoku_code2</v>
      </c>
      <c r="Q79" s="78" t="str">
        <f t="shared" si="8"/>
        <v>TEXT</v>
      </c>
      <c r="R79" s="78" t="str">
        <f t="shared" si="9"/>
        <v/>
      </c>
      <c r="S79" s="78" t="str">
        <f t="shared" si="10"/>
        <v/>
      </c>
      <c r="T79" s="78" t="str">
        <f t="shared" si="11"/>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ht="30">
      <c r="A80" s="4"/>
      <c r="B80" s="21">
        <f t="shared" si="2"/>
        <v>68</v>
      </c>
      <c r="C80" s="6" t="s">
        <v>673</v>
      </c>
      <c r="D80" s="6" t="s">
        <v>674</v>
      </c>
      <c r="E80" s="8"/>
      <c r="F80" s="7" t="s">
        <v>317</v>
      </c>
      <c r="G80" s="7" t="str">
        <f t="shared" si="3"/>
        <v>text</v>
      </c>
      <c r="H80" s="26"/>
      <c r="I80" s="10"/>
      <c r="J80" s="11"/>
      <c r="L80" s="4"/>
      <c r="M80" s="4"/>
      <c r="N80" s="78"/>
      <c r="O80" s="78"/>
      <c r="P80" s="78" t="str">
        <f t="shared" si="7"/>
        <v>,a006010_shushoku_code3</v>
      </c>
      <c r="Q80" s="78" t="str">
        <f t="shared" si="8"/>
        <v>TEXT</v>
      </c>
      <c r="R80" s="78" t="str">
        <f t="shared" si="9"/>
        <v/>
      </c>
      <c r="S80" s="78" t="str">
        <f t="shared" si="10"/>
        <v/>
      </c>
      <c r="T80" s="78" t="str">
        <f t="shared" si="11"/>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ht="30">
      <c r="A81" s="4"/>
      <c r="B81" s="21">
        <f t="shared" si="2"/>
        <v>69</v>
      </c>
      <c r="C81" s="13" t="s">
        <v>675</v>
      </c>
      <c r="D81" s="13" t="s">
        <v>676</v>
      </c>
      <c r="E81" s="7"/>
      <c r="F81" s="7" t="s">
        <v>317</v>
      </c>
      <c r="G81" s="7" t="str">
        <f t="shared" si="3"/>
        <v>text</v>
      </c>
      <c r="H81" s="58"/>
      <c r="I81" s="23"/>
      <c r="J81" s="24"/>
      <c r="L81" s="4"/>
      <c r="M81" s="4"/>
      <c r="N81" s="78"/>
      <c r="O81" s="78"/>
      <c r="P81" s="78" t="str">
        <f t="shared" si="7"/>
        <v>,a006010_shushoku_code4</v>
      </c>
      <c r="Q81" s="78" t="str">
        <f t="shared" si="8"/>
        <v>TEXT</v>
      </c>
      <c r="R81" s="78" t="str">
        <f t="shared" si="9"/>
        <v/>
      </c>
      <c r="S81" s="78" t="str">
        <f t="shared" si="10"/>
        <v/>
      </c>
      <c r="T81" s="78" t="str">
        <f t="shared" si="11"/>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4.799999999999997">
      <c r="A82" s="4"/>
      <c r="B82" s="21">
        <f t="shared" si="2"/>
        <v>70</v>
      </c>
      <c r="C82" s="13" t="s">
        <v>677</v>
      </c>
      <c r="D82" s="13" t="s">
        <v>678</v>
      </c>
      <c r="E82" s="7"/>
      <c r="F82" s="7" t="s">
        <v>317</v>
      </c>
      <c r="G82" s="7" t="str">
        <f t="shared" si="3"/>
        <v>text</v>
      </c>
      <c r="H82" s="58"/>
      <c r="I82" s="23"/>
      <c r="J82" s="24" t="s">
        <v>835</v>
      </c>
      <c r="L82" s="4"/>
      <c r="M82" s="4"/>
      <c r="N82" s="78"/>
      <c r="O82" s="78"/>
      <c r="P82" s="78" t="str">
        <f t="shared" si="7"/>
        <v>,a006010_main_shobyo_name</v>
      </c>
      <c r="Q82" s="78" t="str">
        <f t="shared" si="8"/>
        <v>TEXT</v>
      </c>
      <c r="R82" s="78" t="str">
        <f t="shared" si="9"/>
        <v/>
      </c>
      <c r="S82" s="78" t="str">
        <f t="shared" si="10"/>
        <v/>
      </c>
      <c r="T82" s="78" t="str">
        <f t="shared" si="11"/>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7"/>
        <v>,a006020_icd10_code</v>
      </c>
      <c r="Q83" s="78" t="str">
        <f t="shared" si="8"/>
        <v>TEXT</v>
      </c>
      <c r="R83" s="78" t="str">
        <f t="shared" si="9"/>
        <v/>
      </c>
      <c r="S83" s="78" t="str">
        <f t="shared" si="10"/>
        <v/>
      </c>
      <c r="T83" s="78" t="str">
        <f t="shared" si="11"/>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7"/>
        <v>,a006020_shobyo_code</v>
      </c>
      <c r="Q84" s="78" t="str">
        <f t="shared" si="8"/>
        <v>TEXT</v>
      </c>
      <c r="R84" s="78" t="str">
        <f t="shared" si="9"/>
        <v/>
      </c>
      <c r="S84" s="78" t="str">
        <f t="shared" si="10"/>
        <v/>
      </c>
      <c r="T84" s="78" t="str">
        <f t="shared" si="11"/>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ht="30">
      <c r="A85" s="4"/>
      <c r="B85" s="21">
        <f t="shared" si="2"/>
        <v>73</v>
      </c>
      <c r="C85" s="13" t="s">
        <v>669</v>
      </c>
      <c r="D85" s="13" t="s">
        <v>681</v>
      </c>
      <c r="E85" s="7"/>
      <c r="F85" s="7" t="s">
        <v>317</v>
      </c>
      <c r="G85" s="7" t="str">
        <f t="shared" si="3"/>
        <v>text</v>
      </c>
      <c r="H85" s="58"/>
      <c r="I85" s="23"/>
      <c r="J85" s="24"/>
      <c r="L85" s="4"/>
      <c r="M85" s="4"/>
      <c r="N85" s="78"/>
      <c r="O85" s="78"/>
      <c r="P85" s="78" t="str">
        <f t="shared" si="7"/>
        <v>,a006020_shushoku_code1</v>
      </c>
      <c r="Q85" s="78" t="str">
        <f t="shared" si="8"/>
        <v>TEXT</v>
      </c>
      <c r="R85" s="78" t="str">
        <f t="shared" si="9"/>
        <v/>
      </c>
      <c r="S85" s="78" t="str">
        <f t="shared" si="10"/>
        <v/>
      </c>
      <c r="T85" s="78" t="str">
        <f t="shared" si="11"/>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ht="30">
      <c r="A86" s="4"/>
      <c r="B86" s="21">
        <f t="shared" si="2"/>
        <v>74</v>
      </c>
      <c r="C86" s="6" t="s">
        <v>671</v>
      </c>
      <c r="D86" s="6" t="s">
        <v>682</v>
      </c>
      <c r="E86" s="8"/>
      <c r="F86" s="7" t="s">
        <v>317</v>
      </c>
      <c r="G86" s="7" t="str">
        <f t="shared" si="3"/>
        <v>text</v>
      </c>
      <c r="H86" s="26"/>
      <c r="I86" s="10"/>
      <c r="J86" s="11"/>
      <c r="L86" s="4"/>
      <c r="M86" s="4"/>
      <c r="N86" s="78"/>
      <c r="O86" s="78"/>
      <c r="P86" s="78" t="str">
        <f t="shared" si="7"/>
        <v>,a006020_shushoku_code2</v>
      </c>
      <c r="Q86" s="78" t="str">
        <f t="shared" si="8"/>
        <v>TEXT</v>
      </c>
      <c r="R86" s="78" t="str">
        <f t="shared" si="9"/>
        <v/>
      </c>
      <c r="S86" s="78" t="str">
        <f t="shared" si="10"/>
        <v/>
      </c>
      <c r="T86" s="78" t="str">
        <f t="shared" si="11"/>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ht="30">
      <c r="A87" s="4"/>
      <c r="B87" s="21">
        <f t="shared" si="2"/>
        <v>75</v>
      </c>
      <c r="C87" s="13" t="s">
        <v>673</v>
      </c>
      <c r="D87" s="13" t="s">
        <v>683</v>
      </c>
      <c r="E87" s="7"/>
      <c r="F87" s="7" t="s">
        <v>317</v>
      </c>
      <c r="G87" s="7" t="str">
        <f t="shared" si="3"/>
        <v>text</v>
      </c>
      <c r="H87" s="58"/>
      <c r="I87" s="23"/>
      <c r="J87" s="24"/>
      <c r="L87" s="4"/>
      <c r="M87" s="4"/>
      <c r="N87" s="78"/>
      <c r="O87" s="78"/>
      <c r="P87" s="78" t="str">
        <f t="shared" si="7"/>
        <v>,a006020_shushoku_code3</v>
      </c>
      <c r="Q87" s="78" t="str">
        <f t="shared" si="8"/>
        <v>TEXT</v>
      </c>
      <c r="R87" s="78" t="str">
        <f t="shared" si="9"/>
        <v/>
      </c>
      <c r="S87" s="78" t="str">
        <f t="shared" si="10"/>
        <v/>
      </c>
      <c r="T87" s="78" t="str">
        <f t="shared" si="11"/>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ht="30">
      <c r="A88" s="4"/>
      <c r="B88" s="21">
        <f t="shared" si="2"/>
        <v>76</v>
      </c>
      <c r="C88" s="6" t="s">
        <v>675</v>
      </c>
      <c r="D88" s="6" t="s">
        <v>684</v>
      </c>
      <c r="E88" s="8"/>
      <c r="F88" s="7" t="s">
        <v>317</v>
      </c>
      <c r="G88" s="7" t="str">
        <f t="shared" si="3"/>
        <v>text</v>
      </c>
      <c r="H88" s="26"/>
      <c r="I88" s="10"/>
      <c r="J88" s="11"/>
      <c r="L88" s="4"/>
      <c r="M88" s="4"/>
      <c r="N88" s="78"/>
      <c r="O88" s="78"/>
      <c r="P88" s="78" t="str">
        <f t="shared" si="7"/>
        <v>,a006020_shushoku_code4</v>
      </c>
      <c r="Q88" s="78" t="str">
        <f t="shared" si="8"/>
        <v>TEXT</v>
      </c>
      <c r="R88" s="78" t="str">
        <f t="shared" si="9"/>
        <v/>
      </c>
      <c r="S88" s="78" t="str">
        <f t="shared" si="10"/>
        <v/>
      </c>
      <c r="T88" s="78" t="str">
        <f t="shared" si="11"/>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0">
      <c r="A89" s="4"/>
      <c r="B89" s="21">
        <f t="shared" si="2"/>
        <v>77</v>
      </c>
      <c r="C89" s="6" t="s">
        <v>685</v>
      </c>
      <c r="D89" s="6" t="s">
        <v>686</v>
      </c>
      <c r="E89" s="8"/>
      <c r="F89" s="7" t="s">
        <v>317</v>
      </c>
      <c r="G89" s="7" t="str">
        <f t="shared" si="3"/>
        <v>text</v>
      </c>
      <c r="H89" s="58"/>
      <c r="I89" s="23"/>
      <c r="J89" s="24" t="s">
        <v>685</v>
      </c>
      <c r="L89" s="4"/>
      <c r="M89" s="4"/>
      <c r="N89" s="78"/>
      <c r="O89" s="78"/>
      <c r="P89" s="78" t="str">
        <f t="shared" si="7"/>
        <v>,a006020_nyuin_shobyo_name</v>
      </c>
      <c r="Q89" s="78" t="str">
        <f t="shared" si="8"/>
        <v>TEXT</v>
      </c>
      <c r="R89" s="78" t="str">
        <f t="shared" si="9"/>
        <v/>
      </c>
      <c r="S89" s="78" t="str">
        <f t="shared" si="10"/>
        <v/>
      </c>
      <c r="T89" s="78" t="str">
        <f t="shared" si="11"/>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665</v>
      </c>
      <c r="D90" s="13" t="s">
        <v>687</v>
      </c>
      <c r="E90" s="7"/>
      <c r="F90" s="7" t="s">
        <v>317</v>
      </c>
      <c r="G90" s="7" t="str">
        <f t="shared" si="3"/>
        <v>text</v>
      </c>
      <c r="H90" s="26"/>
      <c r="I90" s="10"/>
      <c r="J90" s="11" t="s">
        <v>837</v>
      </c>
      <c r="L90" s="4"/>
      <c r="M90" s="4"/>
      <c r="N90" s="78"/>
      <c r="O90" s="78"/>
      <c r="P90" s="78" t="str">
        <f t="shared" si="7"/>
        <v>,a006030_icd10_code</v>
      </c>
      <c r="Q90" s="78" t="str">
        <f t="shared" si="8"/>
        <v>TEXT</v>
      </c>
      <c r="R90" s="78" t="str">
        <f t="shared" si="9"/>
        <v/>
      </c>
      <c r="S90" s="78" t="str">
        <f t="shared" si="10"/>
        <v/>
      </c>
      <c r="T90" s="78" t="str">
        <f t="shared" si="11"/>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0">
      <c r="A91" s="4"/>
      <c r="B91" s="21">
        <f t="shared" si="2"/>
        <v>79</v>
      </c>
      <c r="C91" s="6" t="s">
        <v>688</v>
      </c>
      <c r="D91" s="6" t="s">
        <v>689</v>
      </c>
      <c r="E91" s="8"/>
      <c r="F91" s="7" t="s">
        <v>317</v>
      </c>
      <c r="G91" s="7" t="str">
        <f t="shared" si="3"/>
        <v>text</v>
      </c>
      <c r="H91" s="58"/>
      <c r="I91" s="23"/>
      <c r="J91" s="24"/>
      <c r="L91" s="4"/>
      <c r="M91" s="4"/>
      <c r="N91" s="78"/>
      <c r="O91" s="78"/>
      <c r="P91" s="78" t="str">
        <f t="shared" si="7"/>
        <v>,a006030_byomei_fuka_code</v>
      </c>
      <c r="Q91" s="78" t="str">
        <f t="shared" si="8"/>
        <v>TEXT</v>
      </c>
      <c r="R91" s="78" t="str">
        <f t="shared" si="9"/>
        <v/>
      </c>
      <c r="S91" s="78" t="str">
        <f t="shared" si="10"/>
        <v/>
      </c>
      <c r="T91" s="78" t="str">
        <f t="shared" si="11"/>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7"/>
        <v>,a006030_shobyo_code</v>
      </c>
      <c r="Q92" s="78" t="str">
        <f t="shared" si="8"/>
        <v>TEXT</v>
      </c>
      <c r="R92" s="78" t="str">
        <f t="shared" si="9"/>
        <v/>
      </c>
      <c r="S92" s="78" t="str">
        <f t="shared" si="10"/>
        <v/>
      </c>
      <c r="T92" s="78" t="str">
        <f t="shared" si="11"/>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ht="30">
      <c r="A93" s="4"/>
      <c r="B93" s="21">
        <f t="shared" si="2"/>
        <v>81</v>
      </c>
      <c r="C93" s="6" t="s">
        <v>669</v>
      </c>
      <c r="D93" s="6" t="s">
        <v>691</v>
      </c>
      <c r="E93" s="8"/>
      <c r="F93" s="7" t="s">
        <v>317</v>
      </c>
      <c r="G93" s="7" t="str">
        <f t="shared" si="3"/>
        <v>text</v>
      </c>
      <c r="H93" s="58"/>
      <c r="I93" s="23"/>
      <c r="J93" s="24"/>
      <c r="L93" s="4"/>
      <c r="M93" s="4"/>
      <c r="N93" s="78"/>
      <c r="O93" s="78"/>
      <c r="P93" s="78" t="str">
        <f t="shared" si="7"/>
        <v>,a006030_shushoku_code1</v>
      </c>
      <c r="Q93" s="78" t="str">
        <f t="shared" si="8"/>
        <v>TEXT</v>
      </c>
      <c r="R93" s="78" t="str">
        <f t="shared" si="9"/>
        <v/>
      </c>
      <c r="S93" s="78" t="str">
        <f t="shared" si="10"/>
        <v/>
      </c>
      <c r="T93" s="78" t="str">
        <f t="shared" si="11"/>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ht="30">
      <c r="A94" s="4"/>
      <c r="B94" s="21">
        <f t="shared" si="2"/>
        <v>82</v>
      </c>
      <c r="C94" s="13" t="s">
        <v>671</v>
      </c>
      <c r="D94" s="13" t="s">
        <v>692</v>
      </c>
      <c r="E94" s="7"/>
      <c r="F94" s="7" t="s">
        <v>317</v>
      </c>
      <c r="G94" s="7" t="str">
        <f t="shared" si="3"/>
        <v>text</v>
      </c>
      <c r="H94" s="58"/>
      <c r="I94" s="23"/>
      <c r="J94" s="24"/>
      <c r="L94" s="4"/>
      <c r="M94" s="4"/>
      <c r="N94" s="78"/>
      <c r="O94" s="78"/>
      <c r="P94" s="78" t="str">
        <f t="shared" si="7"/>
        <v>,a006030_shushoku_code2</v>
      </c>
      <c r="Q94" s="78" t="str">
        <f t="shared" si="8"/>
        <v>TEXT</v>
      </c>
      <c r="R94" s="78" t="str">
        <f t="shared" si="9"/>
        <v/>
      </c>
      <c r="S94" s="78" t="str">
        <f t="shared" si="10"/>
        <v/>
      </c>
      <c r="T94" s="78" t="str">
        <f t="shared" si="11"/>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ht="30">
      <c r="A95" s="4"/>
      <c r="B95" s="21">
        <f t="shared" si="2"/>
        <v>83</v>
      </c>
      <c r="C95" s="6" t="s">
        <v>673</v>
      </c>
      <c r="D95" s="6" t="s">
        <v>693</v>
      </c>
      <c r="E95" s="8"/>
      <c r="F95" s="7" t="s">
        <v>317</v>
      </c>
      <c r="G95" s="7" t="str">
        <f t="shared" si="3"/>
        <v>text</v>
      </c>
      <c r="H95" s="26"/>
      <c r="I95" s="10"/>
      <c r="J95" s="11"/>
      <c r="L95" s="4"/>
      <c r="M95" s="4"/>
      <c r="N95" s="78"/>
      <c r="O95" s="78"/>
      <c r="P95" s="78" t="str">
        <f t="shared" ref="P95:P155" si="12">IF(B95&lt;&gt;1,","&amp;D95,D95)</f>
        <v>,a006030_shushoku_code3</v>
      </c>
      <c r="Q95" s="78" t="str">
        <f t="shared" ref="Q95:Q155" si="13">UPPER(G95)</f>
        <v>TEXT</v>
      </c>
      <c r="R95" s="78" t="str">
        <f t="shared" ref="R95:R155" si="14">IF(H95&lt;&gt;"","default "&amp;IF(G95="text","'"&amp;H95&amp;"'",H95),"")</f>
        <v/>
      </c>
      <c r="S95" s="78" t="str">
        <f t="shared" ref="S95:S155" si="15">IF(I95="○","NOT NULL","")</f>
        <v/>
      </c>
      <c r="T95" s="78" t="str">
        <f t="shared" ref="T95:T155" si="16">"-- "&amp;C95</f>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ht="30">
      <c r="A96" s="4"/>
      <c r="B96" s="21">
        <f t="shared" si="2"/>
        <v>84</v>
      </c>
      <c r="C96" s="13" t="s">
        <v>675</v>
      </c>
      <c r="D96" s="13" t="s">
        <v>694</v>
      </c>
      <c r="E96" s="7"/>
      <c r="F96" s="7" t="s">
        <v>317</v>
      </c>
      <c r="G96" s="7" t="str">
        <f t="shared" si="3"/>
        <v>text</v>
      </c>
      <c r="H96" s="26"/>
      <c r="I96" s="10"/>
      <c r="J96" s="11"/>
      <c r="L96" s="4"/>
      <c r="M96" s="4"/>
      <c r="N96" s="78"/>
      <c r="O96" s="78"/>
      <c r="P96" s="78" t="str">
        <f t="shared" si="12"/>
        <v>,a006030_shushoku_code4</v>
      </c>
      <c r="Q96" s="78" t="str">
        <f t="shared" si="13"/>
        <v>TEXT</v>
      </c>
      <c r="R96" s="78" t="str">
        <f t="shared" si="14"/>
        <v/>
      </c>
      <c r="S96" s="78" t="str">
        <f t="shared" si="15"/>
        <v/>
      </c>
      <c r="T96" s="78" t="str">
        <f t="shared" si="16"/>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52.2">
      <c r="A97" s="4"/>
      <c r="B97" s="21">
        <f t="shared" si="2"/>
        <v>85</v>
      </c>
      <c r="C97" s="6" t="s">
        <v>695</v>
      </c>
      <c r="D97" s="6" t="s">
        <v>696</v>
      </c>
      <c r="E97" s="8"/>
      <c r="F97" s="7" t="s">
        <v>317</v>
      </c>
      <c r="G97" s="7" t="str">
        <f t="shared" si="3"/>
        <v>text</v>
      </c>
      <c r="H97" s="58"/>
      <c r="I97" s="23"/>
      <c r="J97" s="24" t="s">
        <v>838</v>
      </c>
      <c r="L97" s="4"/>
      <c r="M97" s="4"/>
      <c r="N97" s="78"/>
      <c r="O97" s="78"/>
      <c r="P97" s="78" t="str">
        <f t="shared" si="12"/>
        <v>,a006030_iryo1_shobyo_name</v>
      </c>
      <c r="Q97" s="78" t="str">
        <f t="shared" si="13"/>
        <v>TEXT</v>
      </c>
      <c r="R97" s="78" t="str">
        <f t="shared" si="14"/>
        <v/>
      </c>
      <c r="S97" s="78" t="str">
        <f t="shared" si="15"/>
        <v/>
      </c>
      <c r="T97" s="78" t="str">
        <f t="shared" si="16"/>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665</v>
      </c>
      <c r="D98" s="13" t="s">
        <v>697</v>
      </c>
      <c r="E98" s="7"/>
      <c r="F98" s="7" t="s">
        <v>317</v>
      </c>
      <c r="G98" s="7" t="str">
        <f t="shared" si="3"/>
        <v>text</v>
      </c>
      <c r="H98" s="26"/>
      <c r="I98" s="10"/>
      <c r="J98" s="11" t="s">
        <v>839</v>
      </c>
      <c r="L98" s="4"/>
      <c r="M98" s="4"/>
      <c r="N98" s="78"/>
      <c r="O98" s="78"/>
      <c r="P98" s="78" t="str">
        <f t="shared" si="12"/>
        <v>,a006031_icd10_code</v>
      </c>
      <c r="Q98" s="78" t="str">
        <f t="shared" si="13"/>
        <v>TEXT</v>
      </c>
      <c r="R98" s="78" t="str">
        <f t="shared" si="14"/>
        <v/>
      </c>
      <c r="S98" s="78" t="str">
        <f t="shared" si="15"/>
        <v/>
      </c>
      <c r="T98" s="78" t="str">
        <f t="shared" si="16"/>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12"/>
        <v>,a006031_shobyo_code</v>
      </c>
      <c r="Q99" s="78" t="str">
        <f t="shared" si="13"/>
        <v>TEXT</v>
      </c>
      <c r="R99" s="78" t="str">
        <f t="shared" si="14"/>
        <v/>
      </c>
      <c r="S99" s="78" t="str">
        <f t="shared" si="15"/>
        <v/>
      </c>
      <c r="T99" s="78" t="str">
        <f t="shared" si="16"/>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ht="30">
      <c r="A100" s="4"/>
      <c r="B100" s="21">
        <f t="shared" si="2"/>
        <v>88</v>
      </c>
      <c r="C100" s="13" t="s">
        <v>669</v>
      </c>
      <c r="D100" s="13" t="s">
        <v>699</v>
      </c>
      <c r="E100" s="7"/>
      <c r="F100" s="7" t="s">
        <v>317</v>
      </c>
      <c r="G100" s="7" t="str">
        <f t="shared" si="3"/>
        <v>text</v>
      </c>
      <c r="H100" s="26"/>
      <c r="I100" s="10"/>
      <c r="J100" s="11"/>
      <c r="L100" s="4"/>
      <c r="M100" s="4"/>
      <c r="N100" s="78"/>
      <c r="O100" s="78"/>
      <c r="P100" s="78" t="str">
        <f t="shared" si="12"/>
        <v>,a006031_shushoku_code1</v>
      </c>
      <c r="Q100" s="78" t="str">
        <f t="shared" si="13"/>
        <v>TEXT</v>
      </c>
      <c r="R100" s="78" t="str">
        <f t="shared" si="14"/>
        <v/>
      </c>
      <c r="S100" s="78" t="str">
        <f t="shared" si="15"/>
        <v/>
      </c>
      <c r="T100" s="78" t="str">
        <f t="shared" si="16"/>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ht="30">
      <c r="A101" s="4"/>
      <c r="B101" s="21">
        <f t="shared" si="2"/>
        <v>89</v>
      </c>
      <c r="C101" s="6" t="s">
        <v>671</v>
      </c>
      <c r="D101" s="6" t="s">
        <v>700</v>
      </c>
      <c r="E101" s="8"/>
      <c r="F101" s="7" t="s">
        <v>317</v>
      </c>
      <c r="G101" s="7" t="str">
        <f t="shared" si="3"/>
        <v>text</v>
      </c>
      <c r="H101" s="58"/>
      <c r="I101" s="23"/>
      <c r="J101" s="24"/>
      <c r="L101" s="4"/>
      <c r="M101" s="4"/>
      <c r="N101" s="78"/>
      <c r="O101" s="78"/>
      <c r="P101" s="78" t="str">
        <f t="shared" si="12"/>
        <v>,a006031_shushoku_code2</v>
      </c>
      <c r="Q101" s="78" t="str">
        <f t="shared" si="13"/>
        <v>TEXT</v>
      </c>
      <c r="R101" s="78" t="str">
        <f t="shared" si="14"/>
        <v/>
      </c>
      <c r="S101" s="78" t="str">
        <f t="shared" si="15"/>
        <v/>
      </c>
      <c r="T101" s="78" t="str">
        <f t="shared" si="16"/>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ht="30">
      <c r="A102" s="4"/>
      <c r="B102" s="21">
        <f t="shared" si="2"/>
        <v>90</v>
      </c>
      <c r="C102" s="13" t="s">
        <v>673</v>
      </c>
      <c r="D102" s="13" t="s">
        <v>701</v>
      </c>
      <c r="E102" s="7"/>
      <c r="F102" s="7" t="s">
        <v>317</v>
      </c>
      <c r="G102" s="7" t="str">
        <f t="shared" si="3"/>
        <v>text</v>
      </c>
      <c r="H102" s="26"/>
      <c r="I102" s="10"/>
      <c r="J102" s="11"/>
      <c r="L102" s="4"/>
      <c r="M102" s="4"/>
      <c r="N102" s="78"/>
      <c r="O102" s="78"/>
      <c r="P102" s="78" t="str">
        <f t="shared" si="12"/>
        <v>,a006031_shushoku_code3</v>
      </c>
      <c r="Q102" s="78" t="str">
        <f t="shared" si="13"/>
        <v>TEXT</v>
      </c>
      <c r="R102" s="78" t="str">
        <f t="shared" si="14"/>
        <v/>
      </c>
      <c r="S102" s="78" t="str">
        <f t="shared" si="15"/>
        <v/>
      </c>
      <c r="T102" s="78" t="str">
        <f t="shared" si="16"/>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ht="30">
      <c r="A103" s="4"/>
      <c r="B103" s="21">
        <f t="shared" si="2"/>
        <v>91</v>
      </c>
      <c r="C103" s="6" t="s">
        <v>675</v>
      </c>
      <c r="D103" s="6" t="s">
        <v>702</v>
      </c>
      <c r="E103" s="8"/>
      <c r="F103" s="7" t="s">
        <v>317</v>
      </c>
      <c r="G103" s="7" t="str">
        <f t="shared" si="3"/>
        <v>text</v>
      </c>
      <c r="H103" s="58"/>
      <c r="I103" s="23"/>
      <c r="J103" s="24"/>
      <c r="L103" s="4"/>
      <c r="M103" s="4"/>
      <c r="N103" s="78"/>
      <c r="O103" s="78"/>
      <c r="P103" s="78" t="str">
        <f t="shared" si="12"/>
        <v>,a006031_shushoku_code4</v>
      </c>
      <c r="Q103" s="78" t="str">
        <f t="shared" si="13"/>
        <v>TEXT</v>
      </c>
      <c r="R103" s="78" t="str">
        <f t="shared" si="14"/>
        <v/>
      </c>
      <c r="S103" s="78" t="str">
        <f t="shared" si="15"/>
        <v/>
      </c>
      <c r="T103" s="78" t="str">
        <f t="shared" si="16"/>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0">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12"/>
        <v>,a006031_iryo2_shobyo_name</v>
      </c>
      <c r="Q104" s="78" t="str">
        <f t="shared" si="13"/>
        <v>TEXT</v>
      </c>
      <c r="R104" s="78" t="str">
        <f t="shared" si="14"/>
        <v/>
      </c>
      <c r="S104" s="78" t="str">
        <f t="shared" si="15"/>
        <v/>
      </c>
      <c r="T104" s="78" t="str">
        <f t="shared" si="16"/>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705</v>
      </c>
      <c r="D105" s="6" t="s">
        <v>706</v>
      </c>
      <c r="E105" s="8"/>
      <c r="F105" s="7" t="s">
        <v>317</v>
      </c>
      <c r="G105" s="7" t="str">
        <f t="shared" si="3"/>
        <v>text</v>
      </c>
      <c r="H105" s="58"/>
      <c r="I105" s="23"/>
      <c r="J105" s="24"/>
      <c r="L105" s="4"/>
      <c r="M105" s="4"/>
      <c r="N105" s="78"/>
      <c r="O105" s="78"/>
      <c r="P105" s="78" t="str">
        <f t="shared" si="12"/>
        <v>,a006060_nanbyo_kokuji_no1</v>
      </c>
      <c r="Q105" s="78" t="str">
        <f t="shared" si="13"/>
        <v>TEXT</v>
      </c>
      <c r="R105" s="78" t="str">
        <f t="shared" si="14"/>
        <v/>
      </c>
      <c r="S105" s="78" t="str">
        <f t="shared" si="15"/>
        <v/>
      </c>
      <c r="T105" s="78" t="str">
        <f t="shared" si="16"/>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0">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12"/>
        <v>,a006060_iryohi_josei_flag1</v>
      </c>
      <c r="Q106" s="78" t="str">
        <f t="shared" si="13"/>
        <v>TEXT</v>
      </c>
      <c r="R106" s="78" t="str">
        <f t="shared" si="14"/>
        <v/>
      </c>
      <c r="S106" s="78" t="str">
        <f t="shared" si="15"/>
        <v/>
      </c>
      <c r="T106" s="78" t="str">
        <f t="shared" si="16"/>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0">
      <c r="A107" s="4"/>
      <c r="B107" s="21">
        <f t="shared" si="2"/>
        <v>95</v>
      </c>
      <c r="C107" s="13" t="s">
        <v>709</v>
      </c>
      <c r="D107" s="13" t="s">
        <v>710</v>
      </c>
      <c r="E107" s="7"/>
      <c r="F107" s="7" t="s">
        <v>317</v>
      </c>
      <c r="G107" s="7" t="str">
        <f t="shared" si="3"/>
        <v>text</v>
      </c>
      <c r="H107" s="26"/>
      <c r="I107" s="10"/>
      <c r="J107" s="11"/>
      <c r="L107" s="4"/>
      <c r="M107" s="4"/>
      <c r="N107" s="78"/>
      <c r="O107" s="78"/>
      <c r="P107" s="78" t="str">
        <f t="shared" si="12"/>
        <v>,a006060_nanbyo_kokuji_no2</v>
      </c>
      <c r="Q107" s="78" t="str">
        <f t="shared" si="13"/>
        <v>TEXT</v>
      </c>
      <c r="R107" s="78" t="str">
        <f t="shared" si="14"/>
        <v/>
      </c>
      <c r="S107" s="78" t="str">
        <f t="shared" si="15"/>
        <v/>
      </c>
      <c r="T107" s="78" t="str">
        <f t="shared" si="16"/>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0">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12"/>
        <v>,a006060_iryohi_josei_flag2</v>
      </c>
      <c r="Q108" s="78" t="str">
        <f t="shared" si="13"/>
        <v>TEXT</v>
      </c>
      <c r="R108" s="78" t="str">
        <f t="shared" si="14"/>
        <v/>
      </c>
      <c r="S108" s="78" t="str">
        <f t="shared" si="15"/>
        <v/>
      </c>
      <c r="T108" s="78" t="str">
        <f t="shared" si="16"/>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12"/>
        <v>,adl0010_nyuin_adl</v>
      </c>
      <c r="Q109" s="78" t="str">
        <f t="shared" si="13"/>
        <v>TEXT</v>
      </c>
      <c r="R109" s="78" t="str">
        <f t="shared" si="14"/>
        <v/>
      </c>
      <c r="S109" s="78" t="str">
        <f t="shared" si="15"/>
        <v/>
      </c>
      <c r="T109" s="78" t="str">
        <f t="shared" si="16"/>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12"/>
        <v>,adl0020_taiin_adl</v>
      </c>
      <c r="Q110" s="78" t="str">
        <f t="shared" si="13"/>
        <v>TEXT</v>
      </c>
      <c r="R110" s="78" t="str">
        <f t="shared" si="14"/>
        <v/>
      </c>
      <c r="S110" s="78" t="str">
        <f t="shared" si="15"/>
        <v/>
      </c>
      <c r="T110" s="78" t="str">
        <f t="shared" si="16"/>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12"/>
        <v>,adl0030_nyutou_adl</v>
      </c>
      <c r="Q111" s="78" t="str">
        <f t="shared" si="13"/>
        <v>TEXT</v>
      </c>
      <c r="R111" s="78" t="str">
        <f t="shared" si="14"/>
        <v/>
      </c>
      <c r="S111" s="78" t="str">
        <f t="shared" si="15"/>
        <v/>
      </c>
      <c r="T111" s="78" t="str">
        <f t="shared" si="16"/>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si="12"/>
        <v>,adl0040_taitou_adl</v>
      </c>
      <c r="Q112" s="78" t="str">
        <f t="shared" si="13"/>
        <v>TEXT</v>
      </c>
      <c r="R112" s="78" t="str">
        <f t="shared" si="14"/>
        <v/>
      </c>
      <c r="S112" s="78" t="str">
        <f t="shared" si="15"/>
        <v/>
      </c>
      <c r="T112" s="78" t="str">
        <f t="shared" si="16"/>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2"/>
        <v>,can0010_gan_shohatsu</v>
      </c>
      <c r="Q113" s="78" t="str">
        <f t="shared" si="13"/>
        <v>TEXT</v>
      </c>
      <c r="R113" s="78" t="str">
        <f t="shared" si="14"/>
        <v/>
      </c>
      <c r="S113" s="78" t="str">
        <f t="shared" si="15"/>
        <v/>
      </c>
      <c r="T113" s="78" t="str">
        <f t="shared" si="16"/>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2"/>
        <v>,can0020_uicc_t</v>
      </c>
      <c r="Q114" s="78" t="str">
        <f t="shared" si="13"/>
        <v>TEXT</v>
      </c>
      <c r="R114" s="78" t="str">
        <f t="shared" si="14"/>
        <v/>
      </c>
      <c r="S114" s="78" t="str">
        <f t="shared" si="15"/>
        <v/>
      </c>
      <c r="T114" s="78" t="str">
        <f t="shared" si="16"/>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2"/>
        <v>,can0020_uicc_n</v>
      </c>
      <c r="Q115" s="78" t="str">
        <f t="shared" si="13"/>
        <v>TEXT</v>
      </c>
      <c r="R115" s="78" t="str">
        <f t="shared" si="14"/>
        <v/>
      </c>
      <c r="S115" s="78" t="str">
        <f t="shared" si="15"/>
        <v/>
      </c>
      <c r="T115" s="78" t="str">
        <f t="shared" si="16"/>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2"/>
        <v>,can0020_uicc_m</v>
      </c>
      <c r="Q116" s="78" t="str">
        <f t="shared" si="13"/>
        <v>TEXT</v>
      </c>
      <c r="R116" s="78" t="str">
        <f t="shared" si="14"/>
        <v/>
      </c>
      <c r="S116" s="78" t="str">
        <f t="shared" si="15"/>
        <v/>
      </c>
      <c r="T116" s="78" t="str">
        <f t="shared" si="16"/>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2"/>
        <v>,can0020_uicc_han</v>
      </c>
      <c r="Q117" s="78" t="str">
        <f t="shared" si="13"/>
        <v>TEXT</v>
      </c>
      <c r="R117" s="78" t="str">
        <f t="shared" si="14"/>
        <v/>
      </c>
      <c r="S117" s="78" t="str">
        <f t="shared" si="15"/>
        <v/>
      </c>
      <c r="T117" s="78" t="str">
        <f t="shared" si="16"/>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0">
      <c r="A118" s="4"/>
      <c r="B118" s="21">
        <f t="shared" si="2"/>
        <v>106</v>
      </c>
      <c r="C118" s="6" t="s">
        <v>731</v>
      </c>
      <c r="D118" s="6" t="s">
        <v>732</v>
      </c>
      <c r="E118" s="8"/>
      <c r="F118" s="7" t="s">
        <v>317</v>
      </c>
      <c r="G118" s="7" t="str">
        <f t="shared" si="3"/>
        <v>text</v>
      </c>
      <c r="H118" s="58"/>
      <c r="I118" s="23"/>
      <c r="J118" s="24"/>
      <c r="L118" s="4"/>
      <c r="M118" s="4"/>
      <c r="N118" s="78"/>
      <c r="O118" s="78"/>
      <c r="P118" s="78" t="str">
        <f t="shared" si="12"/>
        <v>,can0030_gan_stage</v>
      </c>
      <c r="Q118" s="78" t="str">
        <f t="shared" si="13"/>
        <v>TEXT</v>
      </c>
      <c r="R118" s="78" t="str">
        <f t="shared" si="14"/>
        <v/>
      </c>
      <c r="S118" s="78" t="str">
        <f t="shared" si="15"/>
        <v/>
      </c>
      <c r="T118" s="78" t="str">
        <f t="shared" si="16"/>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2"/>
        <v>,can0040_kagaku_ryoho_flag</v>
      </c>
      <c r="Q119" s="78" t="str">
        <f t="shared" si="13"/>
        <v>TEXT</v>
      </c>
      <c r="R119" s="78" t="str">
        <f t="shared" si="14"/>
        <v/>
      </c>
      <c r="S119" s="78" t="str">
        <f t="shared" si="15"/>
        <v/>
      </c>
      <c r="T119" s="78" t="str">
        <f t="shared" si="16"/>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2"/>
        <v>,jcs0010_nyuin_jcs</v>
      </c>
      <c r="Q120" s="78" t="str">
        <f t="shared" si="13"/>
        <v>TEXT</v>
      </c>
      <c r="R120" s="78" t="str">
        <f t="shared" si="14"/>
        <v/>
      </c>
      <c r="S120" s="78" t="str">
        <f t="shared" si="15"/>
        <v/>
      </c>
      <c r="T120" s="78" t="str">
        <f t="shared" si="16"/>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2"/>
        <v>,jcs0010_emergency_jcs</v>
      </c>
      <c r="Q121" s="78" t="str">
        <f t="shared" si="13"/>
        <v>TEXT</v>
      </c>
      <c r="R121" s="78" t="str">
        <f t="shared" si="14"/>
        <v/>
      </c>
      <c r="S121" s="78" t="str">
        <f t="shared" si="15"/>
        <v/>
      </c>
      <c r="T121" s="78" t="str">
        <f t="shared" si="16"/>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2"/>
        <v>,jcs0010_nyusitsu_jcs</v>
      </c>
      <c r="Q122" s="78" t="str">
        <f t="shared" si="13"/>
        <v>TEXT</v>
      </c>
      <c r="R122" s="78" t="str">
        <f t="shared" si="14"/>
        <v/>
      </c>
      <c r="S122" s="78" t="str">
        <f t="shared" si="15"/>
        <v/>
      </c>
      <c r="T122" s="78" t="str">
        <f t="shared" si="16"/>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2"/>
        <v>,jcs0020_taiin_jcs</v>
      </c>
      <c r="Q123" s="78" t="str">
        <f t="shared" si="13"/>
        <v>TEXT</v>
      </c>
      <c r="R123" s="78" t="str">
        <f t="shared" si="14"/>
        <v/>
      </c>
      <c r="S123" s="78" t="str">
        <f t="shared" si="15"/>
        <v/>
      </c>
      <c r="T123" s="78" t="str">
        <f t="shared" si="16"/>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744</v>
      </c>
      <c r="D124" s="6" t="s">
        <v>745</v>
      </c>
      <c r="E124" s="8"/>
      <c r="F124" s="7" t="s">
        <v>317</v>
      </c>
      <c r="G124" s="7" t="str">
        <f t="shared" si="3"/>
        <v>text</v>
      </c>
      <c r="H124" s="26"/>
      <c r="I124" s="10"/>
      <c r="J124" s="11"/>
      <c r="L124" s="4"/>
      <c r="M124" s="4"/>
      <c r="N124" s="78"/>
      <c r="O124" s="78"/>
      <c r="P124" s="78" t="str">
        <f t="shared" si="12"/>
        <v>,m010010_before_rankin_scale</v>
      </c>
      <c r="Q124" s="78" t="str">
        <f t="shared" si="13"/>
        <v>TEXT</v>
      </c>
      <c r="R124" s="78" t="str">
        <f t="shared" si="14"/>
        <v/>
      </c>
      <c r="S124" s="78" t="str">
        <f t="shared" si="15"/>
        <v/>
      </c>
      <c r="T124" s="78" t="str">
        <f t="shared" si="16"/>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2"/>
        <v>,m010010_stroke</v>
      </c>
      <c r="Q125" s="78" t="str">
        <f t="shared" si="13"/>
        <v>TEXT</v>
      </c>
      <c r="R125" s="78" t="str">
        <f t="shared" si="14"/>
        <v/>
      </c>
      <c r="S125" s="78" t="str">
        <f t="shared" si="15"/>
        <v/>
      </c>
      <c r="T125" s="78" t="str">
        <f t="shared" si="16"/>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0">
      <c r="A126" s="4"/>
      <c r="B126" s="21">
        <f t="shared" si="2"/>
        <v>114</v>
      </c>
      <c r="C126" s="13" t="s">
        <v>748</v>
      </c>
      <c r="D126" s="13" t="s">
        <v>749</v>
      </c>
      <c r="E126" s="7"/>
      <c r="F126" s="7" t="s">
        <v>317</v>
      </c>
      <c r="G126" s="7" t="str">
        <f t="shared" si="3"/>
        <v>text</v>
      </c>
      <c r="H126" s="26"/>
      <c r="I126" s="10"/>
      <c r="J126" s="11"/>
      <c r="L126" s="4"/>
      <c r="M126" s="4"/>
      <c r="N126" s="78"/>
      <c r="O126" s="78"/>
      <c r="P126" s="78" t="str">
        <f t="shared" si="12"/>
        <v>,m010020_taiin_modified_rankin</v>
      </c>
      <c r="Q126" s="78" t="str">
        <f t="shared" si="13"/>
        <v>TEXT</v>
      </c>
      <c r="R126" s="78" t="str">
        <f t="shared" si="14"/>
        <v/>
      </c>
      <c r="S126" s="78" t="str">
        <f t="shared" si="15"/>
        <v/>
      </c>
      <c r="T126" s="78" t="str">
        <f t="shared" si="16"/>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0">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2"/>
        <v>,m010030_temozolomide_flag</v>
      </c>
      <c r="Q127" s="78" t="str">
        <f t="shared" si="13"/>
        <v>TEXT</v>
      </c>
      <c r="R127" s="78" t="str">
        <f t="shared" si="14"/>
        <v/>
      </c>
      <c r="S127" s="78" t="str">
        <f t="shared" si="15"/>
        <v/>
      </c>
      <c r="T127" s="78" t="str">
        <f t="shared" si="16"/>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2"/>
        <v>,m040010_hugh_jones</v>
      </c>
      <c r="Q128" s="78" t="str">
        <f t="shared" si="13"/>
        <v>TEXT</v>
      </c>
      <c r="R128" s="78" t="str">
        <f t="shared" si="14"/>
        <v/>
      </c>
      <c r="S128" s="78" t="str">
        <f t="shared" si="15"/>
        <v/>
      </c>
      <c r="T128" s="78" t="str">
        <f t="shared" si="16"/>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ht="30">
      <c r="A129" s="4"/>
      <c r="B129" s="21">
        <f t="shared" si="2"/>
        <v>117</v>
      </c>
      <c r="C129" s="13" t="s">
        <v>754</v>
      </c>
      <c r="D129" s="13" t="s">
        <v>755</v>
      </c>
      <c r="E129" s="7"/>
      <c r="F129" s="7" t="s">
        <v>317</v>
      </c>
      <c r="G129" s="7" t="str">
        <f t="shared" si="3"/>
        <v>text</v>
      </c>
      <c r="H129" s="58"/>
      <c r="I129" s="23"/>
      <c r="J129" s="24"/>
      <c r="L129" s="4"/>
      <c r="M129" s="4"/>
      <c r="N129" s="78"/>
      <c r="O129" s="78"/>
      <c r="P129" s="78" t="str">
        <f t="shared" si="12"/>
        <v>,m040020_haien_jushodo</v>
      </c>
      <c r="Q129" s="78" t="str">
        <f t="shared" si="13"/>
        <v>TEXT</v>
      </c>
      <c r="R129" s="78" t="str">
        <f t="shared" si="14"/>
        <v/>
      </c>
      <c r="S129" s="78" t="str">
        <f t="shared" si="15"/>
        <v/>
      </c>
      <c r="T129" s="78" t="str">
        <f t="shared" si="16"/>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0">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2"/>
        <v>,m040020_kanren_haien_flag</v>
      </c>
      <c r="Q130" s="78" t="str">
        <f t="shared" si="13"/>
        <v>TEXT</v>
      </c>
      <c r="R130" s="78" t="str">
        <f t="shared" si="14"/>
        <v/>
      </c>
      <c r="S130" s="78" t="str">
        <f t="shared" si="15"/>
        <v/>
      </c>
      <c r="T130" s="78" t="str">
        <f t="shared" si="16"/>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2"/>
        <v>,m040030_emergency_pf</v>
      </c>
      <c r="Q131" s="78" t="str">
        <f t="shared" si="13"/>
        <v>TEXT</v>
      </c>
      <c r="R131" s="78" t="str">
        <f t="shared" si="14"/>
        <v/>
      </c>
      <c r="S131" s="78" t="str">
        <f t="shared" si="15"/>
        <v/>
      </c>
      <c r="T131" s="78" t="str">
        <f t="shared" si="16"/>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0">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2"/>
        <v>,m040030_emergency_kokyu</v>
      </c>
      <c r="Q132" s="78" t="str">
        <f t="shared" si="13"/>
        <v>TEXT</v>
      </c>
      <c r="R132" s="78" t="str">
        <f t="shared" si="14"/>
        <v/>
      </c>
      <c r="S132" s="78" t="str">
        <f t="shared" si="15"/>
        <v/>
      </c>
      <c r="T132" s="78" t="str">
        <f t="shared" si="16"/>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2"/>
        <v>,m040030_nyusitsu_pf</v>
      </c>
      <c r="Q133" s="78" t="str">
        <f t="shared" si="13"/>
        <v>TEXT</v>
      </c>
      <c r="R133" s="78" t="str">
        <f t="shared" si="14"/>
        <v/>
      </c>
      <c r="S133" s="78" t="str">
        <f t="shared" si="15"/>
        <v/>
      </c>
      <c r="T133" s="78" t="str">
        <f t="shared" si="16"/>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2"/>
        <v>,m040030_nyusitsu_kokyu</v>
      </c>
      <c r="Q134" s="78" t="str">
        <f t="shared" si="13"/>
        <v>TEXT</v>
      </c>
      <c r="R134" s="78" t="str">
        <f t="shared" si="14"/>
        <v/>
      </c>
      <c r="S134" s="78" t="str">
        <f t="shared" si="15"/>
        <v/>
      </c>
      <c r="T134" s="78" t="str">
        <f t="shared" si="16"/>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2"/>
        <v>,m050010_nyha</v>
      </c>
      <c r="Q135" s="78" t="str">
        <f t="shared" si="13"/>
        <v>TEXT</v>
      </c>
      <c r="R135" s="78" t="str">
        <f t="shared" si="14"/>
        <v/>
      </c>
      <c r="S135" s="78" t="str">
        <f t="shared" si="15"/>
        <v/>
      </c>
      <c r="T135" s="78" t="str">
        <f t="shared" si="16"/>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87">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2"/>
        <v>,m050010_emergency_nyha</v>
      </c>
      <c r="Q136" s="78" t="str">
        <f t="shared" si="13"/>
        <v>TEXT</v>
      </c>
      <c r="R136" s="78" t="str">
        <f t="shared" si="14"/>
        <v/>
      </c>
      <c r="S136" s="78" t="str">
        <f t="shared" si="15"/>
        <v/>
      </c>
      <c r="T136" s="78" t="str">
        <f t="shared" si="16"/>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2"/>
        <v>,m050010_nyusitsu_nyha</v>
      </c>
      <c r="Q137" s="78" t="str">
        <f t="shared" si="13"/>
        <v>TEXT</v>
      </c>
      <c r="R137" s="78" t="str">
        <f t="shared" si="14"/>
        <v/>
      </c>
      <c r="S137" s="78" t="str">
        <f t="shared" si="15"/>
        <v/>
      </c>
      <c r="T137" s="78" t="str">
        <f t="shared" si="16"/>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2"/>
        <v>,m050020_ccs</v>
      </c>
      <c r="Q138" s="78" t="str">
        <f t="shared" si="13"/>
        <v>TEXT</v>
      </c>
      <c r="R138" s="78" t="str">
        <f t="shared" si="14"/>
        <v/>
      </c>
      <c r="S138" s="78" t="str">
        <f t="shared" si="15"/>
        <v/>
      </c>
      <c r="T138" s="78" t="str">
        <f t="shared" si="16"/>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2"/>
        <v>,m050030_killip</v>
      </c>
      <c r="Q139" s="78" t="str">
        <f t="shared" si="13"/>
        <v>TEXT</v>
      </c>
      <c r="R139" s="78" t="str">
        <f t="shared" si="14"/>
        <v/>
      </c>
      <c r="S139" s="78" t="str">
        <f t="shared" si="15"/>
        <v/>
      </c>
      <c r="T139" s="78" t="str">
        <f t="shared" si="16"/>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4.799999999999997">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2"/>
        <v>,m050040_ketsuatsu</v>
      </c>
      <c r="Q140" s="78" t="str">
        <f t="shared" si="13"/>
        <v>TEXT</v>
      </c>
      <c r="R140" s="78" t="str">
        <f t="shared" si="14"/>
        <v/>
      </c>
      <c r="S140" s="78" t="str">
        <f t="shared" si="15"/>
        <v/>
      </c>
      <c r="T140" s="78" t="str">
        <f t="shared" si="16"/>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69.599999999999994">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2"/>
        <v>,m050050_acuteMI</v>
      </c>
      <c r="Q141" s="78" t="str">
        <f t="shared" si="13"/>
        <v>TEXT</v>
      </c>
      <c r="R141" s="78" t="str">
        <f t="shared" si="14"/>
        <v/>
      </c>
      <c r="S141" s="78" t="str">
        <f t="shared" si="15"/>
        <v/>
      </c>
      <c r="T141" s="78" t="str">
        <f t="shared" si="16"/>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2"/>
        <v>,m050060_nyuin_kusyutsuritsu</v>
      </c>
      <c r="Q142" s="78" t="str">
        <f t="shared" si="13"/>
        <v>TEXT</v>
      </c>
      <c r="R142" s="78" t="str">
        <f t="shared" si="14"/>
        <v/>
      </c>
      <c r="S142" s="78" t="str">
        <f t="shared" si="15"/>
        <v/>
      </c>
      <c r="T142" s="78" t="str">
        <f t="shared" si="16"/>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2.2">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2"/>
        <v>,m050070_stanford_ab</v>
      </c>
      <c r="Q143" s="78" t="str">
        <f t="shared" si="13"/>
        <v>TEXT</v>
      </c>
      <c r="R143" s="78" t="str">
        <f t="shared" si="14"/>
        <v/>
      </c>
      <c r="S143" s="78" t="str">
        <f t="shared" si="15"/>
        <v/>
      </c>
      <c r="T143" s="78" t="str">
        <f t="shared" si="16"/>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4.799999999999997">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2"/>
        <v>,m060010_kankohen_child_pugh</v>
      </c>
      <c r="Q144" s="78" t="str">
        <f t="shared" si="13"/>
        <v>TEXT</v>
      </c>
      <c r="R144" s="78" t="str">
        <f t="shared" si="14"/>
        <v/>
      </c>
      <c r="S144" s="78" t="str">
        <f t="shared" si="15"/>
        <v/>
      </c>
      <c r="T144" s="78" t="str">
        <f t="shared" si="16"/>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786</v>
      </c>
      <c r="D145" s="13" t="s">
        <v>787</v>
      </c>
      <c r="E145" s="7"/>
      <c r="F145" s="7" t="s">
        <v>317</v>
      </c>
      <c r="G145" s="7" t="str">
        <f t="shared" si="3"/>
        <v>text</v>
      </c>
      <c r="H145" s="26"/>
      <c r="I145" s="10"/>
      <c r="J145" s="11"/>
      <c r="L145" s="4"/>
      <c r="M145" s="4"/>
      <c r="N145" s="78"/>
      <c r="O145" s="78"/>
      <c r="P145" s="78" t="str">
        <f t="shared" si="12"/>
        <v>,m060020_kyuseisuien_jushodo</v>
      </c>
      <c r="Q145" s="78" t="str">
        <f t="shared" si="13"/>
        <v>TEXT</v>
      </c>
      <c r="R145" s="78" t="str">
        <f t="shared" si="14"/>
        <v/>
      </c>
      <c r="S145" s="78" t="str">
        <f t="shared" si="15"/>
        <v/>
      </c>
      <c r="T145" s="78" t="str">
        <f t="shared" si="16"/>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2"/>
        <v>,m070010_riumachi_flag</v>
      </c>
      <c r="Q146" s="78" t="str">
        <f t="shared" si="13"/>
        <v>TEXT</v>
      </c>
      <c r="R146" s="78" t="str">
        <f t="shared" si="14"/>
        <v/>
      </c>
      <c r="S146" s="78" t="str">
        <f t="shared" si="15"/>
        <v/>
      </c>
      <c r="T146" s="78" t="str">
        <f t="shared" si="16"/>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2"/>
        <v>,m120010_nyuin_bunben_flag</v>
      </c>
      <c r="Q147" s="78" t="str">
        <f t="shared" si="13"/>
        <v>TEXT</v>
      </c>
      <c r="R147" s="78" t="str">
        <f t="shared" si="14"/>
        <v/>
      </c>
      <c r="S147" s="78" t="str">
        <f t="shared" si="15"/>
        <v/>
      </c>
      <c r="T147" s="78" t="str">
        <f t="shared" si="16"/>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2"/>
        <v>,m120010_bunben_shukketsuryo</v>
      </c>
      <c r="Q148" s="78" t="str">
        <f t="shared" si="13"/>
        <v>TEXT</v>
      </c>
      <c r="R148" s="78" t="str">
        <f t="shared" si="14"/>
        <v/>
      </c>
      <c r="S148" s="78" t="str">
        <f t="shared" si="15"/>
        <v/>
      </c>
      <c r="T148" s="78" t="str">
        <f t="shared" si="16"/>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2"/>
        <v>,m160010_burnindex</v>
      </c>
      <c r="Q149" s="78" t="str">
        <f t="shared" si="13"/>
        <v>TEXT</v>
      </c>
      <c r="R149" s="78" t="str">
        <f t="shared" si="14"/>
        <v/>
      </c>
      <c r="S149" s="78" t="str">
        <f t="shared" si="15"/>
        <v/>
      </c>
      <c r="T149" s="78" t="str">
        <f t="shared" si="16"/>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2"/>
        <v>,m170010_nyuin_gaf</v>
      </c>
      <c r="Q150" s="78" t="str">
        <f t="shared" si="13"/>
        <v>TEXT</v>
      </c>
      <c r="R150" s="78" t="str">
        <f t="shared" si="14"/>
        <v/>
      </c>
      <c r="S150" s="78" t="str">
        <f t="shared" si="15"/>
        <v/>
      </c>
      <c r="T150" s="78" t="str">
        <f t="shared" si="16"/>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4.799999999999997">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2"/>
        <v>,m170020_mental_nyuin_keitai</v>
      </c>
      <c r="Q151" s="78" t="str">
        <f t="shared" si="13"/>
        <v>TEXT</v>
      </c>
      <c r="R151" s="78" t="str">
        <f t="shared" si="14"/>
        <v/>
      </c>
      <c r="S151" s="78" t="str">
        <f t="shared" si="15"/>
        <v/>
      </c>
      <c r="T151" s="78" t="str">
        <f t="shared" si="16"/>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2"/>
        <v>,m170020_mental_kakuri_days</v>
      </c>
      <c r="Q152" s="78" t="str">
        <f t="shared" si="13"/>
        <v>TEXT</v>
      </c>
      <c r="R152" s="78" t="str">
        <f t="shared" si="14"/>
        <v/>
      </c>
      <c r="S152" s="78" t="str">
        <f t="shared" si="15"/>
        <v/>
      </c>
      <c r="T152" s="78" t="str">
        <f t="shared" si="16"/>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2"/>
        <v>,m170020_mental_kosoku_days</v>
      </c>
      <c r="Q153" s="78" t="str">
        <f t="shared" si="13"/>
        <v>TEXT</v>
      </c>
      <c r="R153" s="78" t="str">
        <f t="shared" si="14"/>
        <v/>
      </c>
      <c r="S153" s="78" t="str">
        <f t="shared" si="15"/>
        <v/>
      </c>
      <c r="T153" s="78" t="str">
        <f t="shared" si="16"/>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2"/>
        <v>,mzz0010_other_jusho_no</v>
      </c>
      <c r="Q154" s="78" t="str">
        <f t="shared" si="13"/>
        <v>TEXT</v>
      </c>
      <c r="R154" s="78" t="str">
        <f t="shared" si="14"/>
        <v/>
      </c>
      <c r="S154" s="78" t="str">
        <f t="shared" si="15"/>
        <v/>
      </c>
      <c r="T154" s="78" t="str">
        <f t="shared" si="16"/>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2"/>
        <v>,mzz0010_other_jusho_name</v>
      </c>
      <c r="Q155" s="78" t="str">
        <f t="shared" si="13"/>
        <v>TEXT</v>
      </c>
      <c r="R155" s="78" t="str">
        <f t="shared" si="14"/>
        <v/>
      </c>
      <c r="S155" s="78" t="str">
        <f t="shared" si="15"/>
        <v/>
      </c>
      <c r="T155" s="78" t="str">
        <f t="shared" si="16"/>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ENT_31_14</v>
      </c>
      <c r="E6" s="251"/>
      <c r="F6" s="251"/>
      <c r="G6" s="251"/>
      <c r="H6" s="251"/>
      <c r="I6" s="251"/>
      <c r="J6" s="252"/>
    </row>
    <row r="7" spans="1:45">
      <c r="B7" s="240" t="s">
        <v>115</v>
      </c>
      <c r="C7" s="241"/>
      <c r="D7" s="242" t="s">
        <v>312</v>
      </c>
      <c r="E7" s="243"/>
      <c r="F7" s="243"/>
      <c r="G7" s="243"/>
      <c r="H7" s="243"/>
      <c r="I7" s="243"/>
      <c r="J7" s="244"/>
    </row>
    <row r="8" spans="1:45">
      <c r="B8" s="240" t="s">
        <v>116</v>
      </c>
      <c r="C8" s="241"/>
      <c r="D8" s="242" t="str">
        <f>エンティティ一覧!AE2&amp;"_"&amp;D5&amp;"_merge_dpc_ff1_a006040"</f>
        <v>sny_202310_base_merge_dpc_ff1_a006040</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milscm_2023_009.sny_202310_base_merge_dpc_ff1_a006040;</v>
      </c>
      <c r="O10" s="78"/>
      <c r="P10" s="78"/>
      <c r="Q10" s="78"/>
      <c r="R10" s="78"/>
      <c r="S10" s="78"/>
      <c r="T10" s="78"/>
      <c r="AJ10" s="78" t="str">
        <f>"ALTER TABLE ONLY "&amp;エンティティ一覧!$O$2&amp;"."&amp;D$8</f>
        <v>ALTER TABLE ONLY milscm_2023_009.sny_202310_base_merge_dpc_ff1_a006040</v>
      </c>
      <c r="AS10" s="78" t="str">
        <f>"ALTER TABLE "&amp;エンティティ一覧!$O$2&amp;"."&amp;D$8&amp;" OWNER TO pgmisgrp1;"</f>
        <v>ALTER TABLE milscm_2023_009.sny_202310_base_merge_dpc_ff1_a006040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milscm_2023_009.sny_202310_base_merge_dpc_ff1_a006040</v>
      </c>
      <c r="O11" s="78"/>
      <c r="P11" s="78"/>
      <c r="Q11" s="78"/>
      <c r="R11" s="78"/>
      <c r="S11" s="78"/>
      <c r="T11" s="78"/>
      <c r="AJ11" s="78" t="str">
        <f>"ADD CONSTRAINT "&amp;D$8&amp;"_pkey PRIMARY KEY"</f>
        <v>ADD CONSTRAINT sny_202310_base_merge_dpc_ff1_a006040_pkey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milscm_2023_009.sny_202310_base_merge_dpc_ff1_a006040.mil_karute_id IS '千年カルテID';</v>
      </c>
    </row>
    <row r="15" spans="1:45" s="25" customFormat="1" ht="34.799999999999997">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milscm_2023_009.sny_202310_base_merge_dpc_ff1_a006040.facility_id IS '施設ID';</v>
      </c>
    </row>
    <row r="16" spans="1:45" s="25" customFormat="1" ht="87">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milscm_2023_009.sny_202310_base_merge_dpc_ff1_a006040.shushoku_code4 IS '修飾語コード4';</v>
      </c>
    </row>
    <row r="31" spans="1:52" s="25" customFormat="1" ht="18" thickBot="1">
      <c r="A31" s="4"/>
      <c r="B31" s="27">
        <f>ROW()-12</f>
        <v>19</v>
      </c>
      <c r="C31" s="57" t="s">
        <v>879</v>
      </c>
      <c r="D31" s="57" t="s">
        <v>880</v>
      </c>
      <c r="E31" s="56"/>
      <c r="F31" s="56" t="s">
        <v>867</v>
      </c>
      <c r="G31" s="56" t="str">
        <f t="shared" si="3"/>
        <v>text</v>
      </c>
      <c r="H31" s="59"/>
      <c r="I31" s="60"/>
      <c r="J31" s="64" t="s">
        <v>884</v>
      </c>
      <c r="N31" s="78"/>
      <c r="O31" s="78"/>
      <c r="P31" s="78" t="str">
        <f t="shared" ref="P31" si="7">IF(B31&lt;&gt;1,","&amp;D31,D31)</f>
        <v>,nyuin_heizonsho_name</v>
      </c>
      <c r="Q31" s="78" t="str">
        <f t="shared" ref="Q31" si="8">UPPER(G31)</f>
        <v>TEXT</v>
      </c>
      <c r="R31" s="78" t="str">
        <f t="shared" ref="R31" si="9">IF(H31&lt;&gt;"","default "&amp;IF(G31="text","'"&amp;H31&amp;"'",H31),"")</f>
        <v/>
      </c>
      <c r="S31" s="78" t="str">
        <f t="shared" ref="S31" si="10">IF(I31="○","NOT NULL","")</f>
        <v/>
      </c>
      <c r="T31" s="78" t="str">
        <f t="shared" ref="T31" si="11">"-- "&amp;C31</f>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ENT_31_15</v>
      </c>
      <c r="E6" s="251"/>
      <c r="F6" s="251"/>
      <c r="G6" s="251"/>
      <c r="H6" s="251"/>
      <c r="I6" s="251"/>
      <c r="J6" s="252"/>
    </row>
    <row r="7" spans="1:45">
      <c r="B7" s="240" t="s">
        <v>115</v>
      </c>
      <c r="C7" s="241"/>
      <c r="D7" s="242" t="s">
        <v>313</v>
      </c>
      <c r="E7" s="243"/>
      <c r="F7" s="243"/>
      <c r="G7" s="243"/>
      <c r="H7" s="243"/>
      <c r="I7" s="243"/>
      <c r="J7" s="244"/>
    </row>
    <row r="8" spans="1:45">
      <c r="B8" s="240" t="s">
        <v>116</v>
      </c>
      <c r="C8" s="241"/>
      <c r="D8" s="242" t="str">
        <f>エンティティ一覧!AE2&amp;"_"&amp;D5&amp;"_merge_dpc_ff1_a006050"</f>
        <v>sny_202310_base_merge_dpc_ff1_a006050</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milscm_2023_009.sny_202310_base_merge_dpc_ff1_a006050;</v>
      </c>
      <c r="O10" s="78"/>
      <c r="P10" s="78"/>
      <c r="Q10" s="78"/>
      <c r="R10" s="78"/>
      <c r="S10" s="78"/>
      <c r="T10" s="78"/>
      <c r="AJ10" s="78" t="str">
        <f>"ALTER TABLE ONLY "&amp;エンティティ一覧!$O$2&amp;"."&amp;D$8</f>
        <v>ALTER TABLE ONLY milscm_2023_009.sny_202310_base_merge_dpc_ff1_a006050</v>
      </c>
      <c r="AS10" s="78" t="str">
        <f>"ALTER TABLE "&amp;エンティティ一覧!$O$2&amp;"."&amp;D$8&amp;" OWNER TO pgmisgrp1;"</f>
        <v>ALTER TABLE milscm_2023_009.sny_202310_base_merge_dpc_ff1_a006050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milscm_2023_009.sny_202310_base_merge_dpc_ff1_a006050</v>
      </c>
      <c r="O11" s="78"/>
      <c r="P11" s="78"/>
      <c r="Q11" s="78"/>
      <c r="R11" s="78"/>
      <c r="S11" s="78"/>
      <c r="T11" s="78"/>
      <c r="AJ11" s="78" t="str">
        <f>"ADD CONSTRAINT "&amp;D$8&amp;"_pkey PRIMARY KEY"</f>
        <v>ADD CONSTRAINT sny_202310_base_merge_dpc_ff1_a006050_pkey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milscm_2023_009.sny_202310_base_merge_dpc_ff1_a006050.mil_karute_id IS '千年カルテID';</v>
      </c>
    </row>
    <row r="15" spans="1:45" s="25" customFormat="1" ht="34.799999999999997">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milscm_2023_009.sny_202310_base_merge_dpc_ff1_a006050.facility_id IS '施設ID';</v>
      </c>
    </row>
    <row r="16" spans="1:45" s="25" customFormat="1" ht="87">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milscm_2023_009.sny_202310_base_merge_dpc_ff1_a006050.shushoku_code4 IS '修飾語コード4';</v>
      </c>
    </row>
    <row r="31" spans="1:52" s="25" customFormat="1" ht="18" thickBot="1">
      <c r="A31" s="4"/>
      <c r="B31" s="27">
        <f>ROW()-12</f>
        <v>19</v>
      </c>
      <c r="C31" s="57" t="s">
        <v>890</v>
      </c>
      <c r="D31" s="57" t="s">
        <v>891</v>
      </c>
      <c r="E31" s="56"/>
      <c r="F31" s="56" t="s">
        <v>867</v>
      </c>
      <c r="G31" s="56" t="str">
        <f t="shared" si="3"/>
        <v>text</v>
      </c>
      <c r="H31" s="59"/>
      <c r="I31" s="60"/>
      <c r="J31" s="61" t="s">
        <v>895</v>
      </c>
      <c r="N31" s="78"/>
      <c r="O31" s="78"/>
      <c r="P31" s="78" t="str">
        <f t="shared" ref="P31" si="7">IF(B31&lt;&gt;1,","&amp;D31,D31)</f>
        <v>,nyuin_shikkan_name</v>
      </c>
      <c r="Q31" s="78" t="str">
        <f t="shared" ref="Q31" si="8">UPPER(G31)</f>
        <v>TEXT</v>
      </c>
      <c r="R31" s="78" t="str">
        <f t="shared" ref="R31" si="9">IF(H31&lt;&gt;"","default "&amp;IF(G31="text","'"&amp;H31&amp;"'",H31),"")</f>
        <v/>
      </c>
      <c r="S31" s="78" t="str">
        <f t="shared" ref="S31" si="10">IF(I31="○","NOT NULL","")</f>
        <v/>
      </c>
      <c r="T31" s="78" t="str">
        <f t="shared" ref="T31" si="11">"-- "&amp;C31</f>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ENT_31_16</v>
      </c>
      <c r="E6" s="251"/>
      <c r="F6" s="251"/>
      <c r="G6" s="251"/>
      <c r="H6" s="251"/>
      <c r="I6" s="251"/>
      <c r="J6" s="252"/>
    </row>
    <row r="7" spans="1:45">
      <c r="B7" s="240" t="s">
        <v>115</v>
      </c>
      <c r="C7" s="241"/>
      <c r="D7" s="242" t="s">
        <v>3697</v>
      </c>
      <c r="E7" s="243"/>
      <c r="F7" s="243"/>
      <c r="G7" s="243"/>
      <c r="H7" s="243"/>
      <c r="I7" s="243"/>
      <c r="J7" s="244"/>
    </row>
    <row r="8" spans="1:45">
      <c r="B8" s="240" t="s">
        <v>116</v>
      </c>
      <c r="C8" s="241"/>
      <c r="D8" s="242" t="str">
        <f>エンティティ一覧!AE2&amp;"_"&amp;D5&amp;"_merge_mml_rd_register"</f>
        <v>sny_202310_base_merge_mml_rd_register</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milscm_2023_009.sny_202310_base_merge_mml_rd_register;</v>
      </c>
      <c r="O10" s="78"/>
      <c r="P10" s="78"/>
      <c r="Q10" s="78"/>
      <c r="R10" s="78"/>
      <c r="S10" s="78"/>
      <c r="T10" s="78"/>
      <c r="AJ10" s="78" t="str">
        <f>"ALTER TABLE ONLY "&amp;エンティティ一覧!$O$2&amp;"."&amp;D$8</f>
        <v>ALTER TABLE ONLY milscm_2023_009.sny_202310_base_merge_mml_rd_register</v>
      </c>
      <c r="AS10" s="78" t="str">
        <f>"ALTER TABLE "&amp;エンティティ一覧!$O$2&amp;"."&amp;D$8&amp;" OWNER TO pgmisgrp1;"</f>
        <v>ALTER TABLE milscm_2023_009.sny_202310_base_merge_mml_rd_register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milscm_2023_009.sny_202310_base_merge_mml_rd_register</v>
      </c>
      <c r="O11" s="78"/>
      <c r="P11" s="78"/>
      <c r="Q11" s="78"/>
      <c r="R11" s="78"/>
      <c r="S11" s="78"/>
      <c r="T11" s="78"/>
      <c r="AJ11" s="78" t="str">
        <f>"ADD CONSTRAINT "&amp;D$8&amp;"_pkey PRIMARY KEY"</f>
        <v>ADD CONSTRAINT sny_202310_base_merge_mml_rd_register_pkey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milscm_2023_009.sny_202310_base_merge_mml_rd_register.mil_karute_id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milscm_2023_009.sny_202310_base_merge_mml_rd_register.facility_id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milscm_2023_009.sny_202310_base_merge_mml_rd_register.data_type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milscm_2023_009.sny_202310_base_merge_mml_rd_register.master_id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milscm_2023_009.sny_202310_base_merge_mml_rd_register.uid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milscm_2023_009.sny_202310_base_merge_mml_rd_register.tenki IS '転帰';</v>
      </c>
    </row>
    <row r="24" spans="1:52" s="25" customFormat="1" ht="18"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ENT_31_17</v>
      </c>
      <c r="E6" s="251"/>
      <c r="F6" s="251"/>
      <c r="G6" s="251"/>
      <c r="H6" s="251"/>
      <c r="I6" s="251"/>
      <c r="J6" s="252"/>
    </row>
    <row r="7" spans="1:45">
      <c r="B7" s="240" t="s">
        <v>115</v>
      </c>
      <c r="C7" s="241"/>
      <c r="D7" s="242" t="s">
        <v>3698</v>
      </c>
      <c r="E7" s="243"/>
      <c r="F7" s="243"/>
      <c r="G7" s="243"/>
      <c r="H7" s="243"/>
      <c r="I7" s="243"/>
      <c r="J7" s="244"/>
    </row>
    <row r="8" spans="1:45">
      <c r="B8" s="240" t="s">
        <v>116</v>
      </c>
      <c r="C8" s="241"/>
      <c r="D8" s="242" t="str">
        <f>エンティティ一覧!AE2&amp;"_"&amp;D5&amp;"_merge_mml_rd_byomei"</f>
        <v>sny_202310_base_merge_mml_rd_byomei</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milscm_2023_009.sny_202310_base_merge_mml_rd_byomei;</v>
      </c>
      <c r="O10" s="78"/>
      <c r="P10" s="78"/>
      <c r="Q10" s="78"/>
      <c r="R10" s="78"/>
      <c r="S10" s="78"/>
      <c r="T10" s="78"/>
      <c r="AJ10" s="78" t="str">
        <f>"ALTER TABLE ONLY "&amp;エンティティ一覧!$O$2&amp;"."&amp;D$8</f>
        <v>ALTER TABLE ONLY milscm_2023_009.sny_202310_base_merge_mml_rd_byomei</v>
      </c>
      <c r="AS10" s="78" t="str">
        <f>"ALTER TABLE "&amp;エンティティ一覧!$O$2&amp;"."&amp;D$8&amp;" OWNER TO pgmisgrp1;"</f>
        <v>ALTER TABLE milscm_2023_009.sny_202310_base_merge_mml_rd_byomei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milscm_2023_009.sny_202310_base_merge_mml_rd_byomei</v>
      </c>
      <c r="O11" s="78"/>
      <c r="P11" s="78"/>
      <c r="Q11" s="78"/>
      <c r="R11" s="78"/>
      <c r="S11" s="78"/>
      <c r="T11" s="78"/>
      <c r="AJ11" s="78" t="str">
        <f>"ADD CONSTRAINT "&amp;D$8&amp;"_pkey PRIMARY KEY"</f>
        <v>ADD CONSTRAINT sny_202310_base_merge_mml_rd_byomei_pkey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milscm_2023_009.sny_202310_base_merge_mml_rd_byomei.mil_karute_id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milscm_2023_009.sny_202310_base_merge_mml_rd_byomei.facility_id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milscm_2023_009.sny_202310_base_merge_mml_rd_byomei.data_type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milscm_2023_009.sny_202310_base_merge_mml_rd_byomei.master_id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milscm_2023_009.sny_202310_base_merge_mml_rd_byomei.uid IS '文書ユニークID';</v>
      </c>
    </row>
    <row r="20" spans="1:52" s="25" customFormat="1" ht="34.799999999999997">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milscm_2023_009.sny_202310_base_merge_mml_rd_byomei.byomei_code IS '病名コード値';</v>
      </c>
    </row>
    <row r="24" spans="1:52" s="25" customFormat="1" ht="18"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ENT_31_18</v>
      </c>
      <c r="E6" s="251"/>
      <c r="F6" s="251"/>
      <c r="G6" s="251"/>
      <c r="H6" s="251"/>
      <c r="I6" s="251"/>
      <c r="J6" s="252"/>
    </row>
    <row r="7" spans="1:45">
      <c r="B7" s="240" t="s">
        <v>115</v>
      </c>
      <c r="C7" s="241"/>
      <c r="D7" s="242" t="s">
        <v>3699</v>
      </c>
      <c r="E7" s="243"/>
      <c r="F7" s="243"/>
      <c r="G7" s="243"/>
      <c r="H7" s="243"/>
      <c r="I7" s="243"/>
      <c r="J7" s="244"/>
    </row>
    <row r="8" spans="1:45">
      <c r="B8" s="240" t="s">
        <v>116</v>
      </c>
      <c r="C8" s="241"/>
      <c r="D8" s="242" t="str">
        <f>エンティティ一覧!AE2&amp;"_"&amp;D5&amp;"_merge_mml_pc_progress_course"</f>
        <v>sny_202310_base_merge_mml_pc_progress_course</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milscm_2023_009.sny_202310_base_merge_mml_pc_progress_course;</v>
      </c>
      <c r="O10" s="78"/>
      <c r="P10" s="78"/>
      <c r="Q10" s="78"/>
      <c r="R10" s="78"/>
      <c r="S10" s="78"/>
      <c r="T10" s="78"/>
      <c r="AJ10" s="78" t="str">
        <f>"ALTER TABLE ONLY "&amp;エンティティ一覧!$O$2&amp;"."&amp;D$8</f>
        <v>ALTER TABLE ONLY milscm_2023_009.sny_202310_base_merge_mml_pc_progress_course</v>
      </c>
      <c r="AS10" s="78" t="str">
        <f>"ALTER TABLE "&amp;エンティティ一覧!$O$2&amp;"."&amp;D$8&amp;" OWNER TO pgmisgrp1;"</f>
        <v>ALTER TABLE milscm_2023_009.sny_202310_base_merge_mml_pc_progress_course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milscm_2023_009.sny_202310_base_merge_mml_pc_progress_course</v>
      </c>
      <c r="O11" s="78"/>
      <c r="P11" s="78"/>
      <c r="Q11" s="78"/>
      <c r="R11" s="78"/>
      <c r="S11" s="78"/>
      <c r="T11" s="78"/>
      <c r="AJ11" s="78" t="str">
        <f>"ADD CONSTRAINT "&amp;D$8&amp;"_pkey PRIMARY KEY"</f>
        <v>ADD CONSTRAINT sny_202310_base_merge_mml_pc_progress_course_pkey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milscm_2023_009.sny_202310_base_merge_mml_pc_progress_course.mil_karute_id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milscm_2023_009.sny_202310_base_merge_mml_pc_progress_course.facility_id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milscm_2023_009.sny_202310_base_merge_mml_pc_progress_course.data_type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milscm_2023_009.sny_202310_base_merge_mml_pc_progress_course.master_id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milscm_2023_009.sny_202310_base_merge_mml_pc_progress_course.uid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milscm_2023_009.sny_202310_base_merge_mml_pc_progress_course.keika_seq IS '経過記録SEQ';</v>
      </c>
    </row>
    <row r="21" spans="1:52" s="25" customFormat="1" ht="35.4"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ENT_31_19</v>
      </c>
      <c r="E6" s="251"/>
      <c r="F6" s="251"/>
      <c r="G6" s="251"/>
      <c r="H6" s="251"/>
      <c r="I6" s="251"/>
      <c r="J6" s="252"/>
    </row>
    <row r="7" spans="1:45">
      <c r="B7" s="240" t="s">
        <v>115</v>
      </c>
      <c r="C7" s="241"/>
      <c r="D7" s="242" t="s">
        <v>3700</v>
      </c>
      <c r="E7" s="243"/>
      <c r="F7" s="243"/>
      <c r="G7" s="243"/>
      <c r="H7" s="243"/>
      <c r="I7" s="243"/>
      <c r="J7" s="244"/>
    </row>
    <row r="8" spans="1:45">
      <c r="B8" s="240" t="s">
        <v>116</v>
      </c>
      <c r="C8" s="241"/>
      <c r="D8" s="242" t="str">
        <f>エンティティ一覧!AE2&amp;"_"&amp;D5&amp;"_merge_mml_pc_problem"</f>
        <v>sny_202310_base_merge_mml_pc_problem</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milscm_2023_009.sny_202310_base_merge_mml_pc_problem;</v>
      </c>
      <c r="O10" s="78"/>
      <c r="P10" s="78"/>
      <c r="Q10" s="78"/>
      <c r="R10" s="78"/>
      <c r="S10" s="78"/>
      <c r="T10" s="78"/>
      <c r="AJ10" s="78" t="str">
        <f>"ALTER TABLE ONLY "&amp;エンティティ一覧!$O$2&amp;"."&amp;D$8</f>
        <v>ALTER TABLE ONLY milscm_2023_009.sny_202310_base_merge_mml_pc_problem</v>
      </c>
      <c r="AS10" s="78" t="str">
        <f>"ALTER TABLE "&amp;エンティティ一覧!$O$2&amp;"."&amp;D$8&amp;" OWNER TO pgmisgrp1;"</f>
        <v>ALTER TABLE milscm_2023_009.sny_202310_base_merge_mml_pc_problem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milscm_2023_009.sny_202310_base_merge_mml_pc_problem</v>
      </c>
      <c r="O11" s="78"/>
      <c r="P11" s="78"/>
      <c r="Q11" s="78"/>
      <c r="R11" s="78"/>
      <c r="S11" s="78"/>
      <c r="T11" s="78"/>
      <c r="AJ11" s="78" t="str">
        <f>"ADD CONSTRAINT "&amp;D$8&amp;"_pkey PRIMARY KEY"</f>
        <v>ADD CONSTRAINT sny_202310_base_merge_mml_pc_problem_pkey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milscm_2023_009.sny_202310_base_merge_mml_pc_problem.mil_karute_id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milscm_2023_009.sny_202310_base_merge_mml_pc_problem.facility_id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milscm_2023_009.sny_202310_base_merge_mml_pc_problem.data_type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milscm_2023_009.sny_202310_base_merge_mml_pc_problem.master_id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milscm_2023_009.sny_202310_base_merge_mml_pc_problem.uid IS '文書ユニークID';</v>
      </c>
    </row>
    <row r="20" spans="1:45"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milscm_2023_009.sny_202310_base_merge_mml_pc_problem.problem_seq IS 'プロブレムSEQ';</v>
      </c>
    </row>
    <row r="22" spans="1:45" s="25" customFormat="1" ht="34.799999999999997">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milscm_2023_009.sny_202310_base_merge_mml_pc_problem.problem_shippei_name IS 'プロブレム名（疾病名）';</v>
      </c>
    </row>
    <row r="23" spans="1:45" s="25" customFormat="1" ht="69.599999999999994">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milscm_2023_009.sny_202310_base_merge_mml_pc_problem.shindan_name_uid IS '診断名のuid';</v>
      </c>
    </row>
    <row r="24" spans="1:45" s="25" customFormat="1" ht="34.799999999999997">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milscm_2023_009.sny_202310_base_merge_mml_pc_problem.free_note IS '自由文章表現';</v>
      </c>
    </row>
    <row r="25" spans="1:45" s="25" customFormat="1" ht="34.799999999999997">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milscm_2023_009.sny_202310_base_merge_mml_pc_problem.free_expression_objective IS '客観的自由記載';</v>
      </c>
    </row>
    <row r="26" spans="1:45" s="25" customFormat="1" ht="34.799999999999997">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milscm_2023_009.sny_202310_base_merge_mml_pc_problem.test_result IS '検査結果';</v>
      </c>
    </row>
    <row r="27" spans="1:45" s="25" customFormat="1" ht="34.799999999999997">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milscm_2023_009.sny_202310_base_merge_mml_pc_problem.shohou_jisshi_kiroku IS '処方実施記録';</v>
      </c>
    </row>
    <row r="28" spans="1:45" s="25" customFormat="1" ht="34.799999999999997">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milscm_2023_009.sny_202310_base_merge_mml_pc_problem.shochi_jisshi_kiroku IS '処置実施記録';</v>
      </c>
    </row>
    <row r="29" spans="1:45" s="25" customFormat="1" ht="34.799999999999997">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milscm_2023_009.sny_202310_base_merge_mml_pc_problem.kensa_order IS '検査オーダー';</v>
      </c>
    </row>
    <row r="30" spans="1:45" s="25" customFormat="1" ht="34.799999999999997">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milscm_2023_009.sny_202310_base_merge_mml_pc_problem.shohou_order IS '処方オーダー';</v>
      </c>
    </row>
    <row r="31" spans="1:45" s="25" customFormat="1" ht="34.799999999999997">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milscm_2023_009.sny_202310_base_merge_mml_pc_problem.chiryo_order IS '治療処置オーダー';</v>
      </c>
    </row>
    <row r="32" spans="1:45" s="25" customFormat="1" ht="35.4"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ENT_31_20</v>
      </c>
      <c r="E6" s="251"/>
      <c r="F6" s="251"/>
      <c r="G6" s="251"/>
      <c r="H6" s="251"/>
      <c r="I6" s="251"/>
      <c r="J6" s="252"/>
    </row>
    <row r="7" spans="1:45">
      <c r="B7" s="240" t="s">
        <v>115</v>
      </c>
      <c r="C7" s="241"/>
      <c r="D7" s="242" t="s">
        <v>3701</v>
      </c>
      <c r="E7" s="243"/>
      <c r="F7" s="243"/>
      <c r="G7" s="243"/>
      <c r="H7" s="243"/>
      <c r="I7" s="243"/>
      <c r="J7" s="244"/>
    </row>
    <row r="8" spans="1:45">
      <c r="B8" s="240" t="s">
        <v>116</v>
      </c>
      <c r="C8" s="241"/>
      <c r="D8" s="242" t="str">
        <f>エンティティ一覧!AE2&amp;"_"&amp;D5&amp;"_merge_mml_pc_physical_exam"</f>
        <v>sny_202310_base_merge_mml_pc_physical_exam</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milscm_2023_009.sny_202310_base_merge_mml_pc_physical_exam;</v>
      </c>
      <c r="O10" s="78"/>
      <c r="P10" s="78"/>
      <c r="Q10" s="78"/>
      <c r="R10" s="78"/>
      <c r="S10" s="78"/>
      <c r="T10" s="78"/>
      <c r="AJ10" s="78" t="str">
        <f>"ALTER TABLE ONLY "&amp;エンティティ一覧!$O$2&amp;"."&amp;D$8</f>
        <v>ALTER TABLE ONLY milscm_2023_009.sny_202310_base_merge_mml_pc_physical_exam</v>
      </c>
      <c r="AS10" s="78" t="str">
        <f>"ALTER TABLE "&amp;エンティティ一覧!$O$2&amp;"."&amp;D$8&amp;" OWNER TO pgmisgrp1;"</f>
        <v>ALTER TABLE milscm_2023_009.sny_202310_base_merge_mml_pc_physical_exam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milscm_2023_009.sny_202310_base_merge_mml_pc_physical_exam</v>
      </c>
      <c r="O11" s="78"/>
      <c r="P11" s="78"/>
      <c r="Q11" s="78"/>
      <c r="R11" s="78"/>
      <c r="S11" s="78"/>
      <c r="T11" s="78"/>
      <c r="AJ11" s="78" t="str">
        <f>"ADD CONSTRAINT "&amp;D$8&amp;"_pkey PRIMARY KEY"</f>
        <v>ADD CONSTRAINT sny_202310_base_merge_mml_pc_physical_exam_pkey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milscm_2023_009.sny_202310_base_merge_mml_pc_physical_exam.mil_karute_id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milscm_2023_009.sny_202310_base_merge_mml_pc_physical_exam.facility_id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milscm_2023_009.sny_202310_base_merge_mml_pc_physical_exam.data_type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milscm_2023_009.sny_202310_base_merge_mml_pc_physical_exam.master_id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milscm_2023_009.sny_202310_base_merge_mml_pc_physical_exam.uid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milscm_2023_009.sny_202310_base_merge_mml_pc_physical_exam.syoken_value IS '身体所見結果';</v>
      </c>
    </row>
    <row r="25" spans="1:52" s="25" customFormat="1" ht="35.4"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ENT_31_21</v>
      </c>
      <c r="E6" s="251"/>
      <c r="F6" s="251"/>
      <c r="G6" s="251"/>
      <c r="H6" s="251"/>
      <c r="I6" s="251"/>
      <c r="J6" s="252"/>
    </row>
    <row r="7" spans="1:45">
      <c r="B7" s="240" t="s">
        <v>115</v>
      </c>
      <c r="C7" s="241"/>
      <c r="D7" s="242" t="s">
        <v>3702</v>
      </c>
      <c r="E7" s="243"/>
      <c r="F7" s="243"/>
      <c r="G7" s="243"/>
      <c r="H7" s="243"/>
      <c r="I7" s="243"/>
      <c r="J7" s="244"/>
    </row>
    <row r="8" spans="1:45">
      <c r="B8" s="240" t="s">
        <v>116</v>
      </c>
      <c r="C8" s="241"/>
      <c r="D8" s="242" t="str">
        <f>エンティティ一覧!AE2&amp;"_"&amp;D5&amp;"_merge_mml_pc_assessment"</f>
        <v>sny_202310_base_merge_mml_pc_assessment</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milscm_2023_009.sny_202310_base_merge_mml_pc_assessment;</v>
      </c>
      <c r="O10" s="78"/>
      <c r="P10" s="78"/>
      <c r="Q10" s="78"/>
      <c r="R10" s="78"/>
      <c r="S10" s="78"/>
      <c r="T10" s="78"/>
      <c r="AJ10" s="78" t="str">
        <f>"ALTER TABLE ONLY "&amp;エンティティ一覧!$O$2&amp;"."&amp;D$8</f>
        <v>ALTER TABLE ONLY milscm_2023_009.sny_202310_base_merge_mml_pc_assessment</v>
      </c>
      <c r="AS10" s="78" t="str">
        <f>"ALTER TABLE "&amp;エンティティ一覧!$O$2&amp;"."&amp;D$8&amp;" OWNER TO pgmisgrp1;"</f>
        <v>ALTER TABLE milscm_2023_009.sny_202310_base_merge_mml_pc_assessment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milscm_2023_009.sny_202310_base_merge_mml_pc_assessment</v>
      </c>
      <c r="O11" s="78"/>
      <c r="P11" s="78"/>
      <c r="Q11" s="78"/>
      <c r="R11" s="78"/>
      <c r="S11" s="78"/>
      <c r="T11" s="78"/>
      <c r="AJ11" s="78" t="str">
        <f>"ADD CONSTRAINT "&amp;D$8&amp;"_pkey PRIMARY KEY"</f>
        <v>ADD CONSTRAINT sny_202310_base_merge_mml_pc_assessment_pkey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milscm_2023_009.sny_202310_base_merge_mml_pc_assessment.mil_karute_id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milscm_2023_009.sny_202310_base_merge_mml_pc_assessment.facility_id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milscm_2023_009.sny_202310_base_merge_mml_pc_assessment.data_type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milscm_2023_009.sny_202310_base_merge_mml_pc_assessment.master_id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milscm_2023_009.sny_202310_base_merge_mml_pc_assessment.uid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milscm_2023_009.sny_202310_base_merge_mml_pc_assessment.assessment_item_seq IS 'アセスメントSEQ';</v>
      </c>
    </row>
    <row r="23" spans="1:52" s="25" customFormat="1" ht="35.4"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ENT_31_22</v>
      </c>
      <c r="E6" s="251"/>
      <c r="F6" s="251"/>
      <c r="G6" s="251"/>
      <c r="H6" s="251"/>
      <c r="I6" s="251"/>
      <c r="J6" s="252"/>
    </row>
    <row r="7" spans="1:45">
      <c r="B7" s="240" t="s">
        <v>115</v>
      </c>
      <c r="C7" s="241"/>
      <c r="D7" s="242" t="s">
        <v>3703</v>
      </c>
      <c r="E7" s="243"/>
      <c r="F7" s="243"/>
      <c r="G7" s="243"/>
      <c r="H7" s="243"/>
      <c r="I7" s="243"/>
      <c r="J7" s="244"/>
    </row>
    <row r="8" spans="1:45">
      <c r="B8" s="240" t="s">
        <v>116</v>
      </c>
      <c r="C8" s="241"/>
      <c r="D8" s="242" t="str">
        <f>エンティティ一覧!AE2&amp;"_"&amp;D5&amp;"_merge_mml_pc_external_reference"</f>
        <v>sny_202310_base_merge_mml_pc_external_reference</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milscm_2023_009.sny_202310_base_merge_mml_pc_external_reference;</v>
      </c>
      <c r="O10" s="78"/>
      <c r="P10" s="78"/>
      <c r="Q10" s="78"/>
      <c r="R10" s="78"/>
      <c r="S10" s="78"/>
      <c r="T10" s="78"/>
      <c r="AJ10" s="78" t="str">
        <f>"ALTER TABLE ONLY "&amp;エンティティ一覧!$O$2&amp;"."&amp;D$8</f>
        <v>ALTER TABLE ONLY milscm_2023_009.sny_202310_base_merge_mml_pc_external_reference</v>
      </c>
      <c r="AS10" s="78" t="str">
        <f>"ALTER TABLE "&amp;エンティティ一覧!$O$2&amp;"."&amp;D$8&amp;" OWNER TO pgmisgrp1;"</f>
        <v>ALTER TABLE milscm_2023_009.sny_202310_base_merge_mml_pc_external_reference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milscm_2023_009.sny_202310_base_merge_mml_pc_external_reference</v>
      </c>
      <c r="O11" s="78"/>
      <c r="P11" s="78"/>
      <c r="Q11" s="78"/>
      <c r="R11" s="78"/>
      <c r="S11" s="78"/>
      <c r="T11" s="78"/>
      <c r="AJ11" s="78" t="str">
        <f>"ADD CONSTRAINT "&amp;D$8&amp;"_pkey PRIMARY KEY"</f>
        <v>ADD CONSTRAINT sny_202310_base_merge_mml_pc_external_reference_pkey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milscm_2023_009.sny_202310_base_merge_mml_pc_external_reference.mil_karute_id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milscm_2023_009.sny_202310_base_merge_mml_pc_external_reference.facility_id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milscm_2023_009.sny_202310_base_merge_mml_pc_external_reference.data_type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milscm_2023_009.sny_202310_base_merge_mml_pc_external_reference.master_id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milscm_2023_009.sny_202310_base_merge_mml_pc_external_reference.uid IS '文書ユニークID';</v>
      </c>
    </row>
    <row r="20" spans="1:52" s="25" customFormat="1" ht="34.799999999999997">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milscm_2023_009.sny_202310_base_merge_mml_pc_external_reference.keika_seq IS '経過記録SEQ';</v>
      </c>
    </row>
    <row r="21" spans="1:52" s="25" customFormat="1" ht="174">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milscm_2023_009.sny_202310_base_merge_mml_pc_external_reference.content_type IS 'コンテンツ種別';</v>
      </c>
    </row>
    <row r="24" spans="1:52" s="25" customFormat="1" ht="34.799999999999997">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milscm_2023_009.sny_202310_base_merge_mml_pc_external_reference.gaibu_sansyo_saki IS '外部参照先';</v>
      </c>
    </row>
    <row r="27" spans="1:52" s="25" customFormat="1" ht="18"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ENT_31_23</v>
      </c>
      <c r="E6" s="251"/>
      <c r="F6" s="251"/>
      <c r="G6" s="251"/>
      <c r="H6" s="251"/>
      <c r="I6" s="251"/>
      <c r="J6" s="252"/>
    </row>
    <row r="7" spans="1:45">
      <c r="B7" s="240" t="s">
        <v>115</v>
      </c>
      <c r="C7" s="241"/>
      <c r="D7" s="242" t="s">
        <v>3704</v>
      </c>
      <c r="E7" s="243"/>
      <c r="F7" s="243"/>
      <c r="G7" s="243"/>
      <c r="H7" s="243"/>
      <c r="I7" s="243"/>
      <c r="J7" s="244"/>
    </row>
    <row r="8" spans="1:45">
      <c r="B8" s="240" t="s">
        <v>116</v>
      </c>
      <c r="C8" s="241"/>
      <c r="D8" s="242" t="str">
        <f>エンティティ一覧!AE2&amp;"_"&amp;D5&amp;"_merge_mml_sm_summary"</f>
        <v>sny_202310_base_merge_mml_sm_summary</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milscm_2023_009.sny_202310_base_merge_mml_sm_summary;</v>
      </c>
      <c r="O10" s="78"/>
      <c r="P10" s="78"/>
      <c r="Q10" s="78"/>
      <c r="R10" s="78"/>
      <c r="S10" s="78"/>
      <c r="T10" s="78"/>
      <c r="AJ10" s="78" t="str">
        <f>"ALTER TABLE ONLY "&amp;エンティティ一覧!$O$2&amp;"."&amp;D$8</f>
        <v>ALTER TABLE ONLY milscm_2023_009.sny_202310_base_merge_mml_sm_summary</v>
      </c>
      <c r="AS10" s="78" t="str">
        <f>"ALTER TABLE "&amp;エンティティ一覧!$O$2&amp;"."&amp;D$8&amp;" OWNER TO pgmisgrp1;"</f>
        <v>ALTER TABLE milscm_2023_009.sny_202310_base_merge_mml_sm_summary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milscm_2023_009.sny_202310_base_merge_mml_sm_summary</v>
      </c>
      <c r="O11" s="78"/>
      <c r="P11" s="78"/>
      <c r="Q11" s="78"/>
      <c r="R11" s="78"/>
      <c r="S11" s="78"/>
      <c r="T11" s="78"/>
      <c r="AJ11" s="78" t="str">
        <f>"ADD CONSTRAINT "&amp;D$8&amp;"_pkey PRIMARY KEY"</f>
        <v>ADD CONSTRAINT sny_202310_base_merge_mml_sm_summary_pkey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milscm_2023_009.sny_202310_base_merge_mml_sm_summary.mil_karute_id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milscm_2023_009.sny_202310_base_merge_mml_sm_summary.facility_id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milscm_2023_009.sny_202310_base_merge_mml_sm_summary.data_type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milscm_2023_009.sny_202310_base_merge_mml_sm_summary.master_id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milscm_2023_009.sny_202310_base_merge_mml_sm_summary.summary_seq IS '臨床サマリーSEQ';</v>
      </c>
    </row>
    <row r="21" spans="1:45" s="25" customFormat="1" ht="34.799999999999997">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milscm_2023_009.sny_202310_base_merge_mml_sm_summary.history_start_ymd IS 'サマリー対象期間の開始日';</v>
      </c>
    </row>
    <row r="22" spans="1:45" s="25" customFormat="1" ht="34.799999999999997">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milscm_2023_009.sny_202310_base_merge_mml_sm_summary.death_info IS '死亡関連情報';</v>
      </c>
    </row>
    <row r="24" spans="1:45" s="25" customFormat="1" ht="34.799999999999997">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milscm_2023_009.sny_202310_base_merge_mml_sm_summary.death_date IS '死亡日時';</v>
      </c>
    </row>
    <row r="25" spans="1:45" s="25" customFormat="1" ht="34.799999999999997">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milscm_2023_009.sny_202310_base_merge_mml_sm_summary.death_autopsy_flag IS '剖検の有無';</v>
      </c>
    </row>
    <row r="26" spans="1:45" s="25" customFormat="1" ht="34.799999999999997">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milscm_2023_009.sny_202310_base_merge_mml_sm_summary.chief_complaints IS '主訴';</v>
      </c>
    </row>
    <row r="27" spans="1:45" s="25" customFormat="1" ht="34.799999999999997">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milscm_2023_009.sny_202310_base_merge_mml_sm_summary.patient_profile IS '患者プロフィール';</v>
      </c>
    </row>
    <row r="28" spans="1:45" s="25" customFormat="1" ht="34.799999999999997">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milscm_2023_009.sny_202310_base_merge_mml_sm_summary.nyuin_history IS '入院までの経過';</v>
      </c>
    </row>
    <row r="29" spans="1:45" s="25" customFormat="1" ht="34.799999999999997">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milscm_2023_009.sny_202310_base_merge_mml_sm_summary.nyuin_physical_exam IS '入院時理学所見';</v>
      </c>
    </row>
    <row r="30" spans="1:45" s="25" customFormat="1" ht="34.799999999999997">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milscm_2023_009.sny_202310_base_merge_mml_sm_summary.taiin_findings IS '退院時所見';</v>
      </c>
    </row>
    <row r="31" spans="1:45" s="25" customFormat="1" ht="34.799999999999997">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milscm_2023_009.sny_202310_base_merge_mml_sm_summary.taiin_medication IS '退院時処方';</v>
      </c>
    </row>
    <row r="32" spans="1:45" s="25" customFormat="1" ht="34.799999999999997">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milscm_2023_009.sny_202310_base_merge_mml_sm_summary.taiin_chiryo_plan IS '退院後治療方針';</v>
      </c>
    </row>
    <row r="33" spans="1:52" s="25" customFormat="1" ht="35.4"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ENT_31_24</v>
      </c>
      <c r="E6" s="251"/>
      <c r="F6" s="251"/>
      <c r="G6" s="251"/>
      <c r="H6" s="251"/>
      <c r="I6" s="251"/>
      <c r="J6" s="252"/>
    </row>
    <row r="7" spans="1:45">
      <c r="B7" s="240" t="s">
        <v>115</v>
      </c>
      <c r="C7" s="241"/>
      <c r="D7" s="242" t="s">
        <v>3705</v>
      </c>
      <c r="E7" s="243"/>
      <c r="F7" s="243"/>
      <c r="G7" s="243"/>
      <c r="H7" s="243"/>
      <c r="I7" s="243"/>
      <c r="J7" s="244"/>
    </row>
    <row r="8" spans="1:45">
      <c r="B8" s="240" t="s">
        <v>116</v>
      </c>
      <c r="C8" s="241"/>
      <c r="D8" s="242" t="str">
        <f>エンティティ一覧!AE2&amp;"_"&amp;D5&amp;"_merge_mml_sm_out_patient"</f>
        <v>sny_202310_base_merge_mml_sm_out_patient</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milscm_2023_009.sny_202310_base_merge_mml_sm_out_patient;</v>
      </c>
      <c r="O10" s="78"/>
      <c r="P10" s="78"/>
      <c r="Q10" s="78"/>
      <c r="R10" s="78"/>
      <c r="S10" s="78"/>
      <c r="T10" s="78"/>
      <c r="AJ10" s="78" t="str">
        <f>"ALTER TABLE ONLY "&amp;エンティティ一覧!$O$2&amp;"."&amp;D$8</f>
        <v>ALTER TABLE ONLY milscm_2023_009.sny_202310_base_merge_mml_sm_out_patient</v>
      </c>
      <c r="AS10" s="78" t="str">
        <f>"ALTER TABLE "&amp;エンティティ一覧!$O$2&amp;"."&amp;D$8&amp;" OWNER TO pgmisgrp1;"</f>
        <v>ALTER TABLE milscm_2023_009.sny_202310_base_merge_mml_sm_out_patient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milscm_2023_009.sny_202310_base_merge_mml_sm_out_patient</v>
      </c>
      <c r="O11" s="78"/>
      <c r="P11" s="78"/>
      <c r="Q11" s="78"/>
      <c r="R11" s="78"/>
      <c r="S11" s="78"/>
      <c r="T11" s="78"/>
      <c r="AJ11" s="78" t="str">
        <f>"ADD CONSTRAINT "&amp;D$8&amp;"_pkey PRIMARY KEY"</f>
        <v>ADD CONSTRAINT sny_202310_base_merge_mml_sm_out_patient_pkey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milscm_2023_009.sny_202310_base_merge_mml_sm_out_patient.mil_karute_id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milscm_2023_009.sny_202310_base_merge_mml_sm_out_patient.facility_id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milscm_2023_009.sny_202310_base_merge_mml_sm_out_patient.data_type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milscm_2023_009.sny_202310_base_merge_mml_sm_out_patient.master_id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milscm_2023_009.sny_202310_base_merge_mml_sm_out_patient.gairai_seq IS '個々の外来受診歴SEQ';</v>
      </c>
    </row>
    <row r="22" spans="1:52" s="25" customFormat="1" ht="34.799999999999997">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milscm_2023_009.sny_202310_base_merge_mml_sm_out_patient.gairai_state IS '外来受診状態';</v>
      </c>
    </row>
    <row r="24" spans="1:52" s="25" customFormat="1" ht="52.2">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milscm_2023_009.sny_202310_base_merge_mml_sm_out_patient.first_flag IS '初診フラグ';</v>
      </c>
    </row>
    <row r="25" spans="1:52" s="25" customFormat="1" ht="52.8"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ENT_31_25</v>
      </c>
      <c r="E6" s="251"/>
      <c r="F6" s="251"/>
      <c r="G6" s="251"/>
      <c r="H6" s="251"/>
      <c r="I6" s="251"/>
      <c r="J6" s="252"/>
    </row>
    <row r="7" spans="1:45">
      <c r="B7" s="240" t="s">
        <v>115</v>
      </c>
      <c r="C7" s="241"/>
      <c r="D7" s="242" t="s">
        <v>3706</v>
      </c>
      <c r="E7" s="243"/>
      <c r="F7" s="243"/>
      <c r="G7" s="243"/>
      <c r="H7" s="243"/>
      <c r="I7" s="243"/>
      <c r="J7" s="244"/>
    </row>
    <row r="8" spans="1:45">
      <c r="B8" s="240" t="s">
        <v>116</v>
      </c>
      <c r="C8" s="241"/>
      <c r="D8" s="242" t="str">
        <f>エンティティ一覧!AE2&amp;"_"&amp;D5&amp;"_merge_mml_sm_in_patient"</f>
        <v>sny_202310_base_merge_mml_sm_in_patient</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milscm_2023_009.sny_202310_base_merge_mml_sm_in_patient;</v>
      </c>
      <c r="O10" s="78"/>
      <c r="P10" s="78"/>
      <c r="Q10" s="78"/>
      <c r="R10" s="78"/>
      <c r="S10" s="78"/>
      <c r="T10" s="78"/>
      <c r="AJ10" s="78" t="str">
        <f>"ALTER TABLE ONLY "&amp;エンティティ一覧!$O$2&amp;"."&amp;D$8</f>
        <v>ALTER TABLE ONLY milscm_2023_009.sny_202310_base_merge_mml_sm_in_patient</v>
      </c>
      <c r="AS10" s="78" t="str">
        <f>"ALTER TABLE "&amp;エンティティ一覧!$O$2&amp;"."&amp;D$8&amp;" OWNER TO pgmisgrp1;"</f>
        <v>ALTER TABLE milscm_2023_009.sny_202310_base_merge_mml_sm_in_patient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milscm_2023_009.sny_202310_base_merge_mml_sm_in_patient</v>
      </c>
      <c r="O11" s="78"/>
      <c r="P11" s="78"/>
      <c r="Q11" s="78"/>
      <c r="R11" s="78"/>
      <c r="S11" s="78"/>
      <c r="T11" s="78"/>
      <c r="AJ11" s="78" t="str">
        <f>"ADD CONSTRAINT "&amp;D$8&amp;"_pkey PRIMARY KEY"</f>
        <v>ADD CONSTRAINT sny_202310_base_merge_mml_sm_in_patient_pkey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milscm_2023_009.sny_202310_base_merge_mml_sm_in_patient.mil_karute_id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milscm_2023_009.sny_202310_base_merge_mml_sm_in_patient.facility_id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milscm_2023_009.sny_202310_base_merge_mml_sm_in_patient.data_type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milscm_2023_009.sny_202310_base_merge_mml_sm_in_patient.master_id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milscm_2023_009.sny_202310_base_merge_mml_sm_in_patient.nyuin_seq IS '個々の入院歴SEQ';</v>
      </c>
    </row>
    <row r="22" spans="1:52" s="25" customFormat="1" ht="34.799999999999997">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milscm_2023_009.sny_202310_base_merge_mml_sm_in_patient.nyuin_ymd IS '入院（転入）日';</v>
      </c>
    </row>
    <row r="23" spans="1:52" s="25" customFormat="1" ht="34.799999999999997">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milscm_2023_009.sny_202310_base_merge_mml_sm_in_patient.nyuin_state IS '入院時状態';</v>
      </c>
    </row>
    <row r="24" spans="1:52" s="25" customFormat="1" ht="52.2">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milscm_2023_009.sny_202310_base_merge_mml_sm_in_patient.emergency_nyuin_flag IS '緊急入院フラグ';</v>
      </c>
    </row>
    <row r="25" spans="1:52" s="25" customFormat="1" ht="87">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milscm_2023_009.sny_202310_base_merge_mml_sm_in_patient.shokai_moto_facility IS '紹介元施設';</v>
      </c>
    </row>
    <row r="26" spans="1:52" s="25" customFormat="1" ht="34.799999999999997">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milscm_2023_009.sny_202310_base_merge_mml_sm_in_patient.taiin_ymd IS '退院（転出）日';</v>
      </c>
    </row>
    <row r="27" spans="1:52" s="25" customFormat="1" ht="34.799999999999997">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milscm_2023_009.sny_202310_base_merge_mml_sm_in_patient.taiin_state IS '退院時状態';</v>
      </c>
    </row>
    <row r="28" spans="1:52" s="25" customFormat="1" ht="52.2">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milscm_2023_009.sny_202310_base_merge_mml_sm_in_patient.taiin_tenki IS '退院時転帰';</v>
      </c>
    </row>
    <row r="29" spans="1:52" s="25" customFormat="1" ht="87.6"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ENT_31_26</v>
      </c>
      <c r="E6" s="251"/>
      <c r="F6" s="251"/>
      <c r="G6" s="251"/>
      <c r="H6" s="251"/>
      <c r="I6" s="251"/>
      <c r="J6" s="252"/>
    </row>
    <row r="7" spans="1:45">
      <c r="B7" s="240" t="s">
        <v>115</v>
      </c>
      <c r="C7" s="241"/>
      <c r="D7" s="242" t="s">
        <v>3707</v>
      </c>
      <c r="E7" s="243"/>
      <c r="F7" s="243"/>
      <c r="G7" s="243"/>
      <c r="H7" s="243"/>
      <c r="I7" s="243"/>
      <c r="J7" s="244"/>
    </row>
    <row r="8" spans="1:45">
      <c r="B8" s="240" t="s">
        <v>116</v>
      </c>
      <c r="C8" s="241"/>
      <c r="D8" s="242" t="str">
        <f>エンティティ一覧!AE2&amp;"_"&amp;D5&amp;"_merge_mml_sm_clinical_course"</f>
        <v>sny_202310_base_merge_mml_sm_clinical_course</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milscm_2023_009.sny_202310_base_merge_mml_sm_clinical_course;</v>
      </c>
      <c r="O10" s="78"/>
      <c r="P10" s="78"/>
      <c r="Q10" s="78"/>
      <c r="R10" s="78"/>
      <c r="S10" s="78"/>
      <c r="T10" s="78"/>
      <c r="AJ10" s="78" t="str">
        <f>"ALTER TABLE ONLY "&amp;エンティティ一覧!$O$2&amp;"."&amp;D$8</f>
        <v>ALTER TABLE ONLY milscm_2023_009.sny_202310_base_merge_mml_sm_clinical_course</v>
      </c>
      <c r="AS10" s="78" t="str">
        <f>"ALTER TABLE "&amp;エンティティ一覧!$O$2&amp;"."&amp;D$8&amp;" OWNER TO pgmisgrp1;"</f>
        <v>ALTER TABLE milscm_2023_009.sny_202310_base_merge_mml_sm_clinical_course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milscm_2023_009.sny_202310_base_merge_mml_sm_clinical_course</v>
      </c>
      <c r="O11" s="78"/>
      <c r="P11" s="78"/>
      <c r="Q11" s="78"/>
      <c r="R11" s="78"/>
      <c r="S11" s="78"/>
      <c r="T11" s="78"/>
      <c r="AJ11" s="78" t="str">
        <f>"ADD CONSTRAINT "&amp;D$8&amp;"_pkey PRIMARY KEY"</f>
        <v>ADD CONSTRAINT sny_202310_base_merge_mml_sm_clinical_course_pkey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milscm_2023_009.sny_202310_base_merge_mml_sm_clinical_course.mil_karute_id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milscm_2023_009.sny_202310_base_merge_mml_sm_clinical_course.facility_id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milscm_2023_009.sny_202310_base_merge_mml_sm_clinical_course.data_type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milscm_2023_009.sny_202310_base_merge_mml_sm_clinical_course.master_id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milscm_2023_009.sny_202310_base_merge_mml_sm_clinical_course.keika_seq IS '経過記録SEQ';</v>
      </c>
    </row>
    <row r="22" spans="1:52" s="25" customFormat="1" ht="34.799999999999997">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milscm_2023_009.sny_202310_base_merge_mml_sm_clinical_course.keika_kiroku IS '経過記録';</v>
      </c>
    </row>
    <row r="23" spans="1:52" s="25" customFormat="1" ht="34.799999999999997">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milscm_2023_009.sny_202310_base_merge_mml_sm_clinical_course.event_date IS 'イベント発生日時';</v>
      </c>
    </row>
    <row r="24" spans="1:52" s="25" customFormat="1" ht="52.2">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milscm_2023_009.sny_202310_base_merge_mml_sm_clinical_course.kanren_doc_uid IS '関連文書のuid';</v>
      </c>
    </row>
    <row r="25" spans="1:52" s="25" customFormat="1" ht="70.2"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ENT_31_27</v>
      </c>
      <c r="E6" s="251"/>
      <c r="F6" s="251"/>
      <c r="G6" s="251"/>
      <c r="H6" s="251"/>
      <c r="I6" s="251"/>
      <c r="J6" s="252"/>
    </row>
    <row r="7" spans="1:45">
      <c r="B7" s="240" t="s">
        <v>115</v>
      </c>
      <c r="C7" s="241"/>
      <c r="D7" s="242" t="s">
        <v>3708</v>
      </c>
      <c r="E7" s="243"/>
      <c r="F7" s="243"/>
      <c r="G7" s="243"/>
      <c r="H7" s="243"/>
      <c r="I7" s="243"/>
      <c r="J7" s="244"/>
    </row>
    <row r="8" spans="1:45">
      <c r="B8" s="240" t="s">
        <v>116</v>
      </c>
      <c r="C8" s="241"/>
      <c r="D8" s="242" t="str">
        <f>エンティティ一覧!AE2&amp;"_"&amp;D5&amp;"_merge_mml_sm_test_results"</f>
        <v>sny_202310_base_merge_mml_sm_test_results</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milscm_2023_009.sny_202310_base_merge_mml_sm_test_results;</v>
      </c>
      <c r="O10" s="78"/>
      <c r="P10" s="78"/>
      <c r="Q10" s="78"/>
      <c r="R10" s="78"/>
      <c r="S10" s="78"/>
      <c r="T10" s="78"/>
      <c r="AJ10" s="78" t="str">
        <f>"ALTER TABLE ONLY "&amp;エンティティ一覧!$O$2&amp;"."&amp;D$8</f>
        <v>ALTER TABLE ONLY milscm_2023_009.sny_202310_base_merge_mml_sm_test_results</v>
      </c>
      <c r="AS10" s="78" t="str">
        <f>"ALTER TABLE "&amp;エンティティ一覧!$O$2&amp;"."&amp;D$8&amp;" OWNER TO pgmisgrp1;"</f>
        <v>ALTER TABLE milscm_2023_009.sny_202310_base_merge_mml_sm_test_results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milscm_2023_009.sny_202310_base_merge_mml_sm_test_results</v>
      </c>
      <c r="O11" s="78"/>
      <c r="P11" s="78"/>
      <c r="Q11" s="78"/>
      <c r="R11" s="78"/>
      <c r="S11" s="78"/>
      <c r="T11" s="78"/>
      <c r="AJ11" s="78" t="str">
        <f>"ADD CONSTRAINT "&amp;D$8&amp;"_pkey PRIMARY KEY"</f>
        <v>ADD CONSTRAINT sny_202310_base_merge_mml_sm_test_results_pkey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milscm_2023_009.sny_202310_base_merge_mml_sm_test_results.mil_karute_id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milscm_2023_009.sny_202310_base_merge_mml_sm_test_results.facility_id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milscm_2023_009.sny_202310_base_merge_mml_sm_test_results.data_type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milscm_2023_009.sny_202310_base_merge_mml_sm_test_results.master_id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milscm_2023_009.sny_202310_base_merge_mml_sm_test_results.kensa_seq IS '個々の検査結果SEQ';</v>
      </c>
    </row>
    <row r="22" spans="1:52" s="25" customFormat="1" ht="34.799999999999997">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milscm_2023_009.sny_202310_base_merge_mml_sm_test_results.kensa_result_value IS '個々の検査結果';</v>
      </c>
    </row>
    <row r="23" spans="1:52" s="25" customFormat="1" ht="35.4"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ENT_31_28</v>
      </c>
      <c r="E6" s="251"/>
      <c r="F6" s="251"/>
      <c r="G6" s="251"/>
      <c r="H6" s="251"/>
      <c r="I6" s="251"/>
      <c r="J6" s="252"/>
    </row>
    <row r="7" spans="1:45">
      <c r="B7" s="240" t="s">
        <v>115</v>
      </c>
      <c r="C7" s="241"/>
      <c r="D7" s="242" t="s">
        <v>3709</v>
      </c>
      <c r="E7" s="243"/>
      <c r="F7" s="243"/>
      <c r="G7" s="243"/>
      <c r="H7" s="243"/>
      <c r="I7" s="243"/>
      <c r="J7" s="244"/>
    </row>
    <row r="8" spans="1:45">
      <c r="B8" s="240" t="s">
        <v>116</v>
      </c>
      <c r="C8" s="241"/>
      <c r="D8" s="242" t="str">
        <f>エンティティ一覧!AE2&amp;"_"&amp;D5&amp;"_merge_mml_lb_test"</f>
        <v>sny_202310_base_merge_mml_lb_test</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milscm_2023_009.sny_202310_base_merge_mml_lb_test;</v>
      </c>
      <c r="O10" s="78"/>
      <c r="P10" s="78"/>
      <c r="Q10" s="78"/>
      <c r="R10" s="78"/>
      <c r="S10" s="78"/>
      <c r="T10" s="78"/>
      <c r="AJ10" s="78" t="str">
        <f>"ALTER TABLE ONLY "&amp;エンティティ一覧!$O$2&amp;"."&amp;D$8</f>
        <v>ALTER TABLE ONLY milscm_2023_009.sny_202310_base_merge_mml_lb_test</v>
      </c>
      <c r="AS10" s="78" t="str">
        <f>"ALTER TABLE "&amp;エンティティ一覧!$O$2&amp;"."&amp;D$8&amp;" OWNER TO pgmisgrp1;"</f>
        <v>ALTER TABLE milscm_2023_009.sny_202310_base_merge_mml_lb_test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milscm_2023_009.sny_202310_base_merge_mml_lb_test</v>
      </c>
      <c r="O11" s="78"/>
      <c r="P11" s="78"/>
      <c r="Q11" s="78"/>
      <c r="R11" s="78"/>
      <c r="S11" s="78"/>
      <c r="T11" s="78"/>
      <c r="AJ11" s="78" t="str">
        <f>"ADD CONSTRAINT "&amp;D$8&amp;"_pkey PRIMARY KEY"</f>
        <v>ADD CONSTRAINT sny_202310_base_merge_mml_lb_test_pkey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milscm_2023_009.sny_202310_base_merge_mml_lb_test.mil_karute_id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milscm_2023_009.sny_202310_base_merge_mml_lb_test.facility_id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milscm_2023_009.sny_202310_base_merge_mml_lb_test.data_type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milscm_2023_009.sny_202310_base_merge_mml_lb_test.master_id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milscm_2023_009.sny_202310_base_merge_mml_lb_test.irai_id IS '依頼ID';</v>
      </c>
    </row>
    <row r="22" spans="1:45" s="25" customFormat="1" ht="52.2">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milscm_2023_009.sny_202310_base_merge_mml_lb_test.sample_time IS '採取日時';</v>
      </c>
    </row>
    <row r="23" spans="1:45" s="25" customFormat="1" ht="34.799999999999997">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milscm_2023_009.sny_202310_base_merge_mml_lb_test.uketsuke_time IS '受付日時';</v>
      </c>
    </row>
    <row r="24" spans="1:45" s="25" customFormat="1" ht="34.799999999999997">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milscm_2023_009.sny_202310_base_merge_mml_lb_test.status IS '報告状態';</v>
      </c>
    </row>
    <row r="26" spans="1:45" s="25" customFormat="1" ht="52.2">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milscm_2023_009.sny_202310_base_merge_mml_lb_test.set_name IS 'セット名';</v>
      </c>
    </row>
    <row r="28" spans="1:45" s="25" customFormat="1" ht="34.799999999999997">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milscm_2023_009.sny_202310_base_merge_mml_lb_test.set_name_code IS 'セット名コード';</v>
      </c>
    </row>
    <row r="29" spans="1:45" s="25" customFormat="1" ht="34.799999999999997">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milscm_2023_009.sny_202310_base_merge_mml_lb_test.irai_facility_code IS '依頼施設コード';</v>
      </c>
    </row>
    <row r="32" spans="1:45" s="25" customFormat="1" ht="34.799999999999997">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milscm_2023_009.sny_202310_base_merge_mml_lb_test.irai_department IS '依頼診療科';</v>
      </c>
    </row>
    <row r="34" spans="1:52" s="25" customFormat="1" ht="34.799999999999997">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milscm_2023_009.sny_202310_base_merge_mml_lb_test.irai_ward IS '依頼病棟';</v>
      </c>
    </row>
    <row r="36" spans="1:52" s="25" customFormat="1" ht="34.799999999999997">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milscm_2023_009.sny_202310_base_merge_mml_lb_test.irai_ward_code IS '依頼病棟コード';</v>
      </c>
    </row>
    <row r="37" spans="1:52" s="25" customFormat="1" ht="34.799999999999997">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milscm_2023_009.sny_202310_base_merge_mml_lb_test.irai_ward_code_id IS '依頼病棟コードID';</v>
      </c>
    </row>
    <row r="38" spans="1:52" s="25" customFormat="1" ht="18"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ENT_31_29</v>
      </c>
      <c r="E6" s="251"/>
      <c r="F6" s="251"/>
      <c r="G6" s="251"/>
      <c r="H6" s="251"/>
      <c r="I6" s="251"/>
      <c r="J6" s="252"/>
    </row>
    <row r="7" spans="1:45">
      <c r="B7" s="240" t="s">
        <v>115</v>
      </c>
      <c r="C7" s="241"/>
      <c r="D7" s="242" t="s">
        <v>3710</v>
      </c>
      <c r="E7" s="243"/>
      <c r="F7" s="243"/>
      <c r="G7" s="243"/>
      <c r="H7" s="243"/>
      <c r="I7" s="243"/>
      <c r="J7" s="244"/>
    </row>
    <row r="8" spans="1:45">
      <c r="B8" s="240" t="s">
        <v>116</v>
      </c>
      <c r="C8" s="241"/>
      <c r="D8" s="242" t="str">
        <f>エンティティ一覧!AE2&amp;"_"&amp;D5&amp;"_merge_mml_lb_specimen"</f>
        <v>sny_202310_base_merge_mml_lb_specimen</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milscm_2023_009.sny_202310_base_merge_mml_lb_specimen;</v>
      </c>
      <c r="O10" s="78"/>
      <c r="P10" s="78"/>
      <c r="Q10" s="78"/>
      <c r="R10" s="78"/>
      <c r="S10" s="78"/>
      <c r="T10" s="78"/>
      <c r="AJ10" s="78" t="str">
        <f>"ALTER TABLE ONLY "&amp;エンティティ一覧!$O$2&amp;"."&amp;D$8</f>
        <v>ALTER TABLE ONLY milscm_2023_009.sny_202310_base_merge_mml_lb_specimen</v>
      </c>
      <c r="AS10" s="78" t="str">
        <f>"ALTER TABLE "&amp;エンティティ一覧!$O$2&amp;"."&amp;D$8&amp;" OWNER TO pgmisgrp1;"</f>
        <v>ALTER TABLE milscm_2023_009.sny_202310_base_merge_mml_lb_specimen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milscm_2023_009.sny_202310_base_merge_mml_lb_specimen</v>
      </c>
      <c r="O11" s="78"/>
      <c r="P11" s="78"/>
      <c r="Q11" s="78"/>
      <c r="R11" s="78"/>
      <c r="S11" s="78"/>
      <c r="T11" s="78"/>
      <c r="AJ11" s="78" t="str">
        <f>"ADD CONSTRAINT "&amp;D$8&amp;"_pkey PRIMARY KEY"</f>
        <v>ADD CONSTRAINT sny_202310_base_merge_mml_lb_specimen_pkey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milscm_2023_009.sny_202310_base_merge_mml_lb_specimen.mil_karute_id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milscm_2023_009.sny_202310_base_merge_mml_lb_specimen.facility_id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milscm_2023_009.sny_202310_base_merge_mml_lb_specimen.data_type IS 'データ種別';</v>
      </c>
    </row>
    <row r="18" spans="1:52"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milscm_2023_009.sny_202310_base_merge_mml_lb_specimen.master_id IS '患者ID';</v>
      </c>
    </row>
    <row r="19" spans="1:52"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milscm_2023_009.sny_202310_base_merge_mml_lb_specimen.labo_test_seq IS '検体結果情報SEQ';</v>
      </c>
    </row>
    <row r="22" spans="1:52" s="25" customFormat="1" ht="69.599999999999994">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milscm_2023_009.sny_202310_base_merge_mml_lb_specimen.specimen_name IS '検体材料';</v>
      </c>
    </row>
    <row r="24" spans="1:52" s="25" customFormat="1" ht="34.799999999999997">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milscm_2023_009.sny_202310_base_merge_mml_lb_specimen.sp_code IS '検体材料コード';</v>
      </c>
    </row>
    <row r="25" spans="1:52" s="25" customFormat="1" ht="52.2">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milscm_2023_009.sny_202310_base_merge_mml_lb_specimen.sp_code_id IS '検体材料コードのテーブル名';</v>
      </c>
    </row>
    <row r="26" spans="1:52" s="25" customFormat="1" ht="18"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29" t="s">
        <v>110</v>
      </c>
      <c r="C1" s="230"/>
      <c r="D1" s="233" t="s">
        <v>111</v>
      </c>
      <c r="E1" s="234"/>
      <c r="F1" s="234"/>
      <c r="G1" s="225"/>
      <c r="H1" s="233" t="s">
        <v>112</v>
      </c>
      <c r="I1" s="225"/>
      <c r="J1" s="15" t="s">
        <v>113</v>
      </c>
    </row>
    <row r="2" spans="1:45" ht="18" thickBot="1">
      <c r="B2" s="231"/>
      <c r="C2" s="232"/>
      <c r="D2" s="235" t="s">
        <v>114</v>
      </c>
      <c r="E2" s="236"/>
      <c r="F2" s="236"/>
      <c r="G2" s="237"/>
      <c r="H2" s="238"/>
      <c r="I2" s="239"/>
      <c r="J2" s="17"/>
    </row>
    <row r="3" spans="1:45" ht="18" thickBot="1">
      <c r="B3" s="5"/>
      <c r="C3" s="5"/>
      <c r="D3" s="5"/>
      <c r="E3" s="5"/>
      <c r="F3" s="5"/>
      <c r="G3" s="5"/>
      <c r="H3" s="5"/>
      <c r="I3" s="5"/>
      <c r="J3" s="18"/>
    </row>
    <row r="4" spans="1:45">
      <c r="B4" s="224" t="s">
        <v>3722</v>
      </c>
      <c r="C4" s="225"/>
      <c r="D4" s="226" t="str">
        <f>VLOOKUP(D7,エンティティ一覧!A1:'エンティティ一覧'!AM10147,2,FALSE)</f>
        <v>31</v>
      </c>
      <c r="E4" s="227"/>
      <c r="F4" s="227"/>
      <c r="G4" s="227"/>
      <c r="H4" s="227"/>
      <c r="I4" s="227"/>
      <c r="J4" s="228"/>
    </row>
    <row r="5" spans="1:45">
      <c r="B5" s="240" t="s">
        <v>3723</v>
      </c>
      <c r="C5" s="241"/>
      <c r="D5" s="250" t="str">
        <f>VLOOKUP(D7,エンティティ一覧!A1:'エンティティ一覧'!AM10147,7,FALSE)</f>
        <v>base</v>
      </c>
      <c r="E5" s="251"/>
      <c r="F5" s="251"/>
      <c r="G5" s="251"/>
      <c r="H5" s="251"/>
      <c r="I5" s="251"/>
      <c r="J5" s="252"/>
    </row>
    <row r="6" spans="1:45">
      <c r="B6" s="240" t="s">
        <v>3724</v>
      </c>
      <c r="C6" s="241"/>
      <c r="D6" s="250" t="str">
        <f>VLOOKUP(D7,エンティティ一覧!A1:'エンティティ一覧'!AM10147,15,FALSE)</f>
        <v>ENT_31_30</v>
      </c>
      <c r="E6" s="251"/>
      <c r="F6" s="251"/>
      <c r="G6" s="251"/>
      <c r="H6" s="251"/>
      <c r="I6" s="251"/>
      <c r="J6" s="252"/>
    </row>
    <row r="7" spans="1:45">
      <c r="B7" s="240" t="s">
        <v>115</v>
      </c>
      <c r="C7" s="241"/>
      <c r="D7" s="242" t="s">
        <v>3711</v>
      </c>
      <c r="E7" s="243"/>
      <c r="F7" s="243"/>
      <c r="G7" s="243"/>
      <c r="H7" s="243"/>
      <c r="I7" s="243"/>
      <c r="J7" s="244"/>
    </row>
    <row r="8" spans="1:45">
      <c r="B8" s="240" t="s">
        <v>116</v>
      </c>
      <c r="C8" s="241"/>
      <c r="D8" s="242" t="str">
        <f>エンティティ一覧!AE2&amp;"_"&amp;D5&amp;"_merge_mml_lb_item"</f>
        <v>sny_202310_base_merge_mml_lb_item</v>
      </c>
      <c r="E8" s="243"/>
      <c r="F8" s="243"/>
      <c r="G8" s="243"/>
      <c r="H8" s="243"/>
      <c r="I8" s="243"/>
      <c r="J8" s="244"/>
    </row>
    <row r="9" spans="1:45" ht="19.5" customHeight="1" thickBot="1">
      <c r="B9" s="245" t="s">
        <v>117</v>
      </c>
      <c r="C9" s="246"/>
      <c r="D9" s="247"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48"/>
      <c r="F9" s="248"/>
      <c r="G9" s="248"/>
      <c r="H9" s="248"/>
      <c r="I9" s="248"/>
      <c r="J9" s="249"/>
    </row>
    <row r="10" spans="1:45">
      <c r="B10" s="19"/>
      <c r="C10" s="19"/>
      <c r="D10" s="5"/>
      <c r="E10" s="5"/>
      <c r="F10" s="5"/>
      <c r="G10" s="5"/>
      <c r="H10" s="5"/>
      <c r="I10" s="5"/>
      <c r="J10" s="18"/>
      <c r="N10" s="78" t="str">
        <f>"--DROP TABLE  "&amp;エンティティ一覧!$O$2&amp;"."&amp;D$8&amp;";"</f>
        <v>--DROP TABLE  milscm_2023_009.sny_202310_base_merge_mml_lb_item;</v>
      </c>
      <c r="O10" s="78"/>
      <c r="P10" s="78"/>
      <c r="Q10" s="78"/>
      <c r="R10" s="78"/>
      <c r="S10" s="78"/>
      <c r="T10" s="78"/>
      <c r="AJ10" s="78" t="str">
        <f>"ALTER TABLE ONLY "&amp;エンティティ一覧!$O$2&amp;"."&amp;D$8</f>
        <v>ALTER TABLE ONLY milscm_2023_009.sny_202310_base_merge_mml_lb_item</v>
      </c>
      <c r="AS10" s="78" t="str">
        <f>"ALTER TABLE "&amp;エンティティ一覧!$O$2&amp;"."&amp;D$8&amp;" OWNER TO pgmisgrp1;"</f>
        <v>ALTER TABLE milscm_2023_009.sny_202310_base_merge_mml_lb_item OWNER TO pgmisgrp1;</v>
      </c>
    </row>
    <row r="11" spans="1:45" ht="18" thickBot="1">
      <c r="B11" s="20" t="s">
        <v>118</v>
      </c>
      <c r="C11" s="19"/>
      <c r="D11" s="5"/>
      <c r="E11" s="5"/>
      <c r="F11" s="5"/>
      <c r="G11" s="5"/>
      <c r="H11" s="5"/>
      <c r="I11" s="5"/>
      <c r="J11" s="18"/>
      <c r="N11" s="78" t="str">
        <f>"CREATE TABLE  "&amp;エンティティ一覧!$O$2&amp;"."&amp;D$8</f>
        <v>CREATE TABLE  milscm_2023_009.sny_202310_base_merge_mml_lb_item</v>
      </c>
      <c r="O11" s="78"/>
      <c r="P11" s="78"/>
      <c r="Q11" s="78"/>
      <c r="R11" s="78"/>
      <c r="S11" s="78"/>
      <c r="T11" s="78"/>
      <c r="AJ11" s="78" t="str">
        <f>"ADD CONSTRAINT "&amp;D$8&amp;"_pkey PRIMARY KEY"</f>
        <v>ADD CONSTRAINT sny_202310_base_merge_mml_lb_item_pkey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milscm_2023_009.sny_202310_base_merge_mml_lb_item.mil_karute_id IS '千年カルテID';</v>
      </c>
    </row>
    <row r="15" spans="1:45" s="25" customFormat="1" ht="87">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milscm_2023_009.sny_202310_base_merge_mml_lb_item.facility_id IS '施設ID';</v>
      </c>
    </row>
    <row r="16" spans="1:45" s="25" customFormat="1" ht="69.599999999999994">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milscm_2023_009.sny_202310_base_merge_mml_lb_item.data_type IS 'データ種別';</v>
      </c>
    </row>
    <row r="18" spans="1:45" s="25" customFormat="1" ht="34.799999999999997">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milscm_2023_009.sny_202310_base_merge_mml_lb_item.master_id IS '患者ID';</v>
      </c>
    </row>
    <row r="19" spans="1:45" s="25" customFormat="1" ht="34.799999999999997">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milscm_2023_009.sny_202310_base_merge_mml_lb_item.normal_value IS '文字列で示す基準値';</v>
      </c>
    </row>
    <row r="36" spans="1:52" s="25" customFormat="1" ht="52.2">
      <c r="A36" s="4"/>
      <c r="B36" s="21">
        <f t="shared" si="2"/>
        <v>24</v>
      </c>
      <c r="C36" s="13" t="s">
        <v>1669</v>
      </c>
      <c r="D36" s="13" t="s">
        <v>1670</v>
      </c>
      <c r="E36" s="7"/>
      <c r="F36" s="7" t="s">
        <v>867</v>
      </c>
      <c r="G36" s="7" t="str">
        <f t="shared" si="3"/>
        <v>text</v>
      </c>
      <c r="H36" s="58"/>
      <c r="I36" s="23"/>
      <c r="J36" s="24" t="s">
        <v>1693</v>
      </c>
      <c r="M36" s="4"/>
      <c r="N36" s="78"/>
      <c r="O36" s="78"/>
      <c r="P36" s="78" t="str">
        <f t="shared" si="4"/>
        <v>,out_flag</v>
      </c>
      <c r="Q36" s="78" t="str">
        <f t="shared" si="0"/>
        <v>TEXT</v>
      </c>
      <c r="R36" s="78" t="str">
        <f t="shared" si="1"/>
        <v/>
      </c>
      <c r="S36" s="78" t="str">
        <f t="shared" si="5"/>
        <v/>
      </c>
      <c r="T36" s="78" t="str">
        <f t="shared" si="6"/>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1671</v>
      </c>
      <c r="D37" s="13" t="s">
        <v>276</v>
      </c>
      <c r="E37" s="7"/>
      <c r="F37" s="7" t="s">
        <v>867</v>
      </c>
      <c r="G37" s="7" t="str">
        <f t="shared" si="3"/>
        <v>text</v>
      </c>
      <c r="H37" s="58"/>
      <c r="I37" s="23"/>
      <c r="J37" s="24" t="s">
        <v>1694</v>
      </c>
      <c r="M37" s="4"/>
      <c r="N37" s="78"/>
      <c r="O37" s="78"/>
      <c r="P37" s="78" t="str">
        <f t="shared" si="4"/>
        <v>,unit</v>
      </c>
      <c r="Q37" s="78" t="str">
        <f t="shared" si="0"/>
        <v>TEXT</v>
      </c>
      <c r="R37" s="78" t="str">
        <f t="shared" si="1"/>
        <v/>
      </c>
      <c r="S37" s="78" t="str">
        <f t="shared" si="5"/>
        <v/>
      </c>
      <c r="T37" s="78" t="str">
        <f t="shared" si="6"/>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milscm_2023_009.sny_202310_base_merge_mml_lb_item.unit IS '単位';</v>
      </c>
    </row>
    <row r="38" spans="1:52" s="25" customFormat="1" ht="34.799999999999997">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milscm_2023_009.sny_202310_base_merge_mml_lb_item.unit_code IS '単位コード';</v>
      </c>
    </row>
    <row r="39" spans="1:52" s="25" customFormat="1" ht="34.799999999999997">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milscm_2023_009.sny_202310_base_merge_mml_lb_item.unit_code_id IS '単位コードID';</v>
      </c>
    </row>
    <row r="40" spans="1:52" s="25" customFormat="1" ht="18"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187</vt:i4>
      </vt:variant>
      <vt:variant>
        <vt:lpstr>名前付き一覧</vt:lpstr>
      </vt:variant>
      <vt:variant>
        <vt:i4>1</vt:i4>
      </vt:variant>
    </vt:vector>
  </HeadingPairs>
  <TitlesOfParts>
    <vt:vector size="188" baseType="lpstr">
      <vt:lpstr>Sheet1</vt:lpstr>
      <vt:lpstr>データフロー_backup</vt:lpstr>
      <vt:lpstr>データフロー_enroll</vt:lpstr>
      <vt:lpstr>データフロー_mt</vt:lpstr>
      <vt:lpstr>データフロー_base</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組入れ_対象患者</vt:lpstr>
      <vt:lpstr>患者ID一覧マスタ</vt:lpstr>
      <vt:lpstr>施設マスタ</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2023-10-24T08:06:05Z</dcterms:modified>
</cp:coreProperties>
</file>